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drawings/drawing1.xml" ContentType="application/vnd.openxmlformats-officedocument.drawing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U:\인수인계_이선희\3. 예산 관련\지사관련\1. 전도금 정산\심천지사\DBG_2026\"/>
    </mc:Choice>
  </mc:AlternateContent>
  <xr:revisionPtr revIDLastSave="0" documentId="13_ncr:1_{7D3BC278-51AD-4AE6-A0CA-647C17284368}" xr6:coauthVersionLast="47" xr6:coauthVersionMax="47" xr10:uidLastSave="{00000000-0000-0000-0000-000000000000}"/>
  <bookViews>
    <workbookView xWindow="-108" yWindow="-108" windowWidth="23256" windowHeight="12456" tabRatio="603" activeTab="53" xr2:uid="{00000000-000D-0000-FFFF-FFFF00000000}"/>
  </bookViews>
  <sheets>
    <sheet name="통장내역(환율표)" sheetId="2" r:id="rId1"/>
    <sheet name="내역_22.03" sheetId="1" state="hidden" r:id="rId2"/>
    <sheet name="내역_22.04" sheetId="5" state="hidden" r:id="rId3"/>
    <sheet name="내역_22.05" sheetId="8" state="hidden" r:id="rId4"/>
    <sheet name="내역_22.06" sheetId="14" state="hidden" r:id="rId5"/>
    <sheet name="내역_22.07" sheetId="16" state="hidden" r:id="rId6"/>
    <sheet name="내역_22.07 (수정)" sheetId="20" state="hidden" r:id="rId7"/>
    <sheet name="내역_22.08" sheetId="19" state="hidden" r:id="rId8"/>
    <sheet name="내역_22.09" sheetId="23" state="hidden" r:id="rId9"/>
    <sheet name="내역_22.10" sheetId="29" state="hidden" r:id="rId10"/>
    <sheet name="내역_22.11" sheetId="33" state="hidden" r:id="rId11"/>
    <sheet name="내역_22.12" sheetId="37" state="hidden" r:id="rId12"/>
    <sheet name="내역_23.01" sheetId="41" state="hidden" r:id="rId13"/>
    <sheet name="내역_23.02" sheetId="43" state="hidden" r:id="rId14"/>
    <sheet name="내역_23.03" sheetId="46" state="hidden" r:id="rId15"/>
    <sheet name="내역_23.04" sheetId="48" state="hidden" r:id="rId16"/>
    <sheet name="내역_23.05" sheetId="52" state="hidden" r:id="rId17"/>
    <sheet name="6월 업무추진비" sheetId="58" state="hidden" r:id="rId18"/>
    <sheet name="내역_23.06" sheetId="56" state="hidden" r:id="rId19"/>
    <sheet name="내역_23.07" sheetId="60" state="hidden" r:id="rId20"/>
    <sheet name="내역_23.08" sheetId="63" state="hidden" r:id="rId21"/>
    <sheet name="8월 기사 야근" sheetId="66" state="hidden" r:id="rId22"/>
    <sheet name="내역_23.09" sheetId="68" state="hidden" r:id="rId23"/>
    <sheet name="내역_23.10" sheetId="70" state="hidden" r:id="rId24"/>
    <sheet name="내역_23.11" sheetId="74" state="hidden" r:id="rId25"/>
    <sheet name="내역_23.12" sheetId="83" state="hidden" r:id="rId26"/>
    <sheet name="내역_24.01" sheetId="82" state="hidden" r:id="rId27"/>
    <sheet name="내역_24.02" sheetId="86" state="hidden" r:id="rId28"/>
    <sheet name="내역_24.03" sheetId="89" state="hidden" r:id="rId29"/>
    <sheet name="내역_24.04" sheetId="92" state="hidden" r:id="rId30"/>
    <sheet name="내역_24.05" sheetId="94" state="hidden" r:id="rId31"/>
    <sheet name="내역_24.06" sheetId="97" state="hidden" r:id="rId32"/>
    <sheet name="내역_24.07" sheetId="99" state="hidden" r:id="rId33"/>
    <sheet name="내역_24.08" sheetId="102" state="hidden" r:id="rId34"/>
    <sheet name="내역_24.09" sheetId="104" state="hidden" r:id="rId35"/>
    <sheet name="내역_24.10" sheetId="106" state="hidden" r:id="rId36"/>
    <sheet name="내역_24.11" sheetId="108" state="hidden" r:id="rId37"/>
    <sheet name="내역_24.12" sheetId="110" state="hidden" r:id="rId38"/>
    <sheet name="내역_25.01" sheetId="112" state="hidden" r:id="rId39"/>
    <sheet name="내역_25.02" sheetId="115" state="hidden" r:id="rId40"/>
    <sheet name="내역_25.03" sheetId="117" state="hidden" r:id="rId41"/>
    <sheet name="내역_25.04" sheetId="119" state="hidden" r:id="rId42"/>
    <sheet name="내역_25.05" sheetId="122" state="hidden" r:id="rId43"/>
    <sheet name="25.07" sheetId="124" state="hidden" r:id="rId44"/>
    <sheet name="25.08" sheetId="131" state="hidden" r:id="rId45"/>
    <sheet name="25.09" sheetId="134" state="hidden" r:id="rId46"/>
    <sheet name="25.10" sheetId="140" state="hidden" r:id="rId47"/>
    <sheet name="25.11" sheetId="139" state="hidden" r:id="rId48"/>
    <sheet name="25.12" sheetId="146" state="hidden" r:id="rId49"/>
    <sheet name="26.01" sheetId="144" state="hidden" r:id="rId50"/>
    <sheet name="26.02" sheetId="147" state="hidden" r:id="rId51"/>
    <sheet name="26.03" sheetId="149" state="hidden" r:id="rId52"/>
    <sheet name="26.04" sheetId="151" state="hidden" r:id="rId53"/>
    <sheet name="26.05" sheetId="153" r:id="rId54"/>
    <sheet name="통장지급내역" sheetId="154" r:id="rId55"/>
    <sheet name="당월 업무추진비" sheetId="128" state="hidden" r:id="rId56"/>
    <sheet name="기사 야근 일지" sheetId="129" state="hidden" r:id="rId57"/>
    <sheet name="업무추진비" sheetId="91" state="hidden" r:id="rId58"/>
    <sheet name="12월 업무추진비" sheetId="80" state="hidden" r:id="rId59"/>
    <sheet name="기사 야근일지" sheetId="81" state="hidden" r:id="rId60"/>
    <sheet name="9월 10월 기사 야근" sheetId="72" state="hidden" r:id="rId61"/>
    <sheet name="10월 업무추진비" sheetId="73" state="hidden" r:id="rId62"/>
    <sheet name="9월 업무추진비" sheetId="64" state="hidden" r:id="rId63"/>
    <sheet name="세부내역" sheetId="12" state="hidden" r:id="rId64"/>
  </sheets>
  <externalReferences>
    <externalReference r:id="rId65"/>
    <externalReference r:id="rId66"/>
    <externalReference r:id="rId67"/>
    <externalReference r:id="rId68"/>
    <externalReference r:id="rId69"/>
  </externalReferences>
  <definedNames>
    <definedName name="_xlnm._FilterDatabase" localSheetId="43" hidden="1">'25.07'!$B$18:$R$92</definedName>
    <definedName name="_xlnm._FilterDatabase" localSheetId="44" hidden="1">'25.08'!$B$18:$R$95</definedName>
    <definedName name="_xlnm._FilterDatabase" localSheetId="45" hidden="1">'25.09'!$B$18:$R$94</definedName>
    <definedName name="_xlnm._FilterDatabase" localSheetId="46" hidden="1">'25.10'!$B$18:$R$88</definedName>
    <definedName name="_xlnm._FilterDatabase" localSheetId="47" hidden="1">'25.11'!$B$18:$R$89</definedName>
    <definedName name="_xlnm._FilterDatabase" localSheetId="48" hidden="1">'25.12'!$B$18:$R$93</definedName>
    <definedName name="_xlnm._FilterDatabase" localSheetId="49" hidden="1">'26.01'!$B$18:$R$89</definedName>
    <definedName name="_xlnm._FilterDatabase" localSheetId="50" hidden="1">'26.02'!$B$19:$R$92</definedName>
    <definedName name="_xlnm._FilterDatabase" localSheetId="51" hidden="1">'26.03'!$B$20:$R$99</definedName>
    <definedName name="_xlnm._FilterDatabase" localSheetId="52" hidden="1">'26.04'!$B$20:$R$96</definedName>
    <definedName name="_xlnm._FilterDatabase" localSheetId="53" hidden="1">'26.05'!$B$20:$R$95</definedName>
    <definedName name="_xlnm._FilterDatabase" localSheetId="1" hidden="1">'내역_22.03'!$A$16:$N$28</definedName>
    <definedName name="_xlnm._FilterDatabase" localSheetId="2" hidden="1">'내역_22.04'!$A$16:$N$31</definedName>
    <definedName name="_xlnm._FilterDatabase" localSheetId="3" hidden="1">'내역_22.05'!$A$16:$N$55</definedName>
    <definedName name="_xlnm._FilterDatabase" localSheetId="4" hidden="1">'내역_22.06'!$A$16:$N$62</definedName>
    <definedName name="_xlnm._FilterDatabase" localSheetId="5" hidden="1">'내역_22.07'!$A$16:$N$75</definedName>
    <definedName name="_xlnm._FilterDatabase" localSheetId="6" hidden="1">'내역_22.07 (수정)'!$A$16:$N$75</definedName>
    <definedName name="_xlnm._FilterDatabase" localSheetId="7" hidden="1">'내역_22.08'!$A$16:$N$67</definedName>
    <definedName name="_xlnm._FilterDatabase" localSheetId="8" hidden="1">'내역_22.09'!$A$16:$N$62</definedName>
    <definedName name="_xlnm._FilterDatabase" localSheetId="9" hidden="1">'내역_22.10'!$A$16:$N$76</definedName>
    <definedName name="_xlnm._FilterDatabase" localSheetId="10" hidden="1">'내역_22.11'!$A$16:$N$68</definedName>
    <definedName name="_xlnm._FilterDatabase" localSheetId="11" hidden="1">'내역_22.12'!$A$16:$N$73</definedName>
    <definedName name="_xlnm._FilterDatabase" localSheetId="12" hidden="1">'내역_23.01'!$A$16:$N$107</definedName>
    <definedName name="_xlnm._FilterDatabase" localSheetId="13" hidden="1">'내역_23.02'!$A$18:$N$151</definedName>
    <definedName name="_xlnm._FilterDatabase" localSheetId="14" hidden="1">'내역_23.03'!$A$18:$N$152</definedName>
    <definedName name="_xlnm._FilterDatabase" localSheetId="15" hidden="1">'내역_23.04'!$A$18:$N$149</definedName>
    <definedName name="_xlnm._FilterDatabase" localSheetId="16" hidden="1">'내역_23.05'!$A$18:$N$152</definedName>
    <definedName name="_xlnm._FilterDatabase" localSheetId="18" hidden="1">'내역_23.06'!$A$18:$N$157</definedName>
    <definedName name="_xlnm._FilterDatabase" localSheetId="19" hidden="1">'내역_23.07'!$A$18:$N$126</definedName>
    <definedName name="_xlnm._FilterDatabase" localSheetId="20" hidden="1">'내역_23.08'!$A$18:$N$163</definedName>
    <definedName name="_xlnm._FilterDatabase" localSheetId="22" hidden="1">'내역_23.09'!$A$18:$N$131</definedName>
    <definedName name="_xlnm._FilterDatabase" localSheetId="23" hidden="1">'내역_23.10'!$A$18:$N$138</definedName>
    <definedName name="_xlnm._FilterDatabase" localSheetId="24" hidden="1">'내역_23.11'!$A$18:$N$158</definedName>
    <definedName name="_xlnm._FilterDatabase" localSheetId="25" hidden="1">'내역_23.12'!$A$18:$N$135</definedName>
    <definedName name="_xlnm._FilterDatabase" localSheetId="26" hidden="1">'내역_24.01'!$B$17:$R$96</definedName>
    <definedName name="_xlnm._FilterDatabase" localSheetId="27" hidden="1">'내역_24.02'!$B$17:$R$95</definedName>
    <definedName name="_xlnm._FilterDatabase" localSheetId="28" hidden="1">'내역_24.03'!$B$17:$R$108</definedName>
    <definedName name="_xlnm._FilterDatabase" localSheetId="29" hidden="1">'내역_24.04'!$B$17:$R$106</definedName>
    <definedName name="_xlnm._FilterDatabase" localSheetId="30" hidden="1">'내역_24.05'!$B$17:$R$92</definedName>
    <definedName name="_xlnm._FilterDatabase" localSheetId="31" hidden="1">'내역_24.06'!$B$17:$R$97</definedName>
    <definedName name="_xlnm._FilterDatabase" localSheetId="32" hidden="1">'내역_24.07'!$B$17:$R$93</definedName>
    <definedName name="_xlnm._FilterDatabase" localSheetId="33" hidden="1">'내역_24.08'!$B$18:$R$92</definedName>
    <definedName name="_xlnm._FilterDatabase" localSheetId="34" hidden="1">'내역_24.09'!$B$18:$R$98</definedName>
    <definedName name="_xlnm._FilterDatabase" localSheetId="35" hidden="1">'내역_24.10'!$B$18:$R$94</definedName>
    <definedName name="_xlnm._FilterDatabase" localSheetId="36" hidden="1">'내역_24.11'!$B$18:$R$91</definedName>
    <definedName name="_xlnm._FilterDatabase" localSheetId="37" hidden="1">'내역_24.12'!$B$18:$R$96</definedName>
    <definedName name="_xlnm._FilterDatabase" localSheetId="38" hidden="1">'내역_25.01'!$B$18:$R$105</definedName>
    <definedName name="_xlnm._FilterDatabase" localSheetId="39" hidden="1">'내역_25.02'!$B$18:$R$97</definedName>
    <definedName name="_xlnm._FilterDatabase" localSheetId="40" hidden="1">'내역_25.03'!$B$18:$R$104</definedName>
    <definedName name="_xlnm._FilterDatabase" localSheetId="41" hidden="1">'내역_25.04'!$B$18:$R$104</definedName>
    <definedName name="_xlnm._FilterDatabase" localSheetId="42" hidden="1">'내역_25.05'!$B$18:$R$110</definedName>
    <definedName name="_xlnm._FilterDatabase" localSheetId="63" hidden="1">세부내역!$A$2:$O$66</definedName>
    <definedName name="Large_scale_classification">[1]Sheet3!$C$4:$C$10</definedName>
    <definedName name="_xlnm.Print_Area" localSheetId="0">'통장내역(환율표)'!$B$2:$N$10</definedName>
    <definedName name="_xlnm.Print_Area" localSheetId="54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" i="153" l="1"/>
  <c r="R9" i="153"/>
  <c r="T9" i="153" s="1"/>
  <c r="R8" i="153"/>
  <c r="T8" i="153" s="1"/>
  <c r="R7" i="153"/>
  <c r="R6" i="153"/>
  <c r="T7" i="153"/>
  <c r="T6" i="153"/>
  <c r="T5" i="153"/>
  <c r="R5" i="153"/>
  <c r="V5" i="153"/>
  <c r="D88" i="2"/>
  <c r="L47" i="153" s="1"/>
  <c r="M47" i="153" s="1"/>
  <c r="D84" i="2"/>
  <c r="L25" i="153" s="1"/>
  <c r="P14" i="153"/>
  <c r="R13" i="153"/>
  <c r="R12" i="153"/>
  <c r="R11" i="153"/>
  <c r="L85" i="153" l="1"/>
  <c r="M85" i="153" s="1"/>
  <c r="L87" i="153"/>
  <c r="M87" i="153" s="1"/>
  <c r="L72" i="153"/>
  <c r="M72" i="153" s="1"/>
  <c r="L88" i="153"/>
  <c r="M88" i="153" s="1"/>
  <c r="L60" i="153"/>
  <c r="M60" i="153" s="1"/>
  <c r="L89" i="153"/>
  <c r="M89" i="153" s="1"/>
  <c r="L48" i="153"/>
  <c r="M48" i="153" s="1"/>
  <c r="L49" i="153"/>
  <c r="M49" i="153" s="1"/>
  <c r="L74" i="153"/>
  <c r="M74" i="153" s="1"/>
  <c r="L63" i="153"/>
  <c r="M63" i="153" s="1"/>
  <c r="L64" i="153"/>
  <c r="M64" i="153" s="1"/>
  <c r="L77" i="153"/>
  <c r="M77" i="153" s="1"/>
  <c r="L54" i="153"/>
  <c r="M54" i="153" s="1"/>
  <c r="L66" i="153"/>
  <c r="M66" i="153" s="1"/>
  <c r="L78" i="153"/>
  <c r="M78" i="153" s="1"/>
  <c r="L90" i="153"/>
  <c r="M90" i="153" s="1"/>
  <c r="L84" i="153"/>
  <c r="M84" i="153" s="1"/>
  <c r="L62" i="153"/>
  <c r="M62" i="153" s="1"/>
  <c r="L51" i="153"/>
  <c r="M51" i="153" s="1"/>
  <c r="L52" i="153"/>
  <c r="M52" i="153" s="1"/>
  <c r="L65" i="153"/>
  <c r="M65" i="153" s="1"/>
  <c r="L55" i="153"/>
  <c r="M55" i="153" s="1"/>
  <c r="L67" i="153"/>
  <c r="M67" i="153" s="1"/>
  <c r="L79" i="153"/>
  <c r="M79" i="153" s="1"/>
  <c r="L91" i="153"/>
  <c r="M91" i="153" s="1"/>
  <c r="L73" i="153"/>
  <c r="M73" i="153" s="1"/>
  <c r="L86" i="153"/>
  <c r="M86" i="153" s="1"/>
  <c r="L76" i="153"/>
  <c r="M76" i="153" s="1"/>
  <c r="L56" i="153"/>
  <c r="M56" i="153" s="1"/>
  <c r="L68" i="153"/>
  <c r="M68" i="153" s="1"/>
  <c r="L80" i="153"/>
  <c r="M80" i="153" s="1"/>
  <c r="L92" i="153"/>
  <c r="M92" i="153" s="1"/>
  <c r="L61" i="153"/>
  <c r="M61" i="153" s="1"/>
  <c r="L50" i="153"/>
  <c r="M50" i="153" s="1"/>
  <c r="L75" i="153"/>
  <c r="M75" i="153" s="1"/>
  <c r="L53" i="153"/>
  <c r="M53" i="153" s="1"/>
  <c r="L57" i="153"/>
  <c r="M57" i="153" s="1"/>
  <c r="L69" i="153"/>
  <c r="M69" i="153" s="1"/>
  <c r="L81" i="153"/>
  <c r="M81" i="153" s="1"/>
  <c r="L93" i="153"/>
  <c r="M93" i="153" s="1"/>
  <c r="L58" i="153"/>
  <c r="M58" i="153" s="1"/>
  <c r="L70" i="153"/>
  <c r="M70" i="153" s="1"/>
  <c r="L82" i="153"/>
  <c r="M82" i="153" s="1"/>
  <c r="L94" i="153"/>
  <c r="M94" i="153" s="1"/>
  <c r="L59" i="153"/>
  <c r="M59" i="153" s="1"/>
  <c r="L71" i="153"/>
  <c r="M71" i="153" s="1"/>
  <c r="L83" i="153"/>
  <c r="M83" i="153" s="1"/>
  <c r="L95" i="153"/>
  <c r="M95" i="153" s="1"/>
  <c r="L39" i="153"/>
  <c r="L40" i="153"/>
  <c r="M40" i="153" s="1"/>
  <c r="L41" i="153"/>
  <c r="M41" i="153" s="1"/>
  <c r="L42" i="153"/>
  <c r="L43" i="153"/>
  <c r="M43" i="153" s="1"/>
  <c r="L32" i="153"/>
  <c r="L44" i="153"/>
  <c r="M44" i="153" s="1"/>
  <c r="L37" i="153"/>
  <c r="M37" i="153" s="1"/>
  <c r="L33" i="153"/>
  <c r="M33" i="153" s="1"/>
  <c r="L45" i="153"/>
  <c r="M45" i="153" s="1"/>
  <c r="L36" i="153"/>
  <c r="M36" i="153" s="1"/>
  <c r="L34" i="153"/>
  <c r="M34" i="153" s="1"/>
  <c r="L46" i="153"/>
  <c r="M46" i="153" s="1"/>
  <c r="L38" i="153"/>
  <c r="M38" i="153" s="1"/>
  <c r="L35" i="153"/>
  <c r="M35" i="153" s="1"/>
  <c r="L26" i="153"/>
  <c r="M26" i="153" s="1"/>
  <c r="L27" i="153"/>
  <c r="M27" i="153" s="1"/>
  <c r="L31" i="153"/>
  <c r="L28" i="153"/>
  <c r="M28" i="153" s="1"/>
  <c r="O22" i="153" l="1"/>
  <c r="N22" i="153"/>
  <c r="K14" i="153"/>
  <c r="J14" i="153"/>
  <c r="E14" i="153"/>
  <c r="D14" i="153"/>
  <c r="W13" i="153"/>
  <c r="V13" i="153"/>
  <c r="L13" i="153"/>
  <c r="W12" i="153"/>
  <c r="V12" i="153"/>
  <c r="L12" i="153"/>
  <c r="X12" i="153" s="1"/>
  <c r="W11" i="153"/>
  <c r="V11" i="153"/>
  <c r="L11" i="153"/>
  <c r="X11" i="153" s="1"/>
  <c r="V10" i="153"/>
  <c r="L10" i="153"/>
  <c r="F10" i="153"/>
  <c r="W9" i="153"/>
  <c r="V9" i="153"/>
  <c r="L9" i="153"/>
  <c r="F9" i="153"/>
  <c r="W8" i="153"/>
  <c r="V8" i="153"/>
  <c r="L8" i="153"/>
  <c r="F8" i="153"/>
  <c r="W7" i="153"/>
  <c r="V7" i="153"/>
  <c r="L7" i="153"/>
  <c r="F7" i="153"/>
  <c r="W6" i="153"/>
  <c r="V6" i="153"/>
  <c r="L6" i="153"/>
  <c r="F6" i="153"/>
  <c r="W5" i="153"/>
  <c r="L5" i="153"/>
  <c r="F5" i="153"/>
  <c r="L16" i="151"/>
  <c r="L13" i="151"/>
  <c r="L12" i="151"/>
  <c r="L11" i="151"/>
  <c r="L10" i="151"/>
  <c r="L9" i="151"/>
  <c r="L8" i="151"/>
  <c r="L7" i="151"/>
  <c r="L6" i="151"/>
  <c r="L5" i="151"/>
  <c r="N23" i="153" l="1"/>
  <c r="O23" i="153"/>
  <c r="O24" i="153" s="1"/>
  <c r="X7" i="153"/>
  <c r="X9" i="153"/>
  <c r="J15" i="153"/>
  <c r="X6" i="153"/>
  <c r="U6" i="153" s="1"/>
  <c r="L14" i="153"/>
  <c r="X8" i="153"/>
  <c r="U8" i="153" s="1"/>
  <c r="F14" i="153"/>
  <c r="X5" i="153"/>
  <c r="U5" i="153" s="1"/>
  <c r="X13" i="153"/>
  <c r="D75" i="2"/>
  <c r="L92" i="151" l="1"/>
  <c r="M92" i="151" s="1"/>
  <c r="L24" i="153"/>
  <c r="K24" i="153" s="1"/>
  <c r="N24" i="153" s="1"/>
  <c r="L61" i="151"/>
  <c r="M61" i="151" s="1"/>
  <c r="L63" i="151"/>
  <c r="M63" i="151" s="1"/>
  <c r="L73" i="151"/>
  <c r="M73" i="151" s="1"/>
  <c r="L62" i="151"/>
  <c r="M62" i="151" s="1"/>
  <c r="L74" i="151"/>
  <c r="M74" i="151" s="1"/>
  <c r="L75" i="151"/>
  <c r="M75" i="151" s="1"/>
  <c r="L37" i="151"/>
  <c r="M37" i="151" s="1"/>
  <c r="L85" i="151"/>
  <c r="M85" i="151" s="1"/>
  <c r="L38" i="151"/>
  <c r="M38" i="151" s="1"/>
  <c r="L86" i="151"/>
  <c r="M86" i="151" s="1"/>
  <c r="L39" i="151"/>
  <c r="M39" i="151" s="1"/>
  <c r="L87" i="151"/>
  <c r="M87" i="151" s="1"/>
  <c r="L49" i="151"/>
  <c r="M49" i="151" s="1"/>
  <c r="L88" i="151"/>
  <c r="M88" i="151" s="1"/>
  <c r="L51" i="151"/>
  <c r="M51" i="151" s="1"/>
  <c r="L50" i="151"/>
  <c r="M50" i="151" s="1"/>
  <c r="L89" i="151"/>
  <c r="M89" i="151" s="1"/>
  <c r="L52" i="151"/>
  <c r="M52" i="151" s="1"/>
  <c r="L41" i="151"/>
  <c r="M41" i="151" s="1"/>
  <c r="L54" i="151"/>
  <c r="M54" i="151" s="1"/>
  <c r="L66" i="151"/>
  <c r="M66" i="151" s="1"/>
  <c r="L78" i="151"/>
  <c r="M78" i="151" s="1"/>
  <c r="L90" i="151"/>
  <c r="M90" i="151" s="1"/>
  <c r="L76" i="151"/>
  <c r="M76" i="151" s="1"/>
  <c r="L42" i="151"/>
  <c r="M42" i="151" s="1"/>
  <c r="L43" i="151"/>
  <c r="M43" i="151" s="1"/>
  <c r="L55" i="151"/>
  <c r="M55" i="151" s="1"/>
  <c r="L67" i="151"/>
  <c r="M67" i="151" s="1"/>
  <c r="L79" i="151"/>
  <c r="M79" i="151" s="1"/>
  <c r="L91" i="151"/>
  <c r="M91" i="151" s="1"/>
  <c r="L65" i="151"/>
  <c r="M65" i="151" s="1"/>
  <c r="L56" i="151"/>
  <c r="M56" i="151" s="1"/>
  <c r="L68" i="151"/>
  <c r="M68" i="151" s="1"/>
  <c r="L80" i="151"/>
  <c r="M80" i="151" s="1"/>
  <c r="L30" i="151"/>
  <c r="L29" i="151"/>
  <c r="L33" i="151"/>
  <c r="M33" i="151" s="1"/>
  <c r="L45" i="151"/>
  <c r="M45" i="151" s="1"/>
  <c r="L57" i="151"/>
  <c r="M57" i="151" s="1"/>
  <c r="L69" i="151"/>
  <c r="M69" i="151" s="1"/>
  <c r="L81" i="151"/>
  <c r="M81" i="151" s="1"/>
  <c r="L93" i="151"/>
  <c r="M93" i="151" s="1"/>
  <c r="L53" i="151"/>
  <c r="M53" i="151" s="1"/>
  <c r="L31" i="151"/>
  <c r="M31" i="151" s="1"/>
  <c r="L34" i="151"/>
  <c r="M34" i="151" s="1"/>
  <c r="L46" i="151"/>
  <c r="M46" i="151" s="1"/>
  <c r="L58" i="151"/>
  <c r="M58" i="151" s="1"/>
  <c r="L70" i="151"/>
  <c r="M70" i="151" s="1"/>
  <c r="L82" i="151"/>
  <c r="M82" i="151" s="1"/>
  <c r="L94" i="151"/>
  <c r="M94" i="151" s="1"/>
  <c r="L64" i="151"/>
  <c r="M64" i="151" s="1"/>
  <c r="L32" i="151"/>
  <c r="M32" i="151" s="1"/>
  <c r="L35" i="151"/>
  <c r="M35" i="151" s="1"/>
  <c r="L47" i="151"/>
  <c r="M47" i="151" s="1"/>
  <c r="L59" i="151"/>
  <c r="M59" i="151" s="1"/>
  <c r="L71" i="151"/>
  <c r="M71" i="151" s="1"/>
  <c r="L83" i="151"/>
  <c r="M83" i="151" s="1"/>
  <c r="L95" i="151"/>
  <c r="M95" i="151" s="1"/>
  <c r="L40" i="151"/>
  <c r="M40" i="151" s="1"/>
  <c r="L77" i="151"/>
  <c r="M77" i="151" s="1"/>
  <c r="L44" i="151"/>
  <c r="M44" i="151" s="1"/>
  <c r="L36" i="151"/>
  <c r="M36" i="151" s="1"/>
  <c r="L48" i="151"/>
  <c r="M48" i="151" s="1"/>
  <c r="L60" i="151"/>
  <c r="M60" i="151" s="1"/>
  <c r="L72" i="151"/>
  <c r="M72" i="151" s="1"/>
  <c r="L84" i="151"/>
  <c r="M84" i="151" s="1"/>
  <c r="L96" i="151"/>
  <c r="M96" i="151" s="1"/>
  <c r="K25" i="153" l="1"/>
  <c r="M25" i="153" s="1"/>
  <c r="S22" i="153" s="1"/>
  <c r="S24" i="153" s="1"/>
  <c r="O22" i="151"/>
  <c r="O23" i="151" s="1"/>
  <c r="N22" i="151"/>
  <c r="N23" i="151" s="1"/>
  <c r="N24" i="151" s="1"/>
  <c r="N25" i="151" s="1"/>
  <c r="N26" i="151" s="1"/>
  <c r="N27" i="151" s="1"/>
  <c r="M30" i="151"/>
  <c r="K14" i="151"/>
  <c r="K15" i="151" s="1"/>
  <c r="J14" i="151"/>
  <c r="J15" i="151" s="1"/>
  <c r="X13" i="151"/>
  <c r="E14" i="151"/>
  <c r="D14" i="151"/>
  <c r="W13" i="151"/>
  <c r="V13" i="151"/>
  <c r="W12" i="151"/>
  <c r="V12" i="151"/>
  <c r="X12" i="151"/>
  <c r="X11" i="151"/>
  <c r="W11" i="151"/>
  <c r="V11" i="151"/>
  <c r="W10" i="151"/>
  <c r="V10" i="151"/>
  <c r="F10" i="151"/>
  <c r="W9" i="151"/>
  <c r="V9" i="151"/>
  <c r="F9" i="151"/>
  <c r="W8" i="151"/>
  <c r="V8" i="151"/>
  <c r="F8" i="151"/>
  <c r="W7" i="151"/>
  <c r="V7" i="151"/>
  <c r="F7" i="151"/>
  <c r="W6" i="151"/>
  <c r="V6" i="151"/>
  <c r="F6" i="151"/>
  <c r="W5" i="151"/>
  <c r="V5" i="151"/>
  <c r="F5" i="151"/>
  <c r="W13" i="149"/>
  <c r="V13" i="149"/>
  <c r="W12" i="149"/>
  <c r="V12" i="149"/>
  <c r="W11" i="149"/>
  <c r="V11" i="149"/>
  <c r="W10" i="149"/>
  <c r="V10" i="149"/>
  <c r="W9" i="149"/>
  <c r="V9" i="149"/>
  <c r="W8" i="149"/>
  <c r="V8" i="149"/>
  <c r="W7" i="149"/>
  <c r="V7" i="149"/>
  <c r="W6" i="149"/>
  <c r="V6" i="149"/>
  <c r="W5" i="149"/>
  <c r="V5" i="149"/>
  <c r="L11" i="149"/>
  <c r="X11" i="149" s="1"/>
  <c r="L10" i="149"/>
  <c r="L9" i="149"/>
  <c r="L8" i="149"/>
  <c r="L7" i="149"/>
  <c r="L6" i="149"/>
  <c r="L5" i="149"/>
  <c r="S25" i="153" l="1"/>
  <c r="S26" i="153" s="1"/>
  <c r="S27" i="153" s="1"/>
  <c r="S28" i="153" s="1"/>
  <c r="O25" i="153"/>
  <c r="O26" i="153" s="1"/>
  <c r="O27" i="153" s="1"/>
  <c r="O28" i="153" s="1"/>
  <c r="O29" i="153" s="1"/>
  <c r="O30" i="153" s="1"/>
  <c r="N25" i="153"/>
  <c r="N26" i="153" s="1"/>
  <c r="N27" i="153" s="1"/>
  <c r="N28" i="153" s="1"/>
  <c r="N29" i="153" s="1"/>
  <c r="N30" i="153" s="1"/>
  <c r="X8" i="151"/>
  <c r="X9" i="151"/>
  <c r="X10" i="151"/>
  <c r="F14" i="151"/>
  <c r="X6" i="151"/>
  <c r="L14" i="151"/>
  <c r="X7" i="151"/>
  <c r="X5" i="151"/>
  <c r="K14" i="149"/>
  <c r="J14" i="149"/>
  <c r="L13" i="149"/>
  <c r="L12" i="149"/>
  <c r="K73" i="149"/>
  <c r="K55" i="149"/>
  <c r="K56" i="149" s="1"/>
  <c r="M56" i="149" s="1"/>
  <c r="S56" i="149" s="1"/>
  <c r="K59" i="149"/>
  <c r="L15" i="151" l="1"/>
  <c r="L14" i="149"/>
  <c r="K74" i="149"/>
  <c r="M59" i="149"/>
  <c r="M73" i="149"/>
  <c r="I22" i="149"/>
  <c r="R12" i="149"/>
  <c r="X12" i="149" s="1"/>
  <c r="D68" i="2" l="1"/>
  <c r="L88" i="149" l="1"/>
  <c r="M88" i="149" s="1"/>
  <c r="L25" i="151"/>
  <c r="M25" i="151" s="1"/>
  <c r="L24" i="151"/>
  <c r="M24" i="151" s="1"/>
  <c r="L27" i="151"/>
  <c r="M27" i="151" s="1"/>
  <c r="L26" i="151"/>
  <c r="M26" i="151" s="1"/>
  <c r="L28" i="151"/>
  <c r="K28" i="151" s="1"/>
  <c r="L74" i="149"/>
  <c r="L78" i="149"/>
  <c r="M78" i="149" s="1"/>
  <c r="L90" i="149"/>
  <c r="M90" i="149" s="1"/>
  <c r="L91" i="149"/>
  <c r="M91" i="149" s="1"/>
  <c r="M65" i="149"/>
  <c r="M67" i="149"/>
  <c r="L80" i="149"/>
  <c r="M80" i="149" s="1"/>
  <c r="L92" i="149"/>
  <c r="M92" i="149" s="1"/>
  <c r="M68" i="149"/>
  <c r="L81" i="149"/>
  <c r="M81" i="149" s="1"/>
  <c r="L93" i="149"/>
  <c r="M93" i="149" s="1"/>
  <c r="M57" i="149"/>
  <c r="S57" i="149" s="1"/>
  <c r="M69" i="149"/>
  <c r="L82" i="149"/>
  <c r="M82" i="149" s="1"/>
  <c r="L94" i="149"/>
  <c r="M94" i="149" s="1"/>
  <c r="M58" i="149"/>
  <c r="M70" i="149"/>
  <c r="L83" i="149"/>
  <c r="M83" i="149" s="1"/>
  <c r="L95" i="149"/>
  <c r="M95" i="149" s="1"/>
  <c r="L79" i="149"/>
  <c r="M79" i="149" s="1"/>
  <c r="M71" i="149"/>
  <c r="L84" i="149"/>
  <c r="M84" i="149" s="1"/>
  <c r="L96" i="149"/>
  <c r="M96" i="149" s="1"/>
  <c r="L89" i="149"/>
  <c r="M89" i="149" s="1"/>
  <c r="M66" i="149"/>
  <c r="M60" i="149"/>
  <c r="M72" i="149"/>
  <c r="L85" i="149"/>
  <c r="M85" i="149" s="1"/>
  <c r="L97" i="149"/>
  <c r="M97" i="149" s="1"/>
  <c r="M64" i="149"/>
  <c r="M61" i="149"/>
  <c r="L86" i="149"/>
  <c r="M86" i="149" s="1"/>
  <c r="L98" i="149"/>
  <c r="M98" i="149" s="1"/>
  <c r="M62" i="149"/>
  <c r="L75" i="149"/>
  <c r="M75" i="149" s="1"/>
  <c r="L87" i="149"/>
  <c r="M87" i="149" s="1"/>
  <c r="L99" i="149"/>
  <c r="M99" i="149" s="1"/>
  <c r="L77" i="149"/>
  <c r="M77" i="149" s="1"/>
  <c r="M63" i="149"/>
  <c r="L76" i="149"/>
  <c r="M76" i="149" s="1"/>
  <c r="O22" i="149"/>
  <c r="N22" i="149"/>
  <c r="N23" i="149" s="1"/>
  <c r="N24" i="149" s="1"/>
  <c r="N25" i="149" s="1"/>
  <c r="N26" i="149" s="1"/>
  <c r="N27" i="149" s="1"/>
  <c r="N28" i="149" s="1"/>
  <c r="N29" i="149" s="1"/>
  <c r="N30" i="149" s="1"/>
  <c r="N31" i="149" s="1"/>
  <c r="N32" i="149" s="1"/>
  <c r="N33" i="149" s="1"/>
  <c r="N34" i="149" s="1"/>
  <c r="N35" i="149" s="1"/>
  <c r="N36" i="149" s="1"/>
  <c r="N37" i="149" s="1"/>
  <c r="N38" i="149" s="1"/>
  <c r="N39" i="149" s="1"/>
  <c r="N40" i="149" s="1"/>
  <c r="N41" i="149" s="1"/>
  <c r="N42" i="149" s="1"/>
  <c r="N43" i="149" s="1"/>
  <c r="N44" i="149" s="1"/>
  <c r="N45" i="149" s="1"/>
  <c r="N46" i="149" s="1"/>
  <c r="N47" i="149" s="1"/>
  <c r="N48" i="149" s="1"/>
  <c r="N49" i="149" s="1"/>
  <c r="N50" i="149" s="1"/>
  <c r="N51" i="149" s="1"/>
  <c r="N52" i="149" s="1"/>
  <c r="N53" i="149" s="1"/>
  <c r="N54" i="149" s="1"/>
  <c r="Q14" i="149"/>
  <c r="P14" i="149"/>
  <c r="E14" i="149"/>
  <c r="E15" i="149" s="1"/>
  <c r="D14" i="149"/>
  <c r="D15" i="149" s="1"/>
  <c r="R13" i="149"/>
  <c r="X13" i="149" s="1"/>
  <c r="R10" i="149"/>
  <c r="F10" i="149"/>
  <c r="R9" i="149"/>
  <c r="F9" i="149"/>
  <c r="R8" i="149"/>
  <c r="F8" i="149"/>
  <c r="X8" i="149" s="1"/>
  <c r="R7" i="149"/>
  <c r="F7" i="149"/>
  <c r="X7" i="149" s="1"/>
  <c r="R6" i="149"/>
  <c r="F6" i="149"/>
  <c r="R5" i="149"/>
  <c r="F5" i="149"/>
  <c r="S58" i="149" l="1"/>
  <c r="S59" i="149" s="1"/>
  <c r="S60" i="149" s="1"/>
  <c r="S61" i="149" s="1"/>
  <c r="S62" i="149" s="1"/>
  <c r="S63" i="149" s="1"/>
  <c r="S64" i="149" s="1"/>
  <c r="S65" i="149" s="1"/>
  <c r="K29" i="151"/>
  <c r="M29" i="151" s="1"/>
  <c r="S29" i="151" s="1"/>
  <c r="S30" i="151" s="1"/>
  <c r="S31" i="151" s="1"/>
  <c r="S32" i="151" s="1"/>
  <c r="S33" i="151" s="1"/>
  <c r="S34" i="151" s="1"/>
  <c r="S35" i="151" s="1"/>
  <c r="S36" i="151" s="1"/>
  <c r="S37" i="151" s="1"/>
  <c r="S38" i="151" s="1"/>
  <c r="S39" i="151" s="1"/>
  <c r="S40" i="151" s="1"/>
  <c r="S41" i="151" s="1"/>
  <c r="S42" i="151" s="1"/>
  <c r="S43" i="151" s="1"/>
  <c r="S44" i="151" s="1"/>
  <c r="S45" i="151" s="1"/>
  <c r="S46" i="151" s="1"/>
  <c r="S47" i="151" s="1"/>
  <c r="S48" i="151" s="1"/>
  <c r="S49" i="151" s="1"/>
  <c r="S50" i="151" s="1"/>
  <c r="S51" i="151" s="1"/>
  <c r="S52" i="151" s="1"/>
  <c r="S53" i="151" s="1"/>
  <c r="S54" i="151" s="1"/>
  <c r="S55" i="151" s="1"/>
  <c r="S56" i="151" s="1"/>
  <c r="S57" i="151" s="1"/>
  <c r="S58" i="151" s="1"/>
  <c r="S59" i="151" s="1"/>
  <c r="S60" i="151" s="1"/>
  <c r="S61" i="151" s="1"/>
  <c r="S62" i="151" s="1"/>
  <c r="S63" i="151" s="1"/>
  <c r="S64" i="151" s="1"/>
  <c r="S65" i="151" s="1"/>
  <c r="S66" i="151" s="1"/>
  <c r="S67" i="151" s="1"/>
  <c r="S68" i="151" s="1"/>
  <c r="S69" i="151" s="1"/>
  <c r="S70" i="151" s="1"/>
  <c r="S71" i="151" s="1"/>
  <c r="S72" i="151" s="1"/>
  <c r="S73" i="151" s="1"/>
  <c r="S74" i="151" s="1"/>
  <c r="S75" i="151" s="1"/>
  <c r="S76" i="151" s="1"/>
  <c r="S77" i="151" s="1"/>
  <c r="S78" i="151" s="1"/>
  <c r="S79" i="151" s="1"/>
  <c r="S80" i="151" s="1"/>
  <c r="S81" i="151" s="1"/>
  <c r="S82" i="151" s="1"/>
  <c r="S83" i="151" s="1"/>
  <c r="S84" i="151" s="1"/>
  <c r="S85" i="151" s="1"/>
  <c r="S86" i="151" s="1"/>
  <c r="S87" i="151" s="1"/>
  <c r="S88" i="151" s="1"/>
  <c r="S89" i="151" s="1"/>
  <c r="S90" i="151" s="1"/>
  <c r="S91" i="151" s="1"/>
  <c r="S92" i="151" s="1"/>
  <c r="S93" i="151" s="1"/>
  <c r="S94" i="151" s="1"/>
  <c r="S95" i="151" s="1"/>
  <c r="S96" i="151" s="1"/>
  <c r="N28" i="151"/>
  <c r="K18" i="151"/>
  <c r="S24" i="151"/>
  <c r="S25" i="151" s="1"/>
  <c r="S26" i="151" s="1"/>
  <c r="S27" i="151" s="1"/>
  <c r="S28" i="151" s="1"/>
  <c r="O24" i="151"/>
  <c r="O25" i="151" s="1"/>
  <c r="O26" i="151" s="1"/>
  <c r="O27" i="151" s="1"/>
  <c r="O28" i="151" s="1"/>
  <c r="M18" i="151"/>
  <c r="S66" i="149"/>
  <c r="S67" i="149" s="1"/>
  <c r="S68" i="149" s="1"/>
  <c r="S69" i="149" s="1"/>
  <c r="S70" i="149" s="1"/>
  <c r="S71" i="149" s="1"/>
  <c r="S72" i="149" s="1"/>
  <c r="S73" i="149" s="1"/>
  <c r="X9" i="149"/>
  <c r="X5" i="149"/>
  <c r="X10" i="149"/>
  <c r="X6" i="149"/>
  <c r="P15" i="149"/>
  <c r="Q15" i="149"/>
  <c r="R14" i="149"/>
  <c r="S22" i="149"/>
  <c r="F14" i="149"/>
  <c r="O29" i="151" l="1"/>
  <c r="O30" i="151" s="1"/>
  <c r="O31" i="151" s="1"/>
  <c r="O32" i="151" s="1"/>
  <c r="O33" i="151" s="1"/>
  <c r="O34" i="151" s="1"/>
  <c r="O35" i="151" s="1"/>
  <c r="O36" i="151" s="1"/>
  <c r="O37" i="151" s="1"/>
  <c r="O38" i="151" s="1"/>
  <c r="O39" i="151" s="1"/>
  <c r="O40" i="151" s="1"/>
  <c r="O41" i="151" s="1"/>
  <c r="O42" i="151" s="1"/>
  <c r="O43" i="151" s="1"/>
  <c r="O44" i="151" s="1"/>
  <c r="O45" i="151" s="1"/>
  <c r="O46" i="151" s="1"/>
  <c r="O47" i="151" s="1"/>
  <c r="O48" i="151" s="1"/>
  <c r="O49" i="151" s="1"/>
  <c r="O50" i="151" s="1"/>
  <c r="O51" i="151" s="1"/>
  <c r="O52" i="151" s="1"/>
  <c r="O53" i="151" s="1"/>
  <c r="O54" i="151" s="1"/>
  <c r="O55" i="151" s="1"/>
  <c r="O56" i="151" s="1"/>
  <c r="O57" i="151" s="1"/>
  <c r="O58" i="151" s="1"/>
  <c r="O59" i="151" s="1"/>
  <c r="O60" i="151" s="1"/>
  <c r="O61" i="151" s="1"/>
  <c r="O62" i="151" s="1"/>
  <c r="O63" i="151" s="1"/>
  <c r="O64" i="151" s="1"/>
  <c r="O65" i="151" s="1"/>
  <c r="O66" i="151" s="1"/>
  <c r="O67" i="151" s="1"/>
  <c r="O68" i="151" s="1"/>
  <c r="O69" i="151" s="1"/>
  <c r="O70" i="151" s="1"/>
  <c r="O71" i="151" s="1"/>
  <c r="O72" i="151" s="1"/>
  <c r="O73" i="151" s="1"/>
  <c r="O74" i="151" s="1"/>
  <c r="O75" i="151" s="1"/>
  <c r="O76" i="151" s="1"/>
  <c r="O77" i="151" s="1"/>
  <c r="O78" i="151" s="1"/>
  <c r="O79" i="151" s="1"/>
  <c r="O80" i="151" s="1"/>
  <c r="O81" i="151" s="1"/>
  <c r="O82" i="151" s="1"/>
  <c r="O83" i="151" s="1"/>
  <c r="O84" i="151" s="1"/>
  <c r="O85" i="151" s="1"/>
  <c r="O86" i="151" s="1"/>
  <c r="O87" i="151" s="1"/>
  <c r="O88" i="151" s="1"/>
  <c r="O89" i="151" s="1"/>
  <c r="O90" i="151" s="1"/>
  <c r="O91" i="151" s="1"/>
  <c r="O92" i="151" s="1"/>
  <c r="O93" i="151" s="1"/>
  <c r="O94" i="151" s="1"/>
  <c r="O95" i="151" s="1"/>
  <c r="O96" i="151" s="1"/>
  <c r="N29" i="151"/>
  <c r="N30" i="151" s="1"/>
  <c r="N31" i="151" s="1"/>
  <c r="N32" i="151" s="1"/>
  <c r="N33" i="151" s="1"/>
  <c r="N34" i="151" s="1"/>
  <c r="N35" i="151" s="1"/>
  <c r="N36" i="151" s="1"/>
  <c r="N37" i="151" s="1"/>
  <c r="N38" i="151" s="1"/>
  <c r="N39" i="151" s="1"/>
  <c r="N40" i="151" s="1"/>
  <c r="N41" i="151" s="1"/>
  <c r="N42" i="151" s="1"/>
  <c r="N43" i="151" s="1"/>
  <c r="N44" i="151" s="1"/>
  <c r="N45" i="151" s="1"/>
  <c r="N46" i="151" s="1"/>
  <c r="N47" i="151" s="1"/>
  <c r="N48" i="151" s="1"/>
  <c r="N49" i="151" s="1"/>
  <c r="N50" i="151" s="1"/>
  <c r="N51" i="151" s="1"/>
  <c r="N52" i="151" s="1"/>
  <c r="N53" i="151" s="1"/>
  <c r="N54" i="151" s="1"/>
  <c r="N55" i="151" s="1"/>
  <c r="N56" i="151" s="1"/>
  <c r="N57" i="151" s="1"/>
  <c r="N58" i="151" s="1"/>
  <c r="N59" i="151" s="1"/>
  <c r="N60" i="151" s="1"/>
  <c r="N61" i="151" s="1"/>
  <c r="N62" i="151" s="1"/>
  <c r="N63" i="151" s="1"/>
  <c r="N64" i="151" s="1"/>
  <c r="N65" i="151" s="1"/>
  <c r="N66" i="151" s="1"/>
  <c r="N67" i="151" s="1"/>
  <c r="N68" i="151" s="1"/>
  <c r="N69" i="151" s="1"/>
  <c r="N70" i="151" s="1"/>
  <c r="N71" i="151" s="1"/>
  <c r="N72" i="151" s="1"/>
  <c r="N73" i="151" s="1"/>
  <c r="N74" i="151" s="1"/>
  <c r="N75" i="151" s="1"/>
  <c r="N76" i="151" s="1"/>
  <c r="N77" i="151" s="1"/>
  <c r="N78" i="151" s="1"/>
  <c r="N79" i="151" s="1"/>
  <c r="N80" i="151" s="1"/>
  <c r="N81" i="151" s="1"/>
  <c r="N82" i="151" s="1"/>
  <c r="N83" i="151" s="1"/>
  <c r="N84" i="151" s="1"/>
  <c r="N85" i="151" s="1"/>
  <c r="N86" i="151" s="1"/>
  <c r="N87" i="151" s="1"/>
  <c r="N88" i="151" s="1"/>
  <c r="N89" i="151" s="1"/>
  <c r="N90" i="151" s="1"/>
  <c r="N91" i="151" s="1"/>
  <c r="N92" i="151" s="1"/>
  <c r="N93" i="151" s="1"/>
  <c r="N94" i="151" s="1"/>
  <c r="N95" i="151" s="1"/>
  <c r="N96" i="151" s="1"/>
  <c r="R15" i="149"/>
  <c r="F15" i="149"/>
  <c r="K2" i="147" l="1"/>
  <c r="L15" i="147"/>
  <c r="D58" i="2"/>
  <c r="L89" i="147" l="1"/>
  <c r="M89" i="147" s="1"/>
  <c r="L26" i="149"/>
  <c r="L51" i="149"/>
  <c r="M51" i="149" s="1"/>
  <c r="L39" i="149"/>
  <c r="M39" i="149" s="1"/>
  <c r="L27" i="149"/>
  <c r="M27" i="149" s="1"/>
  <c r="L30" i="149"/>
  <c r="M30" i="149" s="1"/>
  <c r="L50" i="149"/>
  <c r="M50" i="149" s="1"/>
  <c r="L38" i="149"/>
  <c r="M38" i="149" s="1"/>
  <c r="L49" i="149"/>
  <c r="M49" i="149" s="1"/>
  <c r="L37" i="149"/>
  <c r="M37" i="149" s="1"/>
  <c r="L42" i="149"/>
  <c r="M42" i="149" s="1"/>
  <c r="L41" i="149"/>
  <c r="M41" i="149" s="1"/>
  <c r="L48" i="149"/>
  <c r="M48" i="149" s="1"/>
  <c r="L36" i="149"/>
  <c r="M36" i="149" s="1"/>
  <c r="L47" i="149"/>
  <c r="M47" i="149" s="1"/>
  <c r="L35" i="149"/>
  <c r="M35" i="149" s="1"/>
  <c r="L40" i="149"/>
  <c r="M40" i="149" s="1"/>
  <c r="L46" i="149"/>
  <c r="M46" i="149" s="1"/>
  <c r="L34" i="149"/>
  <c r="M34" i="149" s="1"/>
  <c r="L31" i="149"/>
  <c r="M31" i="149" s="1"/>
  <c r="L29" i="149"/>
  <c r="M29" i="149" s="1"/>
  <c r="L45" i="149"/>
  <c r="M45" i="149" s="1"/>
  <c r="L33" i="149"/>
  <c r="M33" i="149" s="1"/>
  <c r="L43" i="149"/>
  <c r="M43" i="149" s="1"/>
  <c r="L28" i="149"/>
  <c r="M28" i="149" s="1"/>
  <c r="L44" i="149"/>
  <c r="M44" i="149" s="1"/>
  <c r="L32" i="149"/>
  <c r="M32" i="149" s="1"/>
  <c r="L54" i="149"/>
  <c r="M54" i="149" s="1"/>
  <c r="L52" i="149"/>
  <c r="M52" i="149" s="1"/>
  <c r="L55" i="149"/>
  <c r="M55" i="149" s="1"/>
  <c r="L53" i="149"/>
  <c r="M53" i="149" s="1"/>
  <c r="I26" i="149"/>
  <c r="L23" i="149"/>
  <c r="M23" i="149" s="1"/>
  <c r="L54" i="147"/>
  <c r="M54" i="147" s="1"/>
  <c r="L66" i="147"/>
  <c r="M66" i="147" s="1"/>
  <c r="L42" i="147"/>
  <c r="M42" i="147" s="1"/>
  <c r="L78" i="147"/>
  <c r="M78" i="147" s="1"/>
  <c r="L31" i="147"/>
  <c r="M31" i="147" s="1"/>
  <c r="L90" i="147"/>
  <c r="M90" i="147" s="1"/>
  <c r="L30" i="147"/>
  <c r="M30" i="147" s="1"/>
  <c r="L34" i="147"/>
  <c r="M34" i="147" s="1"/>
  <c r="L46" i="147"/>
  <c r="M46" i="147" s="1"/>
  <c r="L58" i="147"/>
  <c r="M58" i="147" s="1"/>
  <c r="L70" i="147"/>
  <c r="M70" i="147" s="1"/>
  <c r="L82" i="147"/>
  <c r="M82" i="147" s="1"/>
  <c r="L55" i="147"/>
  <c r="M55" i="147" s="1"/>
  <c r="L35" i="147"/>
  <c r="M35" i="147" s="1"/>
  <c r="L47" i="147"/>
  <c r="M47" i="147" s="1"/>
  <c r="L59" i="147"/>
  <c r="M59" i="147" s="1"/>
  <c r="L71" i="147"/>
  <c r="M71" i="147" s="1"/>
  <c r="L83" i="147"/>
  <c r="M83" i="147" s="1"/>
  <c r="L68" i="147"/>
  <c r="M68" i="147" s="1"/>
  <c r="L36" i="147"/>
  <c r="M36" i="147" s="1"/>
  <c r="L48" i="147"/>
  <c r="M48" i="147" s="1"/>
  <c r="L60" i="147"/>
  <c r="M60" i="147" s="1"/>
  <c r="L72" i="147"/>
  <c r="M72" i="147" s="1"/>
  <c r="L84" i="147"/>
  <c r="M84" i="147" s="1"/>
  <c r="L80" i="147"/>
  <c r="M80" i="147" s="1"/>
  <c r="L81" i="147"/>
  <c r="M81" i="147" s="1"/>
  <c r="L25" i="147"/>
  <c r="L37" i="147"/>
  <c r="M37" i="147" s="1"/>
  <c r="L49" i="147"/>
  <c r="M49" i="147" s="1"/>
  <c r="L61" i="147"/>
  <c r="M61" i="147" s="1"/>
  <c r="L73" i="147"/>
  <c r="M73" i="147" s="1"/>
  <c r="L85" i="147"/>
  <c r="M85" i="147" s="1"/>
  <c r="L91" i="147"/>
  <c r="M91" i="147" s="1"/>
  <c r="L92" i="147"/>
  <c r="M92" i="147" s="1"/>
  <c r="L69" i="147"/>
  <c r="M69" i="147" s="1"/>
  <c r="L26" i="147"/>
  <c r="M26" i="147" s="1"/>
  <c r="L38" i="147"/>
  <c r="M38" i="147" s="1"/>
  <c r="L50" i="147"/>
  <c r="M50" i="147" s="1"/>
  <c r="L62" i="147"/>
  <c r="M62" i="147" s="1"/>
  <c r="L74" i="147"/>
  <c r="M74" i="147" s="1"/>
  <c r="L86" i="147"/>
  <c r="M86" i="147" s="1"/>
  <c r="L79" i="147"/>
  <c r="M79" i="147" s="1"/>
  <c r="L44" i="147"/>
  <c r="M44" i="147" s="1"/>
  <c r="L57" i="147"/>
  <c r="M57" i="147" s="1"/>
  <c r="L27" i="147"/>
  <c r="M27" i="147" s="1"/>
  <c r="L39" i="147"/>
  <c r="M39" i="147" s="1"/>
  <c r="L51" i="147"/>
  <c r="M51" i="147" s="1"/>
  <c r="L63" i="147"/>
  <c r="M63" i="147" s="1"/>
  <c r="L75" i="147"/>
  <c r="M75" i="147" s="1"/>
  <c r="L87" i="147"/>
  <c r="M87" i="147" s="1"/>
  <c r="L67" i="147"/>
  <c r="M67" i="147" s="1"/>
  <c r="L56" i="147"/>
  <c r="M56" i="147" s="1"/>
  <c r="L45" i="147"/>
  <c r="M45" i="147" s="1"/>
  <c r="L28" i="147"/>
  <c r="M28" i="147" s="1"/>
  <c r="L40" i="147"/>
  <c r="M40" i="147" s="1"/>
  <c r="L52" i="147"/>
  <c r="M52" i="147" s="1"/>
  <c r="L64" i="147"/>
  <c r="M64" i="147" s="1"/>
  <c r="L76" i="147"/>
  <c r="M76" i="147" s="1"/>
  <c r="L88" i="147"/>
  <c r="M88" i="147" s="1"/>
  <c r="L43" i="147"/>
  <c r="M43" i="147" s="1"/>
  <c r="L32" i="147"/>
  <c r="M32" i="147" s="1"/>
  <c r="L33" i="147"/>
  <c r="M33" i="147" s="1"/>
  <c r="L29" i="147"/>
  <c r="M29" i="147" s="1"/>
  <c r="L41" i="147"/>
  <c r="M41" i="147" s="1"/>
  <c r="L53" i="147"/>
  <c r="M53" i="147" s="1"/>
  <c r="L65" i="147"/>
  <c r="M65" i="147" s="1"/>
  <c r="L77" i="147"/>
  <c r="M77" i="147" s="1"/>
  <c r="O23" i="149" l="1"/>
  <c r="O24" i="149" s="1"/>
  <c r="O25" i="149" s="1"/>
  <c r="O26" i="149" s="1"/>
  <c r="O27" i="149" s="1"/>
  <c r="O28" i="149" s="1"/>
  <c r="O29" i="149" s="1"/>
  <c r="O30" i="149" s="1"/>
  <c r="O31" i="149" s="1"/>
  <c r="O32" i="149" s="1"/>
  <c r="O33" i="149" s="1"/>
  <c r="O34" i="149" s="1"/>
  <c r="O35" i="149" s="1"/>
  <c r="O36" i="149" s="1"/>
  <c r="O37" i="149" s="1"/>
  <c r="O38" i="149" s="1"/>
  <c r="O39" i="149" s="1"/>
  <c r="O40" i="149" s="1"/>
  <c r="O41" i="149" s="1"/>
  <c r="O42" i="149" s="1"/>
  <c r="O43" i="149" s="1"/>
  <c r="O44" i="149" s="1"/>
  <c r="O45" i="149" s="1"/>
  <c r="O46" i="149" s="1"/>
  <c r="O47" i="149" s="1"/>
  <c r="O48" i="149" s="1"/>
  <c r="O49" i="149" s="1"/>
  <c r="O50" i="149" s="1"/>
  <c r="O51" i="149" s="1"/>
  <c r="O52" i="149" s="1"/>
  <c r="O53" i="149" s="1"/>
  <c r="O54" i="149" s="1"/>
  <c r="S23" i="149"/>
  <c r="S26" i="149" s="1"/>
  <c r="S27" i="149" s="1"/>
  <c r="S28" i="149" s="1"/>
  <c r="S29" i="149" s="1"/>
  <c r="S30" i="149" s="1"/>
  <c r="S31" i="149" s="1"/>
  <c r="S32" i="149" s="1"/>
  <c r="S33" i="149" s="1"/>
  <c r="S34" i="149" s="1"/>
  <c r="S35" i="149" s="1"/>
  <c r="S36" i="149" s="1"/>
  <c r="S37" i="149" s="1"/>
  <c r="S38" i="149" s="1"/>
  <c r="S39" i="149" s="1"/>
  <c r="S40" i="149" s="1"/>
  <c r="S41" i="149" s="1"/>
  <c r="S42" i="149" s="1"/>
  <c r="S43" i="149" s="1"/>
  <c r="S44" i="149" s="1"/>
  <c r="S45" i="149" s="1"/>
  <c r="S46" i="149" s="1"/>
  <c r="S47" i="149" s="1"/>
  <c r="S48" i="149" s="1"/>
  <c r="S49" i="149" s="1"/>
  <c r="S50" i="149" s="1"/>
  <c r="S51" i="149" s="1"/>
  <c r="S52" i="149" s="1"/>
  <c r="S53" i="149" s="1"/>
  <c r="S54" i="149" s="1"/>
  <c r="N21" i="147"/>
  <c r="N22" i="147" s="1"/>
  <c r="N23" i="147" s="1"/>
  <c r="E13" i="147"/>
  <c r="E14" i="147" s="1"/>
  <c r="D13" i="147"/>
  <c r="D14" i="147" s="1"/>
  <c r="L12" i="147"/>
  <c r="L11" i="147"/>
  <c r="F10" i="147"/>
  <c r="L9" i="147"/>
  <c r="F9" i="147"/>
  <c r="L8" i="147"/>
  <c r="N8" i="147" s="1"/>
  <c r="F8" i="147"/>
  <c r="F7" i="147"/>
  <c r="L6" i="147"/>
  <c r="N6" i="147" s="1"/>
  <c r="F6" i="147"/>
  <c r="L5" i="147"/>
  <c r="N5" i="147" s="1"/>
  <c r="F5" i="147"/>
  <c r="N55" i="149" l="1"/>
  <c r="N56" i="149" s="1"/>
  <c r="N57" i="149" s="1"/>
  <c r="N58" i="149" s="1"/>
  <c r="N59" i="149" s="1"/>
  <c r="N60" i="149" s="1"/>
  <c r="N61" i="149" s="1"/>
  <c r="N62" i="149" s="1"/>
  <c r="N63" i="149" s="1"/>
  <c r="N64" i="149" s="1"/>
  <c r="N65" i="149" s="1"/>
  <c r="N66" i="149" s="1"/>
  <c r="N67" i="149" s="1"/>
  <c r="N68" i="149" s="1"/>
  <c r="N69" i="149" s="1"/>
  <c r="N70" i="149" s="1"/>
  <c r="N71" i="149" s="1"/>
  <c r="N72" i="149" s="1"/>
  <c r="N73" i="149" s="1"/>
  <c r="N74" i="149" s="1"/>
  <c r="N75" i="149" s="1"/>
  <c r="N76" i="149" s="1"/>
  <c r="N77" i="149" s="1"/>
  <c r="N78" i="149" s="1"/>
  <c r="N79" i="149" s="1"/>
  <c r="N80" i="149" s="1"/>
  <c r="N81" i="149" s="1"/>
  <c r="N82" i="149" s="1"/>
  <c r="N83" i="149" s="1"/>
  <c r="N84" i="149" s="1"/>
  <c r="N85" i="149" s="1"/>
  <c r="N86" i="149" s="1"/>
  <c r="N87" i="149" s="1"/>
  <c r="N88" i="149" s="1"/>
  <c r="N89" i="149" s="1"/>
  <c r="N90" i="149" s="1"/>
  <c r="N91" i="149" s="1"/>
  <c r="N92" i="149" s="1"/>
  <c r="N93" i="149" s="1"/>
  <c r="N94" i="149" s="1"/>
  <c r="N95" i="149" s="1"/>
  <c r="N96" i="149" s="1"/>
  <c r="N97" i="149" s="1"/>
  <c r="N98" i="149" s="1"/>
  <c r="N99" i="149" s="1"/>
  <c r="S6" i="147"/>
  <c r="F13" i="147"/>
  <c r="S5" i="147"/>
  <c r="S8" i="147"/>
  <c r="X13" i="147"/>
  <c r="F14" i="147"/>
  <c r="S55" i="149" l="1"/>
  <c r="O55" i="149"/>
  <c r="O56" i="149" s="1"/>
  <c r="O57" i="149" s="1"/>
  <c r="O58" i="149" s="1"/>
  <c r="O59" i="149" s="1"/>
  <c r="O60" i="149" s="1"/>
  <c r="O61" i="149" s="1"/>
  <c r="O62" i="149" s="1"/>
  <c r="O63" i="149" s="1"/>
  <c r="O64" i="149" s="1"/>
  <c r="O65" i="149" s="1"/>
  <c r="O66" i="149" s="1"/>
  <c r="O67" i="149" s="1"/>
  <c r="O68" i="149" s="1"/>
  <c r="O69" i="149" s="1"/>
  <c r="O70" i="149" s="1"/>
  <c r="O71" i="149" s="1"/>
  <c r="O72" i="149" s="1"/>
  <c r="O73" i="149" s="1"/>
  <c r="L93" i="146"/>
  <c r="M93" i="146" s="1"/>
  <c r="L92" i="146"/>
  <c r="M92" i="146" s="1"/>
  <c r="L91" i="146"/>
  <c r="M91" i="146" s="1"/>
  <c r="L90" i="146"/>
  <c r="M90" i="146" s="1"/>
  <c r="L89" i="146"/>
  <c r="M89" i="146" s="1"/>
  <c r="L88" i="146"/>
  <c r="M88" i="146" s="1"/>
  <c r="L87" i="146"/>
  <c r="M87" i="146" s="1"/>
  <c r="L86" i="146"/>
  <c r="M86" i="146" s="1"/>
  <c r="L85" i="146"/>
  <c r="M85" i="146" s="1"/>
  <c r="L84" i="146"/>
  <c r="M84" i="146" s="1"/>
  <c r="L83" i="146"/>
  <c r="M83" i="146" s="1"/>
  <c r="L82" i="146"/>
  <c r="M82" i="146" s="1"/>
  <c r="L81" i="146"/>
  <c r="M81" i="146" s="1"/>
  <c r="L80" i="146"/>
  <c r="M80" i="146" s="1"/>
  <c r="L79" i="146"/>
  <c r="M79" i="146" s="1"/>
  <c r="L78" i="146"/>
  <c r="M78" i="146" s="1"/>
  <c r="L77" i="146"/>
  <c r="M77" i="146" s="1"/>
  <c r="L76" i="146"/>
  <c r="M76" i="146" s="1"/>
  <c r="L75" i="146"/>
  <c r="M75" i="146" s="1"/>
  <c r="L74" i="146"/>
  <c r="M74" i="146" s="1"/>
  <c r="L73" i="146"/>
  <c r="M73" i="146" s="1"/>
  <c r="L72" i="146"/>
  <c r="M72" i="146" s="1"/>
  <c r="L71" i="146"/>
  <c r="M71" i="146" s="1"/>
  <c r="L70" i="146"/>
  <c r="M70" i="146" s="1"/>
  <c r="L69" i="146"/>
  <c r="M69" i="146" s="1"/>
  <c r="L68" i="146"/>
  <c r="M68" i="146" s="1"/>
  <c r="L67" i="146"/>
  <c r="M67" i="146" s="1"/>
  <c r="L66" i="146"/>
  <c r="M66" i="146" s="1"/>
  <c r="L65" i="146"/>
  <c r="M65" i="146" s="1"/>
  <c r="L64" i="146"/>
  <c r="M64" i="146" s="1"/>
  <c r="L63" i="146"/>
  <c r="M63" i="146" s="1"/>
  <c r="L62" i="146"/>
  <c r="M62" i="146" s="1"/>
  <c r="L61" i="146"/>
  <c r="M61" i="146" s="1"/>
  <c r="L60" i="146"/>
  <c r="M60" i="146" s="1"/>
  <c r="L59" i="146"/>
  <c r="M59" i="146" s="1"/>
  <c r="L58" i="146"/>
  <c r="M58" i="146" s="1"/>
  <c r="L57" i="146"/>
  <c r="M57" i="146" s="1"/>
  <c r="L56" i="146"/>
  <c r="M56" i="146" s="1"/>
  <c r="L55" i="146"/>
  <c r="M55" i="146" s="1"/>
  <c r="L54" i="146"/>
  <c r="M54" i="146" s="1"/>
  <c r="L53" i="146"/>
  <c r="M53" i="146" s="1"/>
  <c r="L52" i="146"/>
  <c r="M52" i="146" s="1"/>
  <c r="L51" i="146"/>
  <c r="M51" i="146" s="1"/>
  <c r="L50" i="146"/>
  <c r="M50" i="146" s="1"/>
  <c r="L49" i="146"/>
  <c r="M49" i="146" s="1"/>
  <c r="L48" i="146"/>
  <c r="M48" i="146" s="1"/>
  <c r="L47" i="146"/>
  <c r="M47" i="146" s="1"/>
  <c r="L46" i="146"/>
  <c r="M46" i="146" s="1"/>
  <c r="L45" i="146"/>
  <c r="M45" i="146" s="1"/>
  <c r="L44" i="146"/>
  <c r="M44" i="146" s="1"/>
  <c r="L43" i="146"/>
  <c r="M43" i="146" s="1"/>
  <c r="L42" i="146"/>
  <c r="M42" i="146" s="1"/>
  <c r="L41" i="146"/>
  <c r="M41" i="146" s="1"/>
  <c r="L40" i="146"/>
  <c r="M40" i="146" s="1"/>
  <c r="L39" i="146"/>
  <c r="M39" i="146" s="1"/>
  <c r="L38" i="146"/>
  <c r="M38" i="146" s="1"/>
  <c r="L37" i="146"/>
  <c r="M37" i="146" s="1"/>
  <c r="L36" i="146"/>
  <c r="M36" i="146" s="1"/>
  <c r="L35" i="146"/>
  <c r="M35" i="146" s="1"/>
  <c r="L34" i="146"/>
  <c r="M34" i="146" s="1"/>
  <c r="L33" i="146"/>
  <c r="M33" i="146" s="1"/>
  <c r="L32" i="146"/>
  <c r="M32" i="146" s="1"/>
  <c r="L31" i="146"/>
  <c r="M31" i="146" s="1"/>
  <c r="L30" i="146"/>
  <c r="M30" i="146" s="1"/>
  <c r="L29" i="146"/>
  <c r="N20" i="146"/>
  <c r="N21" i="146" s="1"/>
  <c r="N22" i="146" s="1"/>
  <c r="N23" i="146" s="1"/>
  <c r="N24" i="146" s="1"/>
  <c r="N25" i="146" s="1"/>
  <c r="N26" i="146" s="1"/>
  <c r="D14" i="146"/>
  <c r="K13" i="146"/>
  <c r="K14" i="146" s="1"/>
  <c r="J13" i="146"/>
  <c r="J14" i="146" s="1"/>
  <c r="E13" i="146"/>
  <c r="E14" i="146" s="1"/>
  <c r="D13" i="146"/>
  <c r="L12" i="146"/>
  <c r="L11" i="146"/>
  <c r="L10" i="146"/>
  <c r="F10" i="146"/>
  <c r="L9" i="146"/>
  <c r="F9" i="146"/>
  <c r="L8" i="146"/>
  <c r="S8" i="146" s="1"/>
  <c r="F8" i="146"/>
  <c r="L7" i="146"/>
  <c r="S7" i="146" s="1"/>
  <c r="F7" i="146"/>
  <c r="L6" i="146"/>
  <c r="F6" i="146"/>
  <c r="S6" i="146" s="1"/>
  <c r="L5" i="146"/>
  <c r="F5" i="146"/>
  <c r="S5" i="146" s="1"/>
  <c r="K18" i="149" l="1"/>
  <c r="M74" i="149"/>
  <c r="L13" i="146"/>
  <c r="F13" i="146"/>
  <c r="O74" i="149" l="1"/>
  <c r="O75" i="149" s="1"/>
  <c r="O76" i="149" s="1"/>
  <c r="O77" i="149" s="1"/>
  <c r="O78" i="149" s="1"/>
  <c r="O79" i="149" s="1"/>
  <c r="O80" i="149" s="1"/>
  <c r="O81" i="149" s="1"/>
  <c r="O82" i="149" s="1"/>
  <c r="O83" i="149" s="1"/>
  <c r="O84" i="149" s="1"/>
  <c r="O85" i="149" s="1"/>
  <c r="O86" i="149" s="1"/>
  <c r="O87" i="149" s="1"/>
  <c r="O88" i="149" s="1"/>
  <c r="O89" i="149" s="1"/>
  <c r="O90" i="149" s="1"/>
  <c r="O91" i="149" s="1"/>
  <c r="O92" i="149" s="1"/>
  <c r="O93" i="149" s="1"/>
  <c r="O94" i="149" s="1"/>
  <c r="O95" i="149" s="1"/>
  <c r="O96" i="149" s="1"/>
  <c r="O97" i="149" s="1"/>
  <c r="O98" i="149" s="1"/>
  <c r="O99" i="149" s="1"/>
  <c r="S74" i="149"/>
  <c r="S75" i="149" s="1"/>
  <c r="S76" i="149" s="1"/>
  <c r="S77" i="149" s="1"/>
  <c r="S78" i="149" s="1"/>
  <c r="S79" i="149" s="1"/>
  <c r="S80" i="149" s="1"/>
  <c r="S81" i="149" s="1"/>
  <c r="S82" i="149" s="1"/>
  <c r="S83" i="149" s="1"/>
  <c r="S84" i="149" s="1"/>
  <c r="S85" i="149" s="1"/>
  <c r="S86" i="149" s="1"/>
  <c r="S87" i="149" s="1"/>
  <c r="S88" i="149" s="1"/>
  <c r="S89" i="149" s="1"/>
  <c r="S90" i="149" s="1"/>
  <c r="S91" i="149" s="1"/>
  <c r="S92" i="149" s="1"/>
  <c r="S93" i="149" s="1"/>
  <c r="S94" i="149" s="1"/>
  <c r="S95" i="149" s="1"/>
  <c r="S96" i="149" s="1"/>
  <c r="S97" i="149" s="1"/>
  <c r="S98" i="149" s="1"/>
  <c r="S99" i="149" s="1"/>
  <c r="M18" i="149"/>
  <c r="F14" i="146"/>
  <c r="X13" i="146"/>
  <c r="L14" i="146"/>
  <c r="L24" i="146" l="1"/>
  <c r="M24" i="146" s="1"/>
  <c r="L23" i="146"/>
  <c r="M23" i="146" s="1"/>
  <c r="L22" i="146"/>
  <c r="M22" i="146" s="1"/>
  <c r="S22" i="146" s="1"/>
  <c r="S23" i="146" s="1"/>
  <c r="I26" i="146"/>
  <c r="J26" i="146" s="1"/>
  <c r="L28" i="146"/>
  <c r="K28" i="146" s="1"/>
  <c r="K29" i="146" s="1"/>
  <c r="M29" i="146" s="1"/>
  <c r="S29" i="146" s="1"/>
  <c r="S30" i="146" s="1"/>
  <c r="S31" i="146" s="1"/>
  <c r="S32" i="146" s="1"/>
  <c r="S33" i="146" s="1"/>
  <c r="S34" i="146" s="1"/>
  <c r="S35" i="146" s="1"/>
  <c r="S36" i="146" s="1"/>
  <c r="S37" i="146" s="1"/>
  <c r="S38" i="146" s="1"/>
  <c r="S39" i="146" s="1"/>
  <c r="S40" i="146" s="1"/>
  <c r="S41" i="146" s="1"/>
  <c r="S42" i="146" s="1"/>
  <c r="S43" i="146" s="1"/>
  <c r="S44" i="146" s="1"/>
  <c r="S45" i="146" s="1"/>
  <c r="S46" i="146" s="1"/>
  <c r="S47" i="146" s="1"/>
  <c r="S48" i="146" s="1"/>
  <c r="S49" i="146" s="1"/>
  <c r="S50" i="146" s="1"/>
  <c r="S51" i="146" s="1"/>
  <c r="S52" i="146" s="1"/>
  <c r="S53" i="146" s="1"/>
  <c r="S54" i="146" s="1"/>
  <c r="S55" i="146" s="1"/>
  <c r="S56" i="146" s="1"/>
  <c r="S57" i="146" s="1"/>
  <c r="S58" i="146" s="1"/>
  <c r="S59" i="146" s="1"/>
  <c r="S60" i="146" s="1"/>
  <c r="S61" i="146" s="1"/>
  <c r="S62" i="146" s="1"/>
  <c r="S63" i="146" s="1"/>
  <c r="S64" i="146" s="1"/>
  <c r="S65" i="146" s="1"/>
  <c r="S66" i="146" s="1"/>
  <c r="S67" i="146" s="1"/>
  <c r="S68" i="146" s="1"/>
  <c r="S69" i="146" s="1"/>
  <c r="S70" i="146" s="1"/>
  <c r="S71" i="146" s="1"/>
  <c r="S72" i="146" s="1"/>
  <c r="S73" i="146" s="1"/>
  <c r="S74" i="146" s="1"/>
  <c r="S75" i="146" s="1"/>
  <c r="S76" i="146" s="1"/>
  <c r="S77" i="146" s="1"/>
  <c r="S78" i="146" s="1"/>
  <c r="S79" i="146" s="1"/>
  <c r="S80" i="146" s="1"/>
  <c r="S81" i="146" s="1"/>
  <c r="S82" i="146" s="1"/>
  <c r="S83" i="146" s="1"/>
  <c r="S84" i="146" s="1"/>
  <c r="S85" i="146" s="1"/>
  <c r="S86" i="146" s="1"/>
  <c r="S87" i="146" s="1"/>
  <c r="S88" i="146" s="1"/>
  <c r="S89" i="146" s="1"/>
  <c r="S90" i="146" s="1"/>
  <c r="S91" i="146" s="1"/>
  <c r="S92" i="146" s="1"/>
  <c r="S93" i="146" s="1"/>
  <c r="L27" i="146"/>
  <c r="K27" i="146" s="1"/>
  <c r="L20" i="146"/>
  <c r="M20" i="146" s="1"/>
  <c r="L26" i="146"/>
  <c r="M26" i="146" s="1"/>
  <c r="L25" i="146"/>
  <c r="M25" i="146" s="1"/>
  <c r="O20" i="146" l="1"/>
  <c r="O21" i="146" s="1"/>
  <c r="O22" i="146" s="1"/>
  <c r="O23" i="146" s="1"/>
  <c r="O24" i="146" s="1"/>
  <c r="O25" i="146" s="1"/>
  <c r="O26" i="146" s="1"/>
  <c r="O27" i="146" s="1"/>
  <c r="O28" i="146" s="1"/>
  <c r="O29" i="146" s="1"/>
  <c r="O30" i="146" s="1"/>
  <c r="O31" i="146" s="1"/>
  <c r="O32" i="146" s="1"/>
  <c r="O33" i="146" s="1"/>
  <c r="O34" i="146" s="1"/>
  <c r="O35" i="146" s="1"/>
  <c r="O36" i="146" s="1"/>
  <c r="O37" i="146" s="1"/>
  <c r="O38" i="146" s="1"/>
  <c r="O39" i="146" s="1"/>
  <c r="O40" i="146" s="1"/>
  <c r="O41" i="146" s="1"/>
  <c r="O42" i="146" s="1"/>
  <c r="O43" i="146" s="1"/>
  <c r="O44" i="146" s="1"/>
  <c r="O45" i="146" s="1"/>
  <c r="O46" i="146" s="1"/>
  <c r="O47" i="146" s="1"/>
  <c r="O48" i="146" s="1"/>
  <c r="O49" i="146" s="1"/>
  <c r="O50" i="146" s="1"/>
  <c r="O51" i="146" s="1"/>
  <c r="O52" i="146" s="1"/>
  <c r="O53" i="146" s="1"/>
  <c r="O54" i="146" s="1"/>
  <c r="O55" i="146" s="1"/>
  <c r="O56" i="146" s="1"/>
  <c r="O57" i="146" s="1"/>
  <c r="O58" i="146" s="1"/>
  <c r="O59" i="146" s="1"/>
  <c r="O60" i="146" s="1"/>
  <c r="O61" i="146" s="1"/>
  <c r="O62" i="146" s="1"/>
  <c r="O63" i="146" s="1"/>
  <c r="O64" i="146" s="1"/>
  <c r="O65" i="146" s="1"/>
  <c r="O66" i="146" s="1"/>
  <c r="O67" i="146" s="1"/>
  <c r="O68" i="146" s="1"/>
  <c r="O69" i="146" s="1"/>
  <c r="O70" i="146" s="1"/>
  <c r="O71" i="146" s="1"/>
  <c r="O72" i="146" s="1"/>
  <c r="O73" i="146" s="1"/>
  <c r="O74" i="146" s="1"/>
  <c r="O75" i="146" s="1"/>
  <c r="O76" i="146" s="1"/>
  <c r="O77" i="146" s="1"/>
  <c r="O78" i="146" s="1"/>
  <c r="O79" i="146" s="1"/>
  <c r="O80" i="146" s="1"/>
  <c r="O81" i="146" s="1"/>
  <c r="O82" i="146" s="1"/>
  <c r="O83" i="146" s="1"/>
  <c r="O84" i="146" s="1"/>
  <c r="O85" i="146" s="1"/>
  <c r="O86" i="146" s="1"/>
  <c r="O87" i="146" s="1"/>
  <c r="O88" i="146" s="1"/>
  <c r="O89" i="146" s="1"/>
  <c r="O90" i="146" s="1"/>
  <c r="O91" i="146" s="1"/>
  <c r="O92" i="146" s="1"/>
  <c r="O93" i="146" s="1"/>
  <c r="M16" i="146"/>
  <c r="K16" i="146"/>
  <c r="N27" i="146"/>
  <c r="N28" i="146" s="1"/>
  <c r="N29" i="146" s="1"/>
  <c r="N30" i="146" s="1"/>
  <c r="N31" i="146" s="1"/>
  <c r="N32" i="146" s="1"/>
  <c r="N33" i="146" s="1"/>
  <c r="N34" i="146" s="1"/>
  <c r="N35" i="146" s="1"/>
  <c r="N36" i="146" s="1"/>
  <c r="N37" i="146" s="1"/>
  <c r="N38" i="146" s="1"/>
  <c r="N39" i="146" s="1"/>
  <c r="N40" i="146" s="1"/>
  <c r="N41" i="146" s="1"/>
  <c r="N42" i="146" s="1"/>
  <c r="N43" i="146" s="1"/>
  <c r="N44" i="146" s="1"/>
  <c r="N45" i="146" s="1"/>
  <c r="N46" i="146" s="1"/>
  <c r="N47" i="146" s="1"/>
  <c r="N48" i="146" s="1"/>
  <c r="N49" i="146" s="1"/>
  <c r="N50" i="146" s="1"/>
  <c r="N51" i="146" s="1"/>
  <c r="N52" i="146" s="1"/>
  <c r="N53" i="146" s="1"/>
  <c r="N54" i="146" s="1"/>
  <c r="N55" i="146" s="1"/>
  <c r="N56" i="146" s="1"/>
  <c r="N57" i="146" s="1"/>
  <c r="N58" i="146" s="1"/>
  <c r="N59" i="146" s="1"/>
  <c r="N60" i="146" s="1"/>
  <c r="N61" i="146" s="1"/>
  <c r="N62" i="146" s="1"/>
  <c r="N63" i="146" s="1"/>
  <c r="N64" i="146" s="1"/>
  <c r="N65" i="146" s="1"/>
  <c r="N66" i="146" s="1"/>
  <c r="N67" i="146" s="1"/>
  <c r="N68" i="146" s="1"/>
  <c r="N69" i="146" s="1"/>
  <c r="N70" i="146" s="1"/>
  <c r="N71" i="146" s="1"/>
  <c r="N72" i="146" s="1"/>
  <c r="N73" i="146" s="1"/>
  <c r="N74" i="146" s="1"/>
  <c r="N75" i="146" s="1"/>
  <c r="N76" i="146" s="1"/>
  <c r="N77" i="146" s="1"/>
  <c r="N78" i="146" s="1"/>
  <c r="N79" i="146" s="1"/>
  <c r="N80" i="146" s="1"/>
  <c r="N81" i="146" s="1"/>
  <c r="N82" i="146" s="1"/>
  <c r="N83" i="146" s="1"/>
  <c r="N84" i="146" s="1"/>
  <c r="N85" i="146" s="1"/>
  <c r="N86" i="146" s="1"/>
  <c r="N87" i="146" s="1"/>
  <c r="N88" i="146" s="1"/>
  <c r="N89" i="146" s="1"/>
  <c r="N90" i="146" s="1"/>
  <c r="N91" i="146" s="1"/>
  <c r="N92" i="146" s="1"/>
  <c r="N93" i="146" s="1"/>
  <c r="S24" i="146"/>
  <c r="S25" i="146" s="1"/>
  <c r="S26" i="146" s="1"/>
  <c r="S27" i="146" s="1"/>
  <c r="S28" i="146" s="1"/>
  <c r="D49" i="2" l="1"/>
  <c r="L24" i="147" l="1"/>
  <c r="K24" i="147" s="1"/>
  <c r="L21" i="147"/>
  <c r="M21" i="147" s="1"/>
  <c r="S21" i="147" s="1"/>
  <c r="S24" i="147" s="1"/>
  <c r="L89" i="144"/>
  <c r="M89" i="144" s="1"/>
  <c r="L77" i="144"/>
  <c r="M77" i="144" s="1"/>
  <c r="L65" i="144"/>
  <c r="M65" i="144" s="1"/>
  <c r="L53" i="144"/>
  <c r="M53" i="144" s="1"/>
  <c r="L41" i="144"/>
  <c r="M41" i="144" s="1"/>
  <c r="L29" i="144"/>
  <c r="M29" i="144" s="1"/>
  <c r="L72" i="144"/>
  <c r="M72" i="144" s="1"/>
  <c r="L82" i="144"/>
  <c r="M82" i="144" s="1"/>
  <c r="L69" i="144"/>
  <c r="M69" i="144" s="1"/>
  <c r="L44" i="144"/>
  <c r="M44" i="144" s="1"/>
  <c r="L54" i="144"/>
  <c r="M54" i="144" s="1"/>
  <c r="L88" i="144"/>
  <c r="L76" i="144"/>
  <c r="M76" i="144" s="1"/>
  <c r="L64" i="144"/>
  <c r="M64" i="144" s="1"/>
  <c r="L52" i="144"/>
  <c r="M52" i="144" s="1"/>
  <c r="L40" i="144"/>
  <c r="M40" i="144" s="1"/>
  <c r="L28" i="144"/>
  <c r="M28" i="144" s="1"/>
  <c r="L48" i="144"/>
  <c r="M48" i="144" s="1"/>
  <c r="L35" i="144"/>
  <c r="M35" i="144" s="1"/>
  <c r="L58" i="144"/>
  <c r="M58" i="144" s="1"/>
  <c r="L33" i="144"/>
  <c r="M33" i="144" s="1"/>
  <c r="L79" i="144"/>
  <c r="M79" i="144" s="1"/>
  <c r="L87" i="144"/>
  <c r="M87" i="144" s="1"/>
  <c r="L75" i="144"/>
  <c r="M75" i="144" s="1"/>
  <c r="L63" i="144"/>
  <c r="M63" i="144" s="1"/>
  <c r="L51" i="144"/>
  <c r="M51" i="144" s="1"/>
  <c r="L39" i="144"/>
  <c r="M39" i="144" s="1"/>
  <c r="L27" i="144"/>
  <c r="L60" i="144"/>
  <c r="M60" i="144" s="1"/>
  <c r="L47" i="144"/>
  <c r="M47" i="144" s="1"/>
  <c r="L70" i="144"/>
  <c r="M70" i="144" s="1"/>
  <c r="L57" i="144"/>
  <c r="M57" i="144" s="1"/>
  <c r="L56" i="144"/>
  <c r="M56" i="144" s="1"/>
  <c r="L31" i="144"/>
  <c r="M31" i="144" s="1"/>
  <c r="L86" i="144"/>
  <c r="M86" i="144" s="1"/>
  <c r="L74" i="144"/>
  <c r="L62" i="144"/>
  <c r="M62" i="144" s="1"/>
  <c r="L50" i="144"/>
  <c r="M50" i="144" s="1"/>
  <c r="L38" i="144"/>
  <c r="M38" i="144" s="1"/>
  <c r="L36" i="144"/>
  <c r="M36" i="144" s="1"/>
  <c r="L59" i="144"/>
  <c r="M59" i="144" s="1"/>
  <c r="L46" i="144"/>
  <c r="M46" i="144" s="1"/>
  <c r="L68" i="144"/>
  <c r="M68" i="144" s="1"/>
  <c r="L43" i="144"/>
  <c r="M43" i="144" s="1"/>
  <c r="L42" i="144"/>
  <c r="M42" i="144" s="1"/>
  <c r="L85" i="144"/>
  <c r="M85" i="144" s="1"/>
  <c r="L73" i="144"/>
  <c r="M73" i="144" s="1"/>
  <c r="L61" i="144"/>
  <c r="M61" i="144" s="1"/>
  <c r="L49" i="144"/>
  <c r="M49" i="144" s="1"/>
  <c r="L37" i="144"/>
  <c r="M37" i="144" s="1"/>
  <c r="L71" i="144"/>
  <c r="M71" i="144" s="1"/>
  <c r="L34" i="144"/>
  <c r="M34" i="144" s="1"/>
  <c r="L45" i="144"/>
  <c r="M45" i="144" s="1"/>
  <c r="L32" i="144"/>
  <c r="M32" i="144" s="1"/>
  <c r="L55" i="144"/>
  <c r="M55" i="144" s="1"/>
  <c r="L84" i="144"/>
  <c r="M84" i="144" s="1"/>
  <c r="L81" i="144"/>
  <c r="M81" i="144" s="1"/>
  <c r="L78" i="144"/>
  <c r="M78" i="144" s="1"/>
  <c r="L83" i="144"/>
  <c r="M83" i="144" s="1"/>
  <c r="L80" i="144"/>
  <c r="M80" i="144" s="1"/>
  <c r="L66" i="144"/>
  <c r="M66" i="144" s="1"/>
  <c r="L67" i="144"/>
  <c r="M67" i="144" s="1"/>
  <c r="L30" i="144"/>
  <c r="M30" i="144" s="1"/>
  <c r="N20" i="144"/>
  <c r="J13" i="144"/>
  <c r="E13" i="144"/>
  <c r="E14" i="144" s="1"/>
  <c r="D13" i="144"/>
  <c r="D14" i="144" s="1"/>
  <c r="L12" i="144"/>
  <c r="L11" i="144"/>
  <c r="F10" i="144"/>
  <c r="F9" i="144"/>
  <c r="L8" i="144"/>
  <c r="F8" i="144"/>
  <c r="L7" i="144"/>
  <c r="F7" i="144"/>
  <c r="L6" i="144"/>
  <c r="F6" i="144"/>
  <c r="L5" i="144"/>
  <c r="F5" i="144"/>
  <c r="K25" i="147" l="1"/>
  <c r="M25" i="147" s="1"/>
  <c r="S25" i="147" s="1"/>
  <c r="S26" i="147" s="1"/>
  <c r="S27" i="147" s="1"/>
  <c r="S28" i="147" s="1"/>
  <c r="S29" i="147" s="1"/>
  <c r="S30" i="147" s="1"/>
  <c r="S31" i="147" s="1"/>
  <c r="S32" i="147" s="1"/>
  <c r="S33" i="147" s="1"/>
  <c r="S34" i="147" s="1"/>
  <c r="S35" i="147" s="1"/>
  <c r="S36" i="147" s="1"/>
  <c r="S37" i="147" s="1"/>
  <c r="S38" i="147" s="1"/>
  <c r="S39" i="147" s="1"/>
  <c r="S40" i="147" s="1"/>
  <c r="S41" i="147" s="1"/>
  <c r="S42" i="147" s="1"/>
  <c r="S43" i="147" s="1"/>
  <c r="S44" i="147" s="1"/>
  <c r="S45" i="147" s="1"/>
  <c r="S46" i="147" s="1"/>
  <c r="S47" i="147" s="1"/>
  <c r="S48" i="147" s="1"/>
  <c r="S49" i="147" s="1"/>
  <c r="S50" i="147" s="1"/>
  <c r="S51" i="147" s="1"/>
  <c r="S52" i="147" s="1"/>
  <c r="S53" i="147" s="1"/>
  <c r="S54" i="147" s="1"/>
  <c r="S55" i="147" s="1"/>
  <c r="S56" i="147" s="1"/>
  <c r="S57" i="147" s="1"/>
  <c r="S58" i="147" s="1"/>
  <c r="S59" i="147" s="1"/>
  <c r="S60" i="147" s="1"/>
  <c r="S61" i="147" s="1"/>
  <c r="S62" i="147" s="1"/>
  <c r="S63" i="147" s="1"/>
  <c r="S64" i="147" s="1"/>
  <c r="S65" i="147" s="1"/>
  <c r="S66" i="147" s="1"/>
  <c r="S67" i="147" s="1"/>
  <c r="S68" i="147" s="1"/>
  <c r="S69" i="147" s="1"/>
  <c r="S70" i="147" s="1"/>
  <c r="S71" i="147" s="1"/>
  <c r="S72" i="147" s="1"/>
  <c r="S73" i="147" s="1"/>
  <c r="S74" i="147" s="1"/>
  <c r="S75" i="147" s="1"/>
  <c r="S76" i="147" s="1"/>
  <c r="S77" i="147" s="1"/>
  <c r="S78" i="147" s="1"/>
  <c r="S79" i="147" s="1"/>
  <c r="S80" i="147" s="1"/>
  <c r="S81" i="147" s="1"/>
  <c r="S82" i="147" s="1"/>
  <c r="S83" i="147" s="1"/>
  <c r="S84" i="147" s="1"/>
  <c r="S85" i="147" s="1"/>
  <c r="S86" i="147" s="1"/>
  <c r="S87" i="147" s="1"/>
  <c r="S88" i="147" s="1"/>
  <c r="S89" i="147" s="1"/>
  <c r="S90" i="147" s="1"/>
  <c r="S91" i="147" s="1"/>
  <c r="S92" i="147" s="1"/>
  <c r="N24" i="147"/>
  <c r="N25" i="147" s="1"/>
  <c r="N26" i="147" s="1"/>
  <c r="N27" i="147" s="1"/>
  <c r="N28" i="147" s="1"/>
  <c r="N29" i="147" s="1"/>
  <c r="N30" i="147" s="1"/>
  <c r="N31" i="147" s="1"/>
  <c r="N32" i="147" s="1"/>
  <c r="N33" i="147" s="1"/>
  <c r="N34" i="147" s="1"/>
  <c r="N35" i="147" s="1"/>
  <c r="N36" i="147" s="1"/>
  <c r="N37" i="147" s="1"/>
  <c r="N38" i="147" s="1"/>
  <c r="N39" i="147" s="1"/>
  <c r="N40" i="147" s="1"/>
  <c r="N41" i="147" s="1"/>
  <c r="N42" i="147" s="1"/>
  <c r="N43" i="147" s="1"/>
  <c r="N44" i="147" s="1"/>
  <c r="N45" i="147" s="1"/>
  <c r="N46" i="147" s="1"/>
  <c r="N47" i="147" s="1"/>
  <c r="N48" i="147" s="1"/>
  <c r="N49" i="147" s="1"/>
  <c r="N50" i="147" s="1"/>
  <c r="N51" i="147" s="1"/>
  <c r="N52" i="147" s="1"/>
  <c r="N53" i="147" s="1"/>
  <c r="N54" i="147" s="1"/>
  <c r="N55" i="147" s="1"/>
  <c r="N56" i="147" s="1"/>
  <c r="N57" i="147" s="1"/>
  <c r="N58" i="147" s="1"/>
  <c r="N59" i="147" s="1"/>
  <c r="N60" i="147" s="1"/>
  <c r="N61" i="147" s="1"/>
  <c r="N62" i="147" s="1"/>
  <c r="N63" i="147" s="1"/>
  <c r="N64" i="147" s="1"/>
  <c r="N65" i="147" s="1"/>
  <c r="N66" i="147" s="1"/>
  <c r="N67" i="147" s="1"/>
  <c r="N68" i="147" s="1"/>
  <c r="N69" i="147" s="1"/>
  <c r="N70" i="147" s="1"/>
  <c r="N71" i="147" s="1"/>
  <c r="N72" i="147" s="1"/>
  <c r="N73" i="147" s="1"/>
  <c r="N74" i="147" s="1"/>
  <c r="N75" i="147" s="1"/>
  <c r="N76" i="147" s="1"/>
  <c r="N77" i="147" s="1"/>
  <c r="N78" i="147" s="1"/>
  <c r="N79" i="147" s="1"/>
  <c r="N80" i="147" s="1"/>
  <c r="N81" i="147" s="1"/>
  <c r="N82" i="147" s="1"/>
  <c r="N83" i="147" s="1"/>
  <c r="N84" i="147" s="1"/>
  <c r="N85" i="147" s="1"/>
  <c r="N86" i="147" s="1"/>
  <c r="N87" i="147" s="1"/>
  <c r="N88" i="147" s="1"/>
  <c r="N89" i="147" s="1"/>
  <c r="N90" i="147" s="1"/>
  <c r="N91" i="147" s="1"/>
  <c r="N92" i="147" s="1"/>
  <c r="O21" i="147"/>
  <c r="O22" i="147" s="1"/>
  <c r="O23" i="147" s="1"/>
  <c r="O24" i="147" s="1"/>
  <c r="O25" i="147" s="1"/>
  <c r="O26" i="147" s="1"/>
  <c r="O27" i="147" s="1"/>
  <c r="O28" i="147" s="1"/>
  <c r="O29" i="147" s="1"/>
  <c r="O30" i="147" s="1"/>
  <c r="O31" i="147" s="1"/>
  <c r="O32" i="147" s="1"/>
  <c r="O33" i="147" s="1"/>
  <c r="O34" i="147" s="1"/>
  <c r="O35" i="147" s="1"/>
  <c r="O36" i="147" s="1"/>
  <c r="O37" i="147" s="1"/>
  <c r="O38" i="147" s="1"/>
  <c r="O39" i="147" s="1"/>
  <c r="O40" i="147" s="1"/>
  <c r="O41" i="147" s="1"/>
  <c r="O42" i="147" s="1"/>
  <c r="O43" i="147" s="1"/>
  <c r="O44" i="147" s="1"/>
  <c r="O45" i="147" s="1"/>
  <c r="O46" i="147" s="1"/>
  <c r="O47" i="147" s="1"/>
  <c r="O48" i="147" s="1"/>
  <c r="O49" i="147" s="1"/>
  <c r="O50" i="147" s="1"/>
  <c r="O51" i="147" s="1"/>
  <c r="O52" i="147" s="1"/>
  <c r="O53" i="147" s="1"/>
  <c r="O54" i="147" s="1"/>
  <c r="O55" i="147" s="1"/>
  <c r="O56" i="147" s="1"/>
  <c r="O57" i="147" s="1"/>
  <c r="O58" i="147" s="1"/>
  <c r="O59" i="147" s="1"/>
  <c r="O60" i="147" s="1"/>
  <c r="O61" i="147" s="1"/>
  <c r="O62" i="147" s="1"/>
  <c r="O63" i="147" s="1"/>
  <c r="O64" i="147" s="1"/>
  <c r="O65" i="147" s="1"/>
  <c r="O66" i="147" s="1"/>
  <c r="O67" i="147" s="1"/>
  <c r="O68" i="147" s="1"/>
  <c r="O69" i="147" s="1"/>
  <c r="O70" i="147" s="1"/>
  <c r="O71" i="147" s="1"/>
  <c r="O72" i="147" s="1"/>
  <c r="O73" i="147" s="1"/>
  <c r="O74" i="147" s="1"/>
  <c r="O75" i="147" s="1"/>
  <c r="O76" i="147" s="1"/>
  <c r="O77" i="147" s="1"/>
  <c r="O78" i="147" s="1"/>
  <c r="O79" i="147" s="1"/>
  <c r="O80" i="147" s="1"/>
  <c r="O81" i="147" s="1"/>
  <c r="O82" i="147" s="1"/>
  <c r="O83" i="147" s="1"/>
  <c r="O84" i="147" s="1"/>
  <c r="O85" i="147" s="1"/>
  <c r="O86" i="147" s="1"/>
  <c r="O87" i="147" s="1"/>
  <c r="O88" i="147" s="1"/>
  <c r="O89" i="147" s="1"/>
  <c r="O90" i="147" s="1"/>
  <c r="O91" i="147" s="1"/>
  <c r="O92" i="147" s="1"/>
  <c r="M17" i="147"/>
  <c r="S7" i="144"/>
  <c r="S6" i="144"/>
  <c r="S8" i="144"/>
  <c r="S5" i="144"/>
  <c r="J14" i="144"/>
  <c r="O20" i="144"/>
  <c r="F13" i="144"/>
  <c r="F5" i="140"/>
  <c r="S5" i="140" s="1"/>
  <c r="L5" i="140"/>
  <c r="F6" i="140"/>
  <c r="L6" i="140"/>
  <c r="S6" i="140"/>
  <c r="F7" i="140"/>
  <c r="S7" i="140" s="1"/>
  <c r="L7" i="140"/>
  <c r="F8" i="140"/>
  <c r="L8" i="140"/>
  <c r="S8" i="140" s="1"/>
  <c r="F9" i="140"/>
  <c r="L9" i="140"/>
  <c r="F10" i="140"/>
  <c r="L10" i="140"/>
  <c r="L11" i="140"/>
  <c r="L12" i="140"/>
  <c r="L13" i="140" s="1"/>
  <c r="L14" i="140" s="1"/>
  <c r="D13" i="140"/>
  <c r="E13" i="140"/>
  <c r="E14" i="140" s="1"/>
  <c r="F13" i="140"/>
  <c r="X13" i="140" s="1"/>
  <c r="J13" i="140"/>
  <c r="K13" i="140"/>
  <c r="K14" i="140" s="1"/>
  <c r="D14" i="140"/>
  <c r="J14" i="140"/>
  <c r="N20" i="140"/>
  <c r="O20" i="140"/>
  <c r="O21" i="140" s="1"/>
  <c r="O22" i="140" s="1"/>
  <c r="U20" i="140"/>
  <c r="V20" i="140" s="1"/>
  <c r="N21" i="140"/>
  <c r="L22" i="140"/>
  <c r="K22" i="140" s="1"/>
  <c r="L23" i="140"/>
  <c r="L24" i="140"/>
  <c r="M24" i="140" s="1"/>
  <c r="L25" i="140"/>
  <c r="M25" i="140"/>
  <c r="L26" i="140"/>
  <c r="M26" i="140" s="1"/>
  <c r="L27" i="140"/>
  <c r="M27" i="140" s="1"/>
  <c r="L28" i="140"/>
  <c r="M28" i="140" s="1"/>
  <c r="L29" i="140"/>
  <c r="M29" i="140" s="1"/>
  <c r="L30" i="140"/>
  <c r="M30" i="140" s="1"/>
  <c r="L31" i="140"/>
  <c r="M31" i="140" s="1"/>
  <c r="L32" i="140"/>
  <c r="M32" i="140" s="1"/>
  <c r="L33" i="140"/>
  <c r="M33" i="140" s="1"/>
  <c r="L34" i="140"/>
  <c r="M34" i="140" s="1"/>
  <c r="L35" i="140"/>
  <c r="M35" i="140" s="1"/>
  <c r="L36" i="140"/>
  <c r="M36" i="140" s="1"/>
  <c r="L37" i="140"/>
  <c r="M37" i="140" s="1"/>
  <c r="L38" i="140"/>
  <c r="M38" i="140" s="1"/>
  <c r="L39" i="140"/>
  <c r="M39" i="140" s="1"/>
  <c r="L40" i="140"/>
  <c r="M40" i="140" s="1"/>
  <c r="L41" i="140"/>
  <c r="M41" i="140" s="1"/>
  <c r="L42" i="140"/>
  <c r="M42" i="140" s="1"/>
  <c r="L43" i="140"/>
  <c r="M43" i="140" s="1"/>
  <c r="L44" i="140"/>
  <c r="M44" i="140" s="1"/>
  <c r="L45" i="140"/>
  <c r="M45" i="140" s="1"/>
  <c r="L46" i="140"/>
  <c r="M46" i="140"/>
  <c r="L47" i="140"/>
  <c r="M47" i="140" s="1"/>
  <c r="L48" i="140"/>
  <c r="M48" i="140" s="1"/>
  <c r="L49" i="140"/>
  <c r="M49" i="140" s="1"/>
  <c r="L50" i="140"/>
  <c r="M50" i="140" s="1"/>
  <c r="L51" i="140"/>
  <c r="M51" i="140" s="1"/>
  <c r="L52" i="140"/>
  <c r="M52" i="140" s="1"/>
  <c r="L53" i="140"/>
  <c r="M53" i="140" s="1"/>
  <c r="L54" i="140"/>
  <c r="M54" i="140" s="1"/>
  <c r="L55" i="140"/>
  <c r="M55" i="140" s="1"/>
  <c r="L56" i="140"/>
  <c r="M56" i="140" s="1"/>
  <c r="L57" i="140"/>
  <c r="M57" i="140" s="1"/>
  <c r="L58" i="140"/>
  <c r="M58" i="140" s="1"/>
  <c r="L59" i="140"/>
  <c r="M59" i="140" s="1"/>
  <c r="L60" i="140"/>
  <c r="M60" i="140" s="1"/>
  <c r="L61" i="140"/>
  <c r="M61" i="140" s="1"/>
  <c r="L62" i="140"/>
  <c r="M62" i="140" s="1"/>
  <c r="L63" i="140"/>
  <c r="M63" i="140" s="1"/>
  <c r="L64" i="140"/>
  <c r="M64" i="140"/>
  <c r="L65" i="140"/>
  <c r="M65" i="140" s="1"/>
  <c r="L66" i="140"/>
  <c r="M66" i="140" s="1"/>
  <c r="L67" i="140"/>
  <c r="M67" i="140" s="1"/>
  <c r="L68" i="140"/>
  <c r="M68" i="140" s="1"/>
  <c r="L69" i="140"/>
  <c r="M69" i="140" s="1"/>
  <c r="L70" i="140"/>
  <c r="M70" i="140" s="1"/>
  <c r="L71" i="140"/>
  <c r="M71" i="140" s="1"/>
  <c r="L72" i="140"/>
  <c r="M72" i="140" s="1"/>
  <c r="L73" i="140"/>
  <c r="M73" i="140" s="1"/>
  <c r="L74" i="140"/>
  <c r="M74" i="140" s="1"/>
  <c r="L75" i="140"/>
  <c r="M75" i="140" s="1"/>
  <c r="L76" i="140"/>
  <c r="M76" i="140" s="1"/>
  <c r="L77" i="140"/>
  <c r="M77" i="140" s="1"/>
  <c r="L78" i="140"/>
  <c r="M78" i="140" s="1"/>
  <c r="L79" i="140"/>
  <c r="M79" i="140" s="1"/>
  <c r="L80" i="140"/>
  <c r="M80" i="140"/>
  <c r="L81" i="140"/>
  <c r="M81" i="140" s="1"/>
  <c r="L82" i="140"/>
  <c r="M82" i="140" s="1"/>
  <c r="L83" i="140"/>
  <c r="M83" i="140"/>
  <c r="L84" i="140"/>
  <c r="M84" i="140" s="1"/>
  <c r="L85" i="140"/>
  <c r="M85" i="140"/>
  <c r="L86" i="140"/>
  <c r="M86" i="140" s="1"/>
  <c r="L87" i="140"/>
  <c r="M87" i="140"/>
  <c r="L88" i="140"/>
  <c r="D35" i="2"/>
  <c r="K17" i="147" l="1"/>
  <c r="N22" i="140"/>
  <c r="K23" i="140"/>
  <c r="K16" i="140" s="1"/>
  <c r="F14" i="144"/>
  <c r="X13" i="144"/>
  <c r="L89" i="139"/>
  <c r="M89" i="139" s="1"/>
  <c r="L26" i="139"/>
  <c r="M26" i="139" s="1"/>
  <c r="L27" i="139"/>
  <c r="M27" i="139" s="1"/>
  <c r="L35" i="139"/>
  <c r="M35" i="139" s="1"/>
  <c r="L43" i="139"/>
  <c r="M43" i="139" s="1"/>
  <c r="L51" i="139"/>
  <c r="M51" i="139" s="1"/>
  <c r="L59" i="139"/>
  <c r="M59" i="139" s="1"/>
  <c r="L67" i="139"/>
  <c r="M67" i="139" s="1"/>
  <c r="L75" i="139"/>
  <c r="M75" i="139" s="1"/>
  <c r="L83" i="139"/>
  <c r="M83" i="139" s="1"/>
  <c r="L34" i="139"/>
  <c r="M34" i="139" s="1"/>
  <c r="L66" i="139"/>
  <c r="M66" i="139" s="1"/>
  <c r="L28" i="139"/>
  <c r="M28" i="139" s="1"/>
  <c r="L36" i="139"/>
  <c r="M36" i="139" s="1"/>
  <c r="L44" i="139"/>
  <c r="M44" i="139" s="1"/>
  <c r="L52" i="139"/>
  <c r="M52" i="139" s="1"/>
  <c r="L60" i="139"/>
  <c r="M60" i="139" s="1"/>
  <c r="L68" i="139"/>
  <c r="M68" i="139" s="1"/>
  <c r="L76" i="139"/>
  <c r="M76" i="139" s="1"/>
  <c r="L84" i="139"/>
  <c r="M84" i="139" s="1"/>
  <c r="L29" i="139"/>
  <c r="M29" i="139" s="1"/>
  <c r="L37" i="139"/>
  <c r="M37" i="139" s="1"/>
  <c r="L45" i="139"/>
  <c r="M45" i="139" s="1"/>
  <c r="L53" i="139"/>
  <c r="M53" i="139" s="1"/>
  <c r="L61" i="139"/>
  <c r="L69" i="139"/>
  <c r="M69" i="139" s="1"/>
  <c r="L77" i="139"/>
  <c r="M77" i="139" s="1"/>
  <c r="L85" i="139"/>
  <c r="M85" i="139" s="1"/>
  <c r="L30" i="139"/>
  <c r="M30" i="139" s="1"/>
  <c r="L38" i="139"/>
  <c r="M38" i="139" s="1"/>
  <c r="L46" i="139"/>
  <c r="M46" i="139" s="1"/>
  <c r="L54" i="139"/>
  <c r="M54" i="139" s="1"/>
  <c r="L62" i="139"/>
  <c r="M62" i="139" s="1"/>
  <c r="L70" i="139"/>
  <c r="M70" i="139" s="1"/>
  <c r="L78" i="139"/>
  <c r="M78" i="139" s="1"/>
  <c r="L86" i="139"/>
  <c r="M86" i="139" s="1"/>
  <c r="L23" i="139"/>
  <c r="L31" i="139"/>
  <c r="M31" i="139" s="1"/>
  <c r="L39" i="139"/>
  <c r="M39" i="139" s="1"/>
  <c r="L47" i="139"/>
  <c r="M47" i="139" s="1"/>
  <c r="L55" i="139"/>
  <c r="M55" i="139" s="1"/>
  <c r="L63" i="139"/>
  <c r="M63" i="139" s="1"/>
  <c r="L71" i="139"/>
  <c r="M71" i="139" s="1"/>
  <c r="L79" i="139"/>
  <c r="M79" i="139" s="1"/>
  <c r="L87" i="139"/>
  <c r="M87" i="139" s="1"/>
  <c r="L42" i="139"/>
  <c r="M42" i="139" s="1"/>
  <c r="L58" i="139"/>
  <c r="M58" i="139" s="1"/>
  <c r="L74" i="139"/>
  <c r="M74" i="139" s="1"/>
  <c r="L24" i="139"/>
  <c r="M24" i="139" s="1"/>
  <c r="L32" i="139"/>
  <c r="M32" i="139" s="1"/>
  <c r="L40" i="139"/>
  <c r="M40" i="139" s="1"/>
  <c r="L48" i="139"/>
  <c r="M48" i="139" s="1"/>
  <c r="L56" i="139"/>
  <c r="M56" i="139" s="1"/>
  <c r="L64" i="139"/>
  <c r="M64" i="139" s="1"/>
  <c r="L72" i="139"/>
  <c r="M72" i="139" s="1"/>
  <c r="L80" i="139"/>
  <c r="M80" i="139" s="1"/>
  <c r="L88" i="139"/>
  <c r="M88" i="139" s="1"/>
  <c r="L50" i="139"/>
  <c r="M50" i="139" s="1"/>
  <c r="L82" i="139"/>
  <c r="M82" i="139" s="1"/>
  <c r="L25" i="139"/>
  <c r="M25" i="139" s="1"/>
  <c r="L33" i="139"/>
  <c r="M33" i="139" s="1"/>
  <c r="L41" i="139"/>
  <c r="M41" i="139" s="1"/>
  <c r="L49" i="139"/>
  <c r="M49" i="139" s="1"/>
  <c r="L57" i="139"/>
  <c r="M57" i="139" s="1"/>
  <c r="L65" i="139"/>
  <c r="M65" i="139" s="1"/>
  <c r="L73" i="139"/>
  <c r="M73" i="139" s="1"/>
  <c r="L81" i="139"/>
  <c r="M81" i="139" s="1"/>
  <c r="F14" i="140"/>
  <c r="M23" i="140" l="1"/>
  <c r="N23" i="140"/>
  <c r="N24" i="140" s="1"/>
  <c r="N25" i="140" s="1"/>
  <c r="N26" i="140" s="1"/>
  <c r="S23" i="140"/>
  <c r="S24" i="140" s="1"/>
  <c r="S25" i="140" s="1"/>
  <c r="S26" i="140" s="1"/>
  <c r="S27" i="140" s="1"/>
  <c r="S28" i="140" s="1"/>
  <c r="S29" i="140" s="1"/>
  <c r="S30" i="140" s="1"/>
  <c r="S31" i="140" s="1"/>
  <c r="S32" i="140" s="1"/>
  <c r="S33" i="140" s="1"/>
  <c r="S34" i="140" s="1"/>
  <c r="S35" i="140" s="1"/>
  <c r="S36" i="140" s="1"/>
  <c r="S37" i="140" s="1"/>
  <c r="S38" i="140" s="1"/>
  <c r="S39" i="140" s="1"/>
  <c r="S40" i="140" s="1"/>
  <c r="S41" i="140" s="1"/>
  <c r="S42" i="140" s="1"/>
  <c r="S43" i="140" s="1"/>
  <c r="S44" i="140" s="1"/>
  <c r="S45" i="140" s="1"/>
  <c r="S46" i="140" s="1"/>
  <c r="S47" i="140" s="1"/>
  <c r="S48" i="140" s="1"/>
  <c r="S49" i="140" s="1"/>
  <c r="S50" i="140" s="1"/>
  <c r="S51" i="140" s="1"/>
  <c r="S52" i="140" s="1"/>
  <c r="S53" i="140" s="1"/>
  <c r="S54" i="140" s="1"/>
  <c r="S55" i="140" s="1"/>
  <c r="S56" i="140" s="1"/>
  <c r="S57" i="140" s="1"/>
  <c r="S58" i="140" s="1"/>
  <c r="S59" i="140" s="1"/>
  <c r="S60" i="140" s="1"/>
  <c r="S61" i="140" s="1"/>
  <c r="S62" i="140" s="1"/>
  <c r="S63" i="140" s="1"/>
  <c r="S64" i="140" s="1"/>
  <c r="S65" i="140" s="1"/>
  <c r="S66" i="140" s="1"/>
  <c r="S67" i="140" s="1"/>
  <c r="S68" i="140" s="1"/>
  <c r="S69" i="140" s="1"/>
  <c r="S70" i="140" s="1"/>
  <c r="S71" i="140" s="1"/>
  <c r="S72" i="140" s="1"/>
  <c r="S73" i="140" s="1"/>
  <c r="S74" i="140" s="1"/>
  <c r="S75" i="140" s="1"/>
  <c r="S76" i="140" s="1"/>
  <c r="S77" i="140" s="1"/>
  <c r="S78" i="140" s="1"/>
  <c r="S79" i="140" s="1"/>
  <c r="S80" i="140" s="1"/>
  <c r="S81" i="140" s="1"/>
  <c r="S82" i="140" s="1"/>
  <c r="S83" i="140" s="1"/>
  <c r="S84" i="140" s="1"/>
  <c r="S85" i="140" s="1"/>
  <c r="S86" i="140" s="1"/>
  <c r="S87" i="140" s="1"/>
  <c r="S88" i="140" s="1"/>
  <c r="M16" i="140"/>
  <c r="O23" i="140"/>
  <c r="O24" i="140" s="1"/>
  <c r="O25" i="140" s="1"/>
  <c r="O26" i="140" s="1"/>
  <c r="O27" i="140" s="1"/>
  <c r="O28" i="140" s="1"/>
  <c r="O29" i="140" s="1"/>
  <c r="O30" i="140" s="1"/>
  <c r="O31" i="140" s="1"/>
  <c r="O32" i="140" s="1"/>
  <c r="O33" i="140" s="1"/>
  <c r="O34" i="140" s="1"/>
  <c r="O35" i="140" s="1"/>
  <c r="O36" i="140" s="1"/>
  <c r="O37" i="140" s="1"/>
  <c r="O38" i="140" s="1"/>
  <c r="O39" i="140" s="1"/>
  <c r="O40" i="140" s="1"/>
  <c r="O41" i="140" s="1"/>
  <c r="O42" i="140" s="1"/>
  <c r="O43" i="140" s="1"/>
  <c r="O44" i="140" s="1"/>
  <c r="O45" i="140" s="1"/>
  <c r="O46" i="140" s="1"/>
  <c r="O47" i="140" s="1"/>
  <c r="O48" i="140" s="1"/>
  <c r="O49" i="140" s="1"/>
  <c r="O50" i="140" s="1"/>
  <c r="O51" i="140" s="1"/>
  <c r="O52" i="140" s="1"/>
  <c r="O53" i="140" s="1"/>
  <c r="O54" i="140" s="1"/>
  <c r="O55" i="140" s="1"/>
  <c r="O56" i="140" s="1"/>
  <c r="O57" i="140" s="1"/>
  <c r="O58" i="140" s="1"/>
  <c r="O59" i="140" s="1"/>
  <c r="O60" i="140" s="1"/>
  <c r="O61" i="140" s="1"/>
  <c r="O62" i="140" s="1"/>
  <c r="O63" i="140" s="1"/>
  <c r="O64" i="140" s="1"/>
  <c r="O65" i="140" s="1"/>
  <c r="O66" i="140" s="1"/>
  <c r="O67" i="140" s="1"/>
  <c r="O68" i="140" s="1"/>
  <c r="O69" i="140" s="1"/>
  <c r="O70" i="140" s="1"/>
  <c r="O71" i="140" s="1"/>
  <c r="O72" i="140" s="1"/>
  <c r="O73" i="140" s="1"/>
  <c r="O74" i="140" s="1"/>
  <c r="O75" i="140" s="1"/>
  <c r="O76" i="140" s="1"/>
  <c r="O77" i="140" s="1"/>
  <c r="O78" i="140" s="1"/>
  <c r="O79" i="140" s="1"/>
  <c r="O80" i="140" s="1"/>
  <c r="O81" i="140" s="1"/>
  <c r="O82" i="140" s="1"/>
  <c r="O83" i="140" s="1"/>
  <c r="O84" i="140" s="1"/>
  <c r="O85" i="140" s="1"/>
  <c r="O86" i="140" s="1"/>
  <c r="O87" i="140" s="1"/>
  <c r="O88" i="140" s="1"/>
  <c r="O20" i="139"/>
  <c r="O21" i="139" s="1"/>
  <c r="N20" i="139"/>
  <c r="J13" i="139"/>
  <c r="E13" i="139"/>
  <c r="L12" i="139"/>
  <c r="L11" i="139"/>
  <c r="L10" i="139"/>
  <c r="F10" i="139"/>
  <c r="L9" i="139"/>
  <c r="F9" i="139"/>
  <c r="L8" i="139"/>
  <c r="F8" i="139"/>
  <c r="L7" i="139"/>
  <c r="F7" i="139"/>
  <c r="L6" i="139"/>
  <c r="F6" i="139"/>
  <c r="F5" i="139"/>
  <c r="N27" i="140" l="1"/>
  <c r="N28" i="140" s="1"/>
  <c r="N29" i="140" s="1"/>
  <c r="N30" i="140" s="1"/>
  <c r="N31" i="140" s="1"/>
  <c r="N32" i="140" s="1"/>
  <c r="U26" i="140"/>
  <c r="V26" i="140" s="1"/>
  <c r="F13" i="139"/>
  <c r="N21" i="139"/>
  <c r="S7" i="139"/>
  <c r="S8" i="139"/>
  <c r="E14" i="139"/>
  <c r="S6" i="139"/>
  <c r="F14" i="139"/>
  <c r="X13" i="139"/>
  <c r="U32" i="140" l="1"/>
  <c r="V32" i="140" s="1"/>
  <c r="N33" i="140"/>
  <c r="D28" i="2"/>
  <c r="N34" i="140" l="1"/>
  <c r="U33" i="140"/>
  <c r="V33" i="140" s="1"/>
  <c r="L12" i="134"/>
  <c r="E13" i="134"/>
  <c r="E14" i="134" s="1"/>
  <c r="F13" i="134"/>
  <c r="D13" i="134"/>
  <c r="U34" i="140" l="1"/>
  <c r="V34" i="140" s="1"/>
  <c r="N35" i="140"/>
  <c r="F14" i="134"/>
  <c r="D14" i="134"/>
  <c r="N36" i="140" l="1"/>
  <c r="U35" i="140"/>
  <c r="V35" i="140" s="1"/>
  <c r="N20" i="134"/>
  <c r="N21" i="134" s="1"/>
  <c r="N22" i="134" s="1"/>
  <c r="N23" i="134" s="1"/>
  <c r="D21" i="2"/>
  <c r="U36" i="140" l="1"/>
  <c r="V36" i="140" s="1"/>
  <c r="N37" i="140"/>
  <c r="L25" i="134"/>
  <c r="L61" i="134"/>
  <c r="L86" i="134"/>
  <c r="M86" i="134" s="1"/>
  <c r="L63" i="134"/>
  <c r="M63" i="134" s="1"/>
  <c r="L75" i="134"/>
  <c r="M75" i="134" s="1"/>
  <c r="L87" i="134"/>
  <c r="M87" i="134" s="1"/>
  <c r="L74" i="134"/>
  <c r="M74" i="134" s="1"/>
  <c r="L40" i="134"/>
  <c r="M40" i="134" s="1"/>
  <c r="L52" i="134"/>
  <c r="M52" i="134" s="1"/>
  <c r="L64" i="134"/>
  <c r="M64" i="134" s="1"/>
  <c r="L76" i="134"/>
  <c r="M76" i="134" s="1"/>
  <c r="L88" i="134"/>
  <c r="M88" i="134" s="1"/>
  <c r="L62" i="134"/>
  <c r="M62" i="134" s="1"/>
  <c r="L28" i="134"/>
  <c r="M28" i="134" s="1"/>
  <c r="L29" i="134"/>
  <c r="M29" i="134" s="1"/>
  <c r="L41" i="134"/>
  <c r="M41" i="134" s="1"/>
  <c r="L53" i="134"/>
  <c r="M53" i="134" s="1"/>
  <c r="L65" i="134"/>
  <c r="M65" i="134" s="1"/>
  <c r="L77" i="134"/>
  <c r="M77" i="134" s="1"/>
  <c r="L89" i="134"/>
  <c r="M89" i="134" s="1"/>
  <c r="L51" i="134"/>
  <c r="M51" i="134" s="1"/>
  <c r="L30" i="134"/>
  <c r="M30" i="134" s="1"/>
  <c r="L42" i="134"/>
  <c r="M42" i="134" s="1"/>
  <c r="L54" i="134"/>
  <c r="M54" i="134" s="1"/>
  <c r="L66" i="134"/>
  <c r="M66" i="134" s="1"/>
  <c r="L78" i="134"/>
  <c r="M78" i="134" s="1"/>
  <c r="L90" i="134"/>
  <c r="M90" i="134" s="1"/>
  <c r="L26" i="134"/>
  <c r="M26" i="134" s="1"/>
  <c r="L27" i="134"/>
  <c r="M27" i="134" s="1"/>
  <c r="L31" i="134"/>
  <c r="M31" i="134" s="1"/>
  <c r="L43" i="134"/>
  <c r="M43" i="134" s="1"/>
  <c r="L55" i="134"/>
  <c r="M55" i="134" s="1"/>
  <c r="L67" i="134"/>
  <c r="M67" i="134" s="1"/>
  <c r="L79" i="134"/>
  <c r="M79" i="134" s="1"/>
  <c r="L91" i="134"/>
  <c r="M91" i="134" s="1"/>
  <c r="L39" i="134"/>
  <c r="M39" i="134" s="1"/>
  <c r="L32" i="134"/>
  <c r="M32" i="134" s="1"/>
  <c r="L44" i="134"/>
  <c r="M44" i="134" s="1"/>
  <c r="L56" i="134"/>
  <c r="M56" i="134" s="1"/>
  <c r="L68" i="134"/>
  <c r="M68" i="134" s="1"/>
  <c r="L80" i="134"/>
  <c r="M80" i="134" s="1"/>
  <c r="L92" i="134"/>
  <c r="M92" i="134" s="1"/>
  <c r="L50" i="134"/>
  <c r="M50" i="134" s="1"/>
  <c r="L33" i="134"/>
  <c r="M33" i="134" s="1"/>
  <c r="L45" i="134"/>
  <c r="M45" i="134" s="1"/>
  <c r="L57" i="134"/>
  <c r="M57" i="134" s="1"/>
  <c r="L69" i="134"/>
  <c r="M69" i="134" s="1"/>
  <c r="L81" i="134"/>
  <c r="M81" i="134" s="1"/>
  <c r="L93" i="134"/>
  <c r="M93" i="134" s="1"/>
  <c r="L34" i="134"/>
  <c r="M34" i="134" s="1"/>
  <c r="L46" i="134"/>
  <c r="M46" i="134" s="1"/>
  <c r="L58" i="134"/>
  <c r="M58" i="134" s="1"/>
  <c r="L70" i="134"/>
  <c r="M70" i="134" s="1"/>
  <c r="L82" i="134"/>
  <c r="M82" i="134" s="1"/>
  <c r="L94" i="134"/>
  <c r="M94" i="134" s="1"/>
  <c r="L38" i="134"/>
  <c r="M38" i="134" s="1"/>
  <c r="L35" i="134"/>
  <c r="M35" i="134" s="1"/>
  <c r="L47" i="134"/>
  <c r="M47" i="134" s="1"/>
  <c r="L59" i="134"/>
  <c r="M59" i="134" s="1"/>
  <c r="L71" i="134"/>
  <c r="M71" i="134" s="1"/>
  <c r="L83" i="134"/>
  <c r="M83" i="134" s="1"/>
  <c r="I29" i="134"/>
  <c r="J29" i="134" s="1"/>
  <c r="L36" i="134"/>
  <c r="M36" i="134" s="1"/>
  <c r="L48" i="134"/>
  <c r="M48" i="134" s="1"/>
  <c r="L60" i="134"/>
  <c r="M60" i="134" s="1"/>
  <c r="L72" i="134"/>
  <c r="M72" i="134" s="1"/>
  <c r="L84" i="134"/>
  <c r="M84" i="134" s="1"/>
  <c r="L37" i="134"/>
  <c r="M37" i="134" s="1"/>
  <c r="L49" i="134"/>
  <c r="M49" i="134" s="1"/>
  <c r="M61" i="134"/>
  <c r="L73" i="134"/>
  <c r="M73" i="134" s="1"/>
  <c r="L85" i="134"/>
  <c r="M85" i="134" s="1"/>
  <c r="K13" i="134"/>
  <c r="K14" i="134" s="1"/>
  <c r="J13" i="134"/>
  <c r="L11" i="134"/>
  <c r="L10" i="134"/>
  <c r="F10" i="134"/>
  <c r="L9" i="134"/>
  <c r="F9" i="134"/>
  <c r="L8" i="134"/>
  <c r="F8" i="134"/>
  <c r="L7" i="134"/>
  <c r="F7" i="134"/>
  <c r="L6" i="134"/>
  <c r="F6" i="134"/>
  <c r="L5" i="134"/>
  <c r="F5" i="134"/>
  <c r="O20" i="131"/>
  <c r="O21" i="131" s="1"/>
  <c r="O22" i="131" s="1"/>
  <c r="N38" i="140" l="1"/>
  <c r="U37" i="140"/>
  <c r="V37" i="140" s="1"/>
  <c r="S6" i="134"/>
  <c r="S8" i="134"/>
  <c r="S7" i="134"/>
  <c r="S5" i="134"/>
  <c r="L13" i="134"/>
  <c r="L14" i="134" s="1"/>
  <c r="J14" i="134"/>
  <c r="S22" i="131"/>
  <c r="U38" i="140" l="1"/>
  <c r="V38" i="140" s="1"/>
  <c r="N39" i="140"/>
  <c r="X13" i="134"/>
  <c r="D12" i="2"/>
  <c r="U39" i="140" l="1"/>
  <c r="V39" i="140" s="1"/>
  <c r="N40" i="140"/>
  <c r="L24" i="134"/>
  <c r="K24" i="134" s="1"/>
  <c r="L21" i="134"/>
  <c r="M21" i="134" s="1"/>
  <c r="L20" i="134"/>
  <c r="L92" i="131"/>
  <c r="M92" i="131" s="1"/>
  <c r="L80" i="131"/>
  <c r="M80" i="131" s="1"/>
  <c r="L68" i="131"/>
  <c r="M68" i="131" s="1"/>
  <c r="L56" i="131"/>
  <c r="M56" i="131" s="1"/>
  <c r="L44" i="131"/>
  <c r="M44" i="131" s="1"/>
  <c r="L32" i="131"/>
  <c r="M32" i="131" s="1"/>
  <c r="L90" i="131"/>
  <c r="M90" i="131" s="1"/>
  <c r="L66" i="131"/>
  <c r="M66" i="131" s="1"/>
  <c r="L42" i="131"/>
  <c r="M42" i="131" s="1"/>
  <c r="L77" i="131"/>
  <c r="M77" i="131" s="1"/>
  <c r="L53" i="131"/>
  <c r="M53" i="131" s="1"/>
  <c r="L29" i="131"/>
  <c r="M29" i="131" s="1"/>
  <c r="L76" i="131"/>
  <c r="M76" i="131" s="1"/>
  <c r="L52" i="131"/>
  <c r="M52" i="131" s="1"/>
  <c r="L28" i="131"/>
  <c r="M28" i="131" s="1"/>
  <c r="L58" i="131"/>
  <c r="M58" i="131" s="1"/>
  <c r="L93" i="131"/>
  <c r="M93" i="131" s="1"/>
  <c r="L91" i="131"/>
  <c r="M91" i="131" s="1"/>
  <c r="L79" i="131"/>
  <c r="M79" i="131" s="1"/>
  <c r="L67" i="131"/>
  <c r="M67" i="131" s="1"/>
  <c r="L55" i="131"/>
  <c r="M55" i="131" s="1"/>
  <c r="L43" i="131"/>
  <c r="M43" i="131" s="1"/>
  <c r="L31" i="131"/>
  <c r="M31" i="131" s="1"/>
  <c r="L78" i="131"/>
  <c r="M78" i="131" s="1"/>
  <c r="L54" i="131"/>
  <c r="M54" i="131" s="1"/>
  <c r="L30" i="131"/>
  <c r="M30" i="131" s="1"/>
  <c r="L89" i="131"/>
  <c r="L65" i="131"/>
  <c r="M65" i="131" s="1"/>
  <c r="L41" i="131"/>
  <c r="M41" i="131" s="1"/>
  <c r="L88" i="131"/>
  <c r="M88" i="131" s="1"/>
  <c r="L64" i="131"/>
  <c r="M64" i="131" s="1"/>
  <c r="L40" i="131"/>
  <c r="M40" i="131" s="1"/>
  <c r="L70" i="131"/>
  <c r="M70" i="131" s="1"/>
  <c r="L69" i="131"/>
  <c r="M69" i="131" s="1"/>
  <c r="L33" i="131"/>
  <c r="M33" i="131" s="1"/>
  <c r="L87" i="131"/>
  <c r="M87" i="131" s="1"/>
  <c r="L75" i="131"/>
  <c r="M75" i="131" s="1"/>
  <c r="L63" i="131"/>
  <c r="M63" i="131" s="1"/>
  <c r="L51" i="131"/>
  <c r="M51" i="131" s="1"/>
  <c r="L39" i="131"/>
  <c r="M39" i="131" s="1"/>
  <c r="L27" i="131"/>
  <c r="M27" i="131" s="1"/>
  <c r="L86" i="131"/>
  <c r="M86" i="131" s="1"/>
  <c r="L74" i="131"/>
  <c r="M74" i="131" s="1"/>
  <c r="L62" i="131"/>
  <c r="M62" i="131" s="1"/>
  <c r="L50" i="131"/>
  <c r="M50" i="131" s="1"/>
  <c r="L38" i="131"/>
  <c r="M38" i="131" s="1"/>
  <c r="L26" i="131"/>
  <c r="M26" i="131" s="1"/>
  <c r="L95" i="131"/>
  <c r="M95" i="131" s="1"/>
  <c r="L71" i="131"/>
  <c r="M71" i="131" s="1"/>
  <c r="L47" i="131"/>
  <c r="M47" i="131" s="1"/>
  <c r="L23" i="131"/>
  <c r="L82" i="131"/>
  <c r="M82" i="131" s="1"/>
  <c r="L34" i="131"/>
  <c r="M34" i="131" s="1"/>
  <c r="L81" i="131"/>
  <c r="M81" i="131" s="1"/>
  <c r="L45" i="131"/>
  <c r="M45" i="131" s="1"/>
  <c r="L85" i="131"/>
  <c r="M85" i="131" s="1"/>
  <c r="L73" i="131"/>
  <c r="M73" i="131" s="1"/>
  <c r="L61" i="131"/>
  <c r="M61" i="131" s="1"/>
  <c r="L49" i="131"/>
  <c r="M49" i="131" s="1"/>
  <c r="L37" i="131"/>
  <c r="M37" i="131" s="1"/>
  <c r="L25" i="131"/>
  <c r="M25" i="131" s="1"/>
  <c r="L84" i="131"/>
  <c r="M84" i="131" s="1"/>
  <c r="L72" i="131"/>
  <c r="M72" i="131" s="1"/>
  <c r="L60" i="131"/>
  <c r="M60" i="131" s="1"/>
  <c r="L48" i="131"/>
  <c r="M48" i="131" s="1"/>
  <c r="L36" i="131"/>
  <c r="M36" i="131" s="1"/>
  <c r="L24" i="131"/>
  <c r="M24" i="131" s="1"/>
  <c r="L83" i="131"/>
  <c r="M83" i="131" s="1"/>
  <c r="L59" i="131"/>
  <c r="M59" i="131" s="1"/>
  <c r="L35" i="131"/>
  <c r="M35" i="131" s="1"/>
  <c r="L94" i="131"/>
  <c r="L46" i="131"/>
  <c r="M46" i="131" s="1"/>
  <c r="L57" i="131"/>
  <c r="M57" i="131" s="1"/>
  <c r="N20" i="131"/>
  <c r="N21" i="131" s="1"/>
  <c r="J15" i="131"/>
  <c r="K13" i="131"/>
  <c r="J13" i="131"/>
  <c r="E13" i="131"/>
  <c r="G12" i="131" s="1"/>
  <c r="D13" i="131"/>
  <c r="F12" i="131"/>
  <c r="L11" i="131"/>
  <c r="L10" i="131"/>
  <c r="F10" i="131"/>
  <c r="L9" i="131"/>
  <c r="F9" i="131"/>
  <c r="L8" i="131"/>
  <c r="F8" i="131"/>
  <c r="L7" i="131"/>
  <c r="F7" i="131"/>
  <c r="L6" i="131"/>
  <c r="F6" i="131"/>
  <c r="L5" i="131"/>
  <c r="F5" i="131"/>
  <c r="N41" i="140" l="1"/>
  <c r="U40" i="140"/>
  <c r="V40" i="140" s="1"/>
  <c r="M20" i="134"/>
  <c r="U20" i="134"/>
  <c r="K25" i="134"/>
  <c r="M25" i="134" s="1"/>
  <c r="S25" i="134" s="1"/>
  <c r="S26" i="134" s="1"/>
  <c r="S27" i="134" s="1"/>
  <c r="S28" i="134" s="1"/>
  <c r="S29" i="134" s="1"/>
  <c r="S30" i="134" s="1"/>
  <c r="S31" i="134" s="1"/>
  <c r="S32" i="134" s="1"/>
  <c r="S33" i="134" s="1"/>
  <c r="S34" i="134" s="1"/>
  <c r="S35" i="134" s="1"/>
  <c r="S36" i="134" s="1"/>
  <c r="S37" i="134" s="1"/>
  <c r="S38" i="134" s="1"/>
  <c r="S39" i="134" s="1"/>
  <c r="S40" i="134" s="1"/>
  <c r="S41" i="134" s="1"/>
  <c r="S42" i="134" s="1"/>
  <c r="S43" i="134" s="1"/>
  <c r="S44" i="134" s="1"/>
  <c r="S45" i="134" s="1"/>
  <c r="S46" i="134" s="1"/>
  <c r="S47" i="134" s="1"/>
  <c r="S48" i="134" s="1"/>
  <c r="S49" i="134" s="1"/>
  <c r="S50" i="134" s="1"/>
  <c r="S51" i="134" s="1"/>
  <c r="S52" i="134" s="1"/>
  <c r="S53" i="134" s="1"/>
  <c r="S54" i="134" s="1"/>
  <c r="S55" i="134" s="1"/>
  <c r="S56" i="134" s="1"/>
  <c r="S57" i="134" s="1"/>
  <c r="S58" i="134" s="1"/>
  <c r="S59" i="134" s="1"/>
  <c r="S60" i="134" s="1"/>
  <c r="S61" i="134" s="1"/>
  <c r="S62" i="134" s="1"/>
  <c r="S63" i="134" s="1"/>
  <c r="S64" i="134" s="1"/>
  <c r="S65" i="134" s="1"/>
  <c r="S66" i="134" s="1"/>
  <c r="S67" i="134" s="1"/>
  <c r="S68" i="134" s="1"/>
  <c r="S69" i="134" s="1"/>
  <c r="S70" i="134" s="1"/>
  <c r="S71" i="134" s="1"/>
  <c r="S72" i="134" s="1"/>
  <c r="S73" i="134" s="1"/>
  <c r="S74" i="134" s="1"/>
  <c r="S75" i="134" s="1"/>
  <c r="S76" i="134" s="1"/>
  <c r="S77" i="134" s="1"/>
  <c r="S78" i="134" s="1"/>
  <c r="S79" i="134" s="1"/>
  <c r="S80" i="134" s="1"/>
  <c r="S81" i="134" s="1"/>
  <c r="S82" i="134" s="1"/>
  <c r="S83" i="134" s="1"/>
  <c r="S84" i="134" s="1"/>
  <c r="S85" i="134" s="1"/>
  <c r="S86" i="134" s="1"/>
  <c r="S87" i="134" s="1"/>
  <c r="S88" i="134" s="1"/>
  <c r="S89" i="134" s="1"/>
  <c r="S90" i="134" s="1"/>
  <c r="S91" i="134" s="1"/>
  <c r="S92" i="134" s="1"/>
  <c r="S93" i="134" s="1"/>
  <c r="S94" i="134" s="1"/>
  <c r="N24" i="134"/>
  <c r="S8" i="131"/>
  <c r="S7" i="131"/>
  <c r="S6" i="131"/>
  <c r="L13" i="131"/>
  <c r="J14" i="131"/>
  <c r="S5" i="131"/>
  <c r="F13" i="131"/>
  <c r="K14" i="131"/>
  <c r="M16" i="134" l="1"/>
  <c r="U41" i="140"/>
  <c r="V41" i="140" s="1"/>
  <c r="N42" i="140"/>
  <c r="K16" i="134"/>
  <c r="N25" i="134"/>
  <c r="N26" i="134" s="1"/>
  <c r="N27" i="134" s="1"/>
  <c r="N28" i="134" s="1"/>
  <c r="N29" i="134" s="1"/>
  <c r="N30" i="134" s="1"/>
  <c r="U24" i="134"/>
  <c r="O20" i="134"/>
  <c r="O21" i="134" s="1"/>
  <c r="O22" i="134" s="1"/>
  <c r="O23" i="134" s="1"/>
  <c r="O24" i="134" s="1"/>
  <c r="O25" i="134" s="1"/>
  <c r="O26" i="134" s="1"/>
  <c r="O27" i="134" s="1"/>
  <c r="O28" i="134" s="1"/>
  <c r="O29" i="134" s="1"/>
  <c r="O30" i="134" s="1"/>
  <c r="O31" i="134" s="1"/>
  <c r="O32" i="134" s="1"/>
  <c r="O33" i="134" s="1"/>
  <c r="O34" i="134" s="1"/>
  <c r="O35" i="134" s="1"/>
  <c r="O36" i="134" s="1"/>
  <c r="O37" i="134" s="1"/>
  <c r="O38" i="134" s="1"/>
  <c r="O39" i="134" s="1"/>
  <c r="O40" i="134" s="1"/>
  <c r="O41" i="134" s="1"/>
  <c r="O42" i="134" s="1"/>
  <c r="O43" i="134" s="1"/>
  <c r="O44" i="134" s="1"/>
  <c r="O45" i="134" s="1"/>
  <c r="O46" i="134" s="1"/>
  <c r="O47" i="134" s="1"/>
  <c r="O48" i="134" s="1"/>
  <c r="O49" i="134" s="1"/>
  <c r="O50" i="134" s="1"/>
  <c r="O51" i="134" s="1"/>
  <c r="O52" i="134" s="1"/>
  <c r="O53" i="134" s="1"/>
  <c r="O54" i="134" s="1"/>
  <c r="O55" i="134" s="1"/>
  <c r="O56" i="134" s="1"/>
  <c r="O57" i="134" s="1"/>
  <c r="O58" i="134" s="1"/>
  <c r="O59" i="134" s="1"/>
  <c r="O60" i="134" s="1"/>
  <c r="O61" i="134" s="1"/>
  <c r="O62" i="134" s="1"/>
  <c r="O63" i="134" s="1"/>
  <c r="O64" i="134" s="1"/>
  <c r="O65" i="134" s="1"/>
  <c r="O66" i="134" s="1"/>
  <c r="O67" i="134" s="1"/>
  <c r="O68" i="134" s="1"/>
  <c r="O69" i="134" s="1"/>
  <c r="O70" i="134" s="1"/>
  <c r="O71" i="134" s="1"/>
  <c r="O72" i="134" s="1"/>
  <c r="O73" i="134" s="1"/>
  <c r="O74" i="134" s="1"/>
  <c r="O75" i="134" s="1"/>
  <c r="O76" i="134" s="1"/>
  <c r="O77" i="134" s="1"/>
  <c r="O78" i="134" s="1"/>
  <c r="O79" i="134" s="1"/>
  <c r="O80" i="134" s="1"/>
  <c r="O81" i="134" s="1"/>
  <c r="O82" i="134" s="1"/>
  <c r="O83" i="134" s="1"/>
  <c r="O84" i="134" s="1"/>
  <c r="O85" i="134" s="1"/>
  <c r="O86" i="134" s="1"/>
  <c r="O87" i="134" s="1"/>
  <c r="O88" i="134" s="1"/>
  <c r="O89" i="134" s="1"/>
  <c r="O90" i="134" s="1"/>
  <c r="O91" i="134" s="1"/>
  <c r="O92" i="134" s="1"/>
  <c r="O93" i="134" s="1"/>
  <c r="O94" i="134" s="1"/>
  <c r="S20" i="134"/>
  <c r="S21" i="134" s="1"/>
  <c r="S24" i="134" s="1"/>
  <c r="L14" i="131"/>
  <c r="X13" i="131"/>
  <c r="G13" i="131"/>
  <c r="N43" i="140" l="1"/>
  <c r="U42" i="140"/>
  <c r="V42" i="140" s="1"/>
  <c r="V20" i="134"/>
  <c r="V24" i="134"/>
  <c r="N31" i="134"/>
  <c r="U30" i="134"/>
  <c r="V30" i="134" s="1"/>
  <c r="F14" i="124"/>
  <c r="U43" i="140" l="1"/>
  <c r="V43" i="140" s="1"/>
  <c r="N44" i="140"/>
  <c r="N32" i="134"/>
  <c r="U31" i="134"/>
  <c r="V31" i="134" s="1"/>
  <c r="N5" i="2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4" i="2"/>
  <c r="N45" i="140" l="1"/>
  <c r="U44" i="140"/>
  <c r="V44" i="140" s="1"/>
  <c r="N33" i="134"/>
  <c r="U32" i="134"/>
  <c r="V32" i="134" s="1"/>
  <c r="O20" i="124"/>
  <c r="O21" i="124" s="1"/>
  <c r="N20" i="124"/>
  <c r="N21" i="124" s="1"/>
  <c r="N22" i="124" s="1"/>
  <c r="N23" i="124" s="1"/>
  <c r="N24" i="124" s="1"/>
  <c r="N25" i="124" s="1"/>
  <c r="N26" i="124" s="1"/>
  <c r="N27" i="124" s="1"/>
  <c r="N46" i="140" l="1"/>
  <c r="U45" i="140"/>
  <c r="V45" i="140" s="1"/>
  <c r="N34" i="134"/>
  <c r="U33" i="134"/>
  <c r="V33" i="134" s="1"/>
  <c r="K28" i="124"/>
  <c r="N47" i="140" l="1"/>
  <c r="U46" i="140"/>
  <c r="V46" i="140" s="1"/>
  <c r="N35" i="134"/>
  <c r="U34" i="134"/>
  <c r="V34" i="134" s="1"/>
  <c r="N28" i="124"/>
  <c r="N29" i="124" s="1"/>
  <c r="N30" i="124" s="1"/>
  <c r="N31" i="124" s="1"/>
  <c r="N32" i="124" s="1"/>
  <c r="N33" i="124" s="1"/>
  <c r="N34" i="124" s="1"/>
  <c r="N35" i="124" s="1"/>
  <c r="N36" i="124" s="1"/>
  <c r="N37" i="124" s="1"/>
  <c r="N38" i="124" s="1"/>
  <c r="N39" i="124" s="1"/>
  <c r="N40" i="124" s="1"/>
  <c r="N41" i="124" s="1"/>
  <c r="N42" i="124" s="1"/>
  <c r="N43" i="124" s="1"/>
  <c r="N44" i="124" s="1"/>
  <c r="N45" i="124" s="1"/>
  <c r="N46" i="124" s="1"/>
  <c r="N47" i="124" s="1"/>
  <c r="N48" i="124" s="1"/>
  <c r="N49" i="124" s="1"/>
  <c r="N50" i="124" s="1"/>
  <c r="N51" i="124" s="1"/>
  <c r="N52" i="124" s="1"/>
  <c r="N53" i="124" s="1"/>
  <c r="N54" i="124" s="1"/>
  <c r="N55" i="124" s="1"/>
  <c r="N56" i="124" s="1"/>
  <c r="N57" i="124" s="1"/>
  <c r="N58" i="124" s="1"/>
  <c r="N59" i="124" s="1"/>
  <c r="N60" i="124" s="1"/>
  <c r="N61" i="124" s="1"/>
  <c r="N62" i="124" s="1"/>
  <c r="N63" i="124" s="1"/>
  <c r="N64" i="124" s="1"/>
  <c r="N65" i="124" s="1"/>
  <c r="N66" i="124" s="1"/>
  <c r="N67" i="124" s="1"/>
  <c r="N68" i="124" s="1"/>
  <c r="N69" i="124" s="1"/>
  <c r="N70" i="124" s="1"/>
  <c r="N71" i="124" s="1"/>
  <c r="N72" i="124" s="1"/>
  <c r="N73" i="124" s="1"/>
  <c r="N74" i="124" s="1"/>
  <c r="N75" i="124" s="1"/>
  <c r="N76" i="124" s="1"/>
  <c r="N77" i="124" s="1"/>
  <c r="N78" i="124" s="1"/>
  <c r="N79" i="124" s="1"/>
  <c r="N80" i="124" s="1"/>
  <c r="N81" i="124" s="1"/>
  <c r="N82" i="124" s="1"/>
  <c r="N83" i="124" s="1"/>
  <c r="N84" i="124" s="1"/>
  <c r="N85" i="124" s="1"/>
  <c r="N86" i="124" s="1"/>
  <c r="N87" i="124" s="1"/>
  <c r="N88" i="124" s="1"/>
  <c r="N89" i="124" s="1"/>
  <c r="N90" i="124" s="1"/>
  <c r="N91" i="124" s="1"/>
  <c r="N92" i="124" s="1"/>
  <c r="K85" i="124"/>
  <c r="K47" i="124"/>
  <c r="K60" i="124"/>
  <c r="N48" i="140" l="1"/>
  <c r="U47" i="140"/>
  <c r="V47" i="140" s="1"/>
  <c r="N36" i="134"/>
  <c r="U35" i="134"/>
  <c r="V35" i="134" s="1"/>
  <c r="J29" i="128"/>
  <c r="J28" i="128"/>
  <c r="J27" i="128"/>
  <c r="U48" i="140" l="1"/>
  <c r="V48" i="140" s="1"/>
  <c r="N49" i="140"/>
  <c r="N50" i="140" s="1"/>
  <c r="N51" i="140" s="1"/>
  <c r="N37" i="134"/>
  <c r="U36" i="134"/>
  <c r="V36" i="134" s="1"/>
  <c r="J26" i="128"/>
  <c r="J24" i="128"/>
  <c r="J23" i="128"/>
  <c r="J22" i="128"/>
  <c r="J21" i="128"/>
  <c r="J20" i="128"/>
  <c r="N52" i="140" l="1"/>
  <c r="U51" i="140"/>
  <c r="V51" i="140" s="1"/>
  <c r="N38" i="134"/>
  <c r="U37" i="134"/>
  <c r="V37" i="134" s="1"/>
  <c r="G5" i="129"/>
  <c r="G24" i="129" s="1"/>
  <c r="N5" i="129"/>
  <c r="U5" i="129"/>
  <c r="G6" i="129"/>
  <c r="N6" i="129"/>
  <c r="U6" i="129"/>
  <c r="G7" i="129"/>
  <c r="N7" i="129"/>
  <c r="U7" i="129"/>
  <c r="G8" i="129"/>
  <c r="N8" i="129"/>
  <c r="U8" i="129"/>
  <c r="G9" i="129"/>
  <c r="N9" i="129"/>
  <c r="U9" i="129"/>
  <c r="G10" i="129"/>
  <c r="N10" i="129"/>
  <c r="U10" i="129"/>
  <c r="G11" i="129"/>
  <c r="N11" i="129"/>
  <c r="U11" i="129"/>
  <c r="G12" i="129"/>
  <c r="N12" i="129"/>
  <c r="U12" i="129"/>
  <c r="G13" i="129"/>
  <c r="N13" i="129"/>
  <c r="U13" i="129"/>
  <c r="G14" i="129"/>
  <c r="N14" i="129"/>
  <c r="U14" i="129"/>
  <c r="G15" i="129"/>
  <c r="N15" i="129"/>
  <c r="U15" i="129"/>
  <c r="G16" i="129"/>
  <c r="N16" i="129"/>
  <c r="U16" i="129"/>
  <c r="G17" i="129"/>
  <c r="N17" i="129"/>
  <c r="U17" i="129"/>
  <c r="G18" i="129"/>
  <c r="N18" i="129"/>
  <c r="U18" i="129"/>
  <c r="G19" i="129"/>
  <c r="N19" i="129"/>
  <c r="U19" i="129"/>
  <c r="G20" i="129"/>
  <c r="N20" i="129"/>
  <c r="U20" i="129"/>
  <c r="G21" i="129"/>
  <c r="N21" i="129"/>
  <c r="U21" i="129"/>
  <c r="G22" i="129"/>
  <c r="N22" i="129"/>
  <c r="U22" i="129"/>
  <c r="G23" i="129"/>
  <c r="N23" i="129"/>
  <c r="U23" i="129"/>
  <c r="N24" i="129"/>
  <c r="U24" i="129"/>
  <c r="U52" i="140" l="1"/>
  <c r="V52" i="140" s="1"/>
  <c r="N53" i="140"/>
  <c r="N39" i="134"/>
  <c r="U38" i="134"/>
  <c r="V38" i="134" s="1"/>
  <c r="H52" i="128"/>
  <c r="G52" i="128"/>
  <c r="B51" i="128"/>
  <c r="B50" i="128"/>
  <c r="B49" i="128"/>
  <c r="B48" i="128"/>
  <c r="B47" i="128"/>
  <c r="B46" i="128"/>
  <c r="B45" i="128"/>
  <c r="B44" i="128"/>
  <c r="B43" i="128"/>
  <c r="B42" i="128"/>
  <c r="B41" i="128"/>
  <c r="B40" i="128"/>
  <c r="B39" i="128"/>
  <c r="B38" i="128"/>
  <c r="B37" i="128"/>
  <c r="B36" i="128"/>
  <c r="B35" i="128"/>
  <c r="B34" i="128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B8" i="128"/>
  <c r="B7" i="128"/>
  <c r="B6" i="128"/>
  <c r="U53" i="140" l="1"/>
  <c r="V53" i="140" s="1"/>
  <c r="N54" i="140"/>
  <c r="N40" i="134"/>
  <c r="U39" i="134"/>
  <c r="V39" i="134" s="1"/>
  <c r="F7" i="124"/>
  <c r="N55" i="140" l="1"/>
  <c r="N56" i="140" s="1"/>
  <c r="N57" i="140" s="1"/>
  <c r="U54" i="140"/>
  <c r="V54" i="140" s="1"/>
  <c r="N41" i="134"/>
  <c r="U40" i="134"/>
  <c r="V40" i="134" s="1"/>
  <c r="E13" i="124"/>
  <c r="D13" i="124"/>
  <c r="F12" i="124"/>
  <c r="F10" i="124"/>
  <c r="F9" i="124"/>
  <c r="F8" i="124"/>
  <c r="F6" i="124"/>
  <c r="F5" i="124"/>
  <c r="N58" i="140" l="1"/>
  <c r="U57" i="140"/>
  <c r="V57" i="140" s="1"/>
  <c r="N42" i="134"/>
  <c r="U41" i="134"/>
  <c r="V41" i="134" s="1"/>
  <c r="S8" i="124"/>
  <c r="S10" i="124"/>
  <c r="S9" i="124"/>
  <c r="S6" i="124"/>
  <c r="S7" i="124"/>
  <c r="S11" i="124"/>
  <c r="S5" i="124"/>
  <c r="S12" i="124"/>
  <c r="F13" i="124"/>
  <c r="N59" i="140" l="1"/>
  <c r="N60" i="140" s="1"/>
  <c r="N61" i="140" s="1"/>
  <c r="N62" i="140" s="1"/>
  <c r="N63" i="140" s="1"/>
  <c r="N64" i="140" s="1"/>
  <c r="N65" i="140" s="1"/>
  <c r="U58" i="140"/>
  <c r="V58" i="140" s="1"/>
  <c r="N43" i="134"/>
  <c r="U42" i="134"/>
  <c r="V42" i="134" s="1"/>
  <c r="S13" i="124"/>
  <c r="X13" i="124"/>
  <c r="O20" i="122"/>
  <c r="O21" i="122" s="1"/>
  <c r="N20" i="122"/>
  <c r="N21" i="122" s="1"/>
  <c r="N22" i="122" s="1"/>
  <c r="N23" i="122" s="1"/>
  <c r="N24" i="122" s="1"/>
  <c r="N25" i="122" s="1"/>
  <c r="N26" i="122" s="1"/>
  <c r="N27" i="122" s="1"/>
  <c r="N28" i="122" s="1"/>
  <c r="N29" i="122" s="1"/>
  <c r="N30" i="122" s="1"/>
  <c r="N31" i="122" s="1"/>
  <c r="N32" i="122" s="1"/>
  <c r="N33" i="122" s="1"/>
  <c r="N34" i="122" s="1"/>
  <c r="N35" i="122" s="1"/>
  <c r="N36" i="122" s="1"/>
  <c r="N37" i="122" s="1"/>
  <c r="N38" i="122" s="1"/>
  <c r="N39" i="122" s="1"/>
  <c r="N40" i="122" s="1"/>
  <c r="N41" i="122" s="1"/>
  <c r="N42" i="122" s="1"/>
  <c r="N43" i="122" s="1"/>
  <c r="N44" i="122" s="1"/>
  <c r="N45" i="122" s="1"/>
  <c r="N46" i="122" s="1"/>
  <c r="N47" i="122" s="1"/>
  <c r="N48" i="122" s="1"/>
  <c r="N49" i="122" s="1"/>
  <c r="N50" i="122" s="1"/>
  <c r="N51" i="122" s="1"/>
  <c r="N52" i="122" s="1"/>
  <c r="N66" i="140" l="1"/>
  <c r="U65" i="140"/>
  <c r="V65" i="140" s="1"/>
  <c r="N44" i="134"/>
  <c r="U43" i="134"/>
  <c r="V43" i="134" s="1"/>
  <c r="L110" i="122"/>
  <c r="M110" i="122" s="1"/>
  <c r="L85" i="122"/>
  <c r="M85" i="122" s="1"/>
  <c r="L109" i="122"/>
  <c r="L61" i="122"/>
  <c r="M61" i="122" s="1"/>
  <c r="L73" i="122"/>
  <c r="M73" i="122" s="1"/>
  <c r="L97" i="122"/>
  <c r="M97" i="122" s="1"/>
  <c r="L62" i="122"/>
  <c r="M62" i="122" s="1"/>
  <c r="L98" i="122"/>
  <c r="M98" i="122" s="1"/>
  <c r="L74" i="122"/>
  <c r="M74" i="122" s="1"/>
  <c r="L63" i="122"/>
  <c r="M63" i="122" s="1"/>
  <c r="L75" i="122"/>
  <c r="M75" i="122" s="1"/>
  <c r="L87" i="122"/>
  <c r="M87" i="122" s="1"/>
  <c r="L99" i="122"/>
  <c r="M99" i="122" s="1"/>
  <c r="L86" i="122"/>
  <c r="M86" i="122" s="1"/>
  <c r="L64" i="122"/>
  <c r="M64" i="122" s="1"/>
  <c r="L76" i="122"/>
  <c r="M76" i="122" s="1"/>
  <c r="L88" i="122"/>
  <c r="M88" i="122" s="1"/>
  <c r="L100" i="122"/>
  <c r="M100" i="122" s="1"/>
  <c r="L89" i="122"/>
  <c r="M89" i="122" s="1"/>
  <c r="L90" i="122"/>
  <c r="M90" i="122" s="1"/>
  <c r="L55" i="122"/>
  <c r="M55" i="122" s="1"/>
  <c r="L67" i="122"/>
  <c r="M67" i="122" s="1"/>
  <c r="L79" i="122"/>
  <c r="M79" i="122" s="1"/>
  <c r="L91" i="122"/>
  <c r="M91" i="122" s="1"/>
  <c r="L103" i="122"/>
  <c r="M103" i="122" s="1"/>
  <c r="L66" i="122"/>
  <c r="M66" i="122" s="1"/>
  <c r="L56" i="122"/>
  <c r="M56" i="122" s="1"/>
  <c r="L68" i="122"/>
  <c r="M68" i="122" s="1"/>
  <c r="L80" i="122"/>
  <c r="M80" i="122" s="1"/>
  <c r="L92" i="122"/>
  <c r="M92" i="122" s="1"/>
  <c r="L104" i="122"/>
  <c r="M104" i="122" s="1"/>
  <c r="L77" i="122"/>
  <c r="M77" i="122" s="1"/>
  <c r="L54" i="122"/>
  <c r="L102" i="122"/>
  <c r="M102" i="122" s="1"/>
  <c r="L57" i="122"/>
  <c r="M57" i="122" s="1"/>
  <c r="L69" i="122"/>
  <c r="M69" i="122" s="1"/>
  <c r="L81" i="122"/>
  <c r="M81" i="122" s="1"/>
  <c r="L93" i="122"/>
  <c r="M93" i="122" s="1"/>
  <c r="L105" i="122"/>
  <c r="L65" i="122"/>
  <c r="M65" i="122" s="1"/>
  <c r="L101" i="122"/>
  <c r="M101" i="122" s="1"/>
  <c r="L78" i="122"/>
  <c r="M78" i="122" s="1"/>
  <c r="L58" i="122"/>
  <c r="M58" i="122" s="1"/>
  <c r="L70" i="122"/>
  <c r="M70" i="122" s="1"/>
  <c r="L82" i="122"/>
  <c r="M82" i="122" s="1"/>
  <c r="L94" i="122"/>
  <c r="M94" i="122" s="1"/>
  <c r="L106" i="122"/>
  <c r="M106" i="122" s="1"/>
  <c r="L59" i="122"/>
  <c r="M59" i="122" s="1"/>
  <c r="L71" i="122"/>
  <c r="M71" i="122" s="1"/>
  <c r="L83" i="122"/>
  <c r="M83" i="122" s="1"/>
  <c r="L95" i="122"/>
  <c r="M95" i="122" s="1"/>
  <c r="L107" i="122"/>
  <c r="M107" i="122" s="1"/>
  <c r="L60" i="122"/>
  <c r="M60" i="122" s="1"/>
  <c r="L72" i="122"/>
  <c r="M72" i="122" s="1"/>
  <c r="L84" i="122"/>
  <c r="M84" i="122" s="1"/>
  <c r="L96" i="122"/>
  <c r="M96" i="122" s="1"/>
  <c r="L108" i="122"/>
  <c r="M108" i="122" s="1"/>
  <c r="N67" i="140" l="1"/>
  <c r="U66" i="140"/>
  <c r="V66" i="140" s="1"/>
  <c r="N45" i="134"/>
  <c r="U44" i="134"/>
  <c r="V44" i="134" s="1"/>
  <c r="L15" i="122"/>
  <c r="J15" i="122"/>
  <c r="K13" i="122"/>
  <c r="E13" i="122"/>
  <c r="G12" i="122" s="1"/>
  <c r="L12" i="122"/>
  <c r="F12" i="122"/>
  <c r="L11" i="122"/>
  <c r="S11" i="122" s="1"/>
  <c r="L10" i="122"/>
  <c r="F10" i="122"/>
  <c r="L9" i="122"/>
  <c r="F9" i="122"/>
  <c r="L8" i="122"/>
  <c r="F8" i="122"/>
  <c r="L7" i="122"/>
  <c r="F7" i="122"/>
  <c r="L6" i="122"/>
  <c r="F6" i="122"/>
  <c r="L5" i="122"/>
  <c r="F5" i="122"/>
  <c r="N68" i="140" l="1"/>
  <c r="U67" i="140"/>
  <c r="V67" i="140" s="1"/>
  <c r="N46" i="134"/>
  <c r="U45" i="134"/>
  <c r="V45" i="134" s="1"/>
  <c r="L13" i="122"/>
  <c r="M11" i="122"/>
  <c r="M12" i="122"/>
  <c r="S6" i="122"/>
  <c r="S8" i="122"/>
  <c r="S9" i="122"/>
  <c r="S5" i="122"/>
  <c r="M5" i="122"/>
  <c r="S10" i="122"/>
  <c r="S7" i="122"/>
  <c r="F13" i="122"/>
  <c r="G13" i="122" s="1"/>
  <c r="G11" i="122" s="1"/>
  <c r="M8" i="122"/>
  <c r="K14" i="122"/>
  <c r="M6" i="122"/>
  <c r="M9" i="122"/>
  <c r="S12" i="122"/>
  <c r="M7" i="122"/>
  <c r="M10" i="122"/>
  <c r="N20" i="119"/>
  <c r="N21" i="119" s="1"/>
  <c r="N22" i="119" s="1"/>
  <c r="N69" i="140" l="1"/>
  <c r="N70" i="140" s="1"/>
  <c r="U68" i="140"/>
  <c r="V68" i="140" s="1"/>
  <c r="N47" i="134"/>
  <c r="N48" i="134" s="1"/>
  <c r="N49" i="134" s="1"/>
  <c r="U46" i="134"/>
  <c r="V46" i="134" s="1"/>
  <c r="L51" i="122"/>
  <c r="L39" i="122"/>
  <c r="M39" i="122" s="1"/>
  <c r="L27" i="122"/>
  <c r="M27" i="122" s="1"/>
  <c r="L50" i="122"/>
  <c r="M50" i="122" s="1"/>
  <c r="L38" i="122"/>
  <c r="M38" i="122" s="1"/>
  <c r="L26" i="122"/>
  <c r="M26" i="122" s="1"/>
  <c r="L44" i="122"/>
  <c r="M44" i="122" s="1"/>
  <c r="L41" i="122"/>
  <c r="M41" i="122" s="1"/>
  <c r="L49" i="122"/>
  <c r="M49" i="122" s="1"/>
  <c r="L37" i="122"/>
  <c r="M37" i="122" s="1"/>
  <c r="L25" i="122"/>
  <c r="M25" i="122" s="1"/>
  <c r="L35" i="122"/>
  <c r="M35" i="122" s="1"/>
  <c r="L22" i="122"/>
  <c r="M22" i="122" s="1"/>
  <c r="L32" i="122"/>
  <c r="M32" i="122" s="1"/>
  <c r="L48" i="122"/>
  <c r="M48" i="122" s="1"/>
  <c r="L36" i="122"/>
  <c r="M36" i="122" s="1"/>
  <c r="L24" i="122"/>
  <c r="M24" i="122" s="1"/>
  <c r="L47" i="122"/>
  <c r="M47" i="122" s="1"/>
  <c r="L23" i="122"/>
  <c r="M23" i="122" s="1"/>
  <c r="L33" i="122"/>
  <c r="M33" i="122" s="1"/>
  <c r="L46" i="122"/>
  <c r="M46" i="122" s="1"/>
  <c r="L34" i="122"/>
  <c r="M34" i="122" s="1"/>
  <c r="L45" i="122"/>
  <c r="M45" i="122" s="1"/>
  <c r="L43" i="122"/>
  <c r="M43" i="122" s="1"/>
  <c r="L31" i="122"/>
  <c r="M31" i="122" s="1"/>
  <c r="L29" i="122"/>
  <c r="M29" i="122" s="1"/>
  <c r="L42" i="122"/>
  <c r="M42" i="122" s="1"/>
  <c r="L30" i="122"/>
  <c r="M30" i="122" s="1"/>
  <c r="L53" i="122"/>
  <c r="K53" i="122" s="1"/>
  <c r="L52" i="122"/>
  <c r="M52" i="122" s="1"/>
  <c r="L40" i="122"/>
  <c r="M40" i="122" s="1"/>
  <c r="L28" i="122"/>
  <c r="M28" i="122" s="1"/>
  <c r="M13" i="122"/>
  <c r="L14" i="122"/>
  <c r="S13" i="122"/>
  <c r="X13" i="122"/>
  <c r="L97" i="119"/>
  <c r="M97" i="119" s="1"/>
  <c r="L85" i="119"/>
  <c r="M85" i="119" s="1"/>
  <c r="L77" i="119"/>
  <c r="M77" i="119" s="1"/>
  <c r="L61" i="119"/>
  <c r="M61" i="119" s="1"/>
  <c r="L53" i="119"/>
  <c r="M53" i="119" s="1"/>
  <c r="L37" i="119"/>
  <c r="M37" i="119" s="1"/>
  <c r="L29" i="119"/>
  <c r="L84" i="119"/>
  <c r="M84" i="119" s="1"/>
  <c r="L60" i="119"/>
  <c r="M60" i="119" s="1"/>
  <c r="L36" i="119"/>
  <c r="L45" i="119"/>
  <c r="M45" i="119" s="1"/>
  <c r="L96" i="119"/>
  <c r="M96" i="119" s="1"/>
  <c r="L76" i="119"/>
  <c r="M76" i="119" s="1"/>
  <c r="L68" i="119"/>
  <c r="M68" i="119" s="1"/>
  <c r="L52" i="119"/>
  <c r="M52" i="119" s="1"/>
  <c r="L44" i="119"/>
  <c r="M44" i="119" s="1"/>
  <c r="L28" i="119"/>
  <c r="M28" i="119" s="1"/>
  <c r="L95" i="119"/>
  <c r="M95" i="119" s="1"/>
  <c r="L75" i="119"/>
  <c r="M75" i="119" s="1"/>
  <c r="L51" i="119"/>
  <c r="M51" i="119" s="1"/>
  <c r="L27" i="119"/>
  <c r="L94" i="119"/>
  <c r="M94" i="119" s="1"/>
  <c r="L83" i="119"/>
  <c r="M83" i="119" s="1"/>
  <c r="L67" i="119"/>
  <c r="M67" i="119" s="1"/>
  <c r="L59" i="119"/>
  <c r="M59" i="119" s="1"/>
  <c r="L43" i="119"/>
  <c r="M43" i="119" s="1"/>
  <c r="L35" i="119"/>
  <c r="M35" i="119" s="1"/>
  <c r="L72" i="119"/>
  <c r="M72" i="119" s="1"/>
  <c r="L30" i="119"/>
  <c r="M30" i="119" s="1"/>
  <c r="L93" i="119"/>
  <c r="M93" i="119" s="1"/>
  <c r="L82" i="119"/>
  <c r="M82" i="119" s="1"/>
  <c r="L74" i="119"/>
  <c r="M74" i="119" s="1"/>
  <c r="L58" i="119"/>
  <c r="M58" i="119" s="1"/>
  <c r="L50" i="119"/>
  <c r="M50" i="119" s="1"/>
  <c r="L34" i="119"/>
  <c r="M34" i="119" s="1"/>
  <c r="L26" i="119"/>
  <c r="M26" i="119" s="1"/>
  <c r="L54" i="119"/>
  <c r="M54" i="119" s="1"/>
  <c r="L104" i="119"/>
  <c r="M104" i="119" s="1"/>
  <c r="L92" i="119"/>
  <c r="M92" i="119" s="1"/>
  <c r="L81" i="119"/>
  <c r="M81" i="119" s="1"/>
  <c r="L66" i="119"/>
  <c r="M66" i="119" s="1"/>
  <c r="L57" i="119"/>
  <c r="M57" i="119" s="1"/>
  <c r="L42" i="119"/>
  <c r="M42" i="119" s="1"/>
  <c r="L33" i="119"/>
  <c r="M33" i="119" s="1"/>
  <c r="L63" i="119"/>
  <c r="M63" i="119" s="1"/>
  <c r="L55" i="119"/>
  <c r="M55" i="119" s="1"/>
  <c r="L69" i="119"/>
  <c r="M69" i="119" s="1"/>
  <c r="L103" i="119"/>
  <c r="M103" i="119" s="1"/>
  <c r="L91" i="119"/>
  <c r="M91" i="119" s="1"/>
  <c r="L73" i="119"/>
  <c r="M73" i="119" s="1"/>
  <c r="L65" i="119"/>
  <c r="M65" i="119" s="1"/>
  <c r="L49" i="119"/>
  <c r="M49" i="119" s="1"/>
  <c r="L41" i="119"/>
  <c r="M41" i="119" s="1"/>
  <c r="L25" i="119"/>
  <c r="M25" i="119" s="1"/>
  <c r="L89" i="119"/>
  <c r="M89" i="119" s="1"/>
  <c r="L39" i="119"/>
  <c r="M39" i="119" s="1"/>
  <c r="L24" i="119"/>
  <c r="L86" i="119"/>
  <c r="M86" i="119" s="1"/>
  <c r="L102" i="119"/>
  <c r="M102" i="119" s="1"/>
  <c r="L90" i="119"/>
  <c r="M90" i="119" s="1"/>
  <c r="L80" i="119"/>
  <c r="M80" i="119" s="1"/>
  <c r="L64" i="119"/>
  <c r="M64" i="119" s="1"/>
  <c r="L56" i="119"/>
  <c r="M56" i="119" s="1"/>
  <c r="L40" i="119"/>
  <c r="M40" i="119" s="1"/>
  <c r="L32" i="119"/>
  <c r="M32" i="119" s="1"/>
  <c r="L48" i="119"/>
  <c r="M48" i="119" s="1"/>
  <c r="L101" i="119"/>
  <c r="M101" i="119" s="1"/>
  <c r="L47" i="119"/>
  <c r="M47" i="119" s="1"/>
  <c r="L98" i="119"/>
  <c r="M98" i="119" s="1"/>
  <c r="L100" i="119"/>
  <c r="M100" i="119" s="1"/>
  <c r="L88" i="119"/>
  <c r="M88" i="119" s="1"/>
  <c r="L79" i="119"/>
  <c r="M79" i="119" s="1"/>
  <c r="L71" i="119"/>
  <c r="M71" i="119" s="1"/>
  <c r="L31" i="119"/>
  <c r="M31" i="119" s="1"/>
  <c r="L99" i="119"/>
  <c r="M99" i="119" s="1"/>
  <c r="L87" i="119"/>
  <c r="M87" i="119" s="1"/>
  <c r="L70" i="119"/>
  <c r="M70" i="119" s="1"/>
  <c r="L62" i="119"/>
  <c r="M62" i="119" s="1"/>
  <c r="L46" i="119"/>
  <c r="M46" i="119" s="1"/>
  <c r="L38" i="119"/>
  <c r="M38" i="119" s="1"/>
  <c r="L78" i="119"/>
  <c r="M78" i="119" s="1"/>
  <c r="U70" i="140" l="1"/>
  <c r="V70" i="140" s="1"/>
  <c r="N71" i="140"/>
  <c r="N72" i="140" s="1"/>
  <c r="N73" i="140" s="1"/>
  <c r="N50" i="134"/>
  <c r="U49" i="134"/>
  <c r="V49" i="134" s="1"/>
  <c r="M16" i="122"/>
  <c r="M14" i="122" s="1"/>
  <c r="K54" i="122"/>
  <c r="M54" i="122" s="1"/>
  <c r="S54" i="122" s="1"/>
  <c r="S55" i="122" s="1"/>
  <c r="S56" i="122" s="1"/>
  <c r="S57" i="122" s="1"/>
  <c r="S58" i="122" s="1"/>
  <c r="S59" i="122" s="1"/>
  <c r="S60" i="122" s="1"/>
  <c r="S61" i="122" s="1"/>
  <c r="S62" i="122" s="1"/>
  <c r="S63" i="122" s="1"/>
  <c r="S64" i="122" s="1"/>
  <c r="S65" i="122" s="1"/>
  <c r="S66" i="122" s="1"/>
  <c r="S67" i="122" s="1"/>
  <c r="S68" i="122" s="1"/>
  <c r="S69" i="122" s="1"/>
  <c r="S70" i="122" s="1"/>
  <c r="S71" i="122" s="1"/>
  <c r="S72" i="122" s="1"/>
  <c r="S73" i="122" s="1"/>
  <c r="S74" i="122" s="1"/>
  <c r="S75" i="122" s="1"/>
  <c r="S76" i="122" s="1"/>
  <c r="S77" i="122" s="1"/>
  <c r="S78" i="122" s="1"/>
  <c r="S79" i="122" s="1"/>
  <c r="S80" i="122" s="1"/>
  <c r="S81" i="122" s="1"/>
  <c r="S82" i="122" s="1"/>
  <c r="S83" i="122" s="1"/>
  <c r="S84" i="122" s="1"/>
  <c r="S85" i="122" s="1"/>
  <c r="S86" i="122" s="1"/>
  <c r="S87" i="122" s="1"/>
  <c r="S88" i="122" s="1"/>
  <c r="S89" i="122" s="1"/>
  <c r="S90" i="122" s="1"/>
  <c r="S91" i="122" s="1"/>
  <c r="S92" i="122" s="1"/>
  <c r="S93" i="122" s="1"/>
  <c r="S94" i="122" s="1"/>
  <c r="S95" i="122" s="1"/>
  <c r="S96" i="122" s="1"/>
  <c r="S97" i="122" s="1"/>
  <c r="S98" i="122" s="1"/>
  <c r="S99" i="122" s="1"/>
  <c r="S100" i="122" s="1"/>
  <c r="S101" i="122" s="1"/>
  <c r="S102" i="122" s="1"/>
  <c r="S103" i="122" s="1"/>
  <c r="S104" i="122" s="1"/>
  <c r="S105" i="122" s="1"/>
  <c r="S106" i="122" s="1"/>
  <c r="S107" i="122" s="1"/>
  <c r="S108" i="122" s="1"/>
  <c r="S109" i="122" s="1"/>
  <c r="S110" i="122" s="1"/>
  <c r="N53" i="122"/>
  <c r="K16" i="122"/>
  <c r="K15" i="122" s="1"/>
  <c r="O22" i="122"/>
  <c r="O23" i="122" s="1"/>
  <c r="O24" i="122" s="1"/>
  <c r="O25" i="122" s="1"/>
  <c r="O26" i="122" s="1"/>
  <c r="O27" i="122" s="1"/>
  <c r="O28" i="122" s="1"/>
  <c r="O29" i="122" s="1"/>
  <c r="O30" i="122" s="1"/>
  <c r="O31" i="122" s="1"/>
  <c r="O32" i="122" s="1"/>
  <c r="O33" i="122" s="1"/>
  <c r="O34" i="122" s="1"/>
  <c r="O35" i="122" s="1"/>
  <c r="O36" i="122" s="1"/>
  <c r="O37" i="122" s="1"/>
  <c r="O38" i="122" s="1"/>
  <c r="O39" i="122" s="1"/>
  <c r="O40" i="122" s="1"/>
  <c r="O41" i="122" s="1"/>
  <c r="O42" i="122" s="1"/>
  <c r="O43" i="122" s="1"/>
  <c r="O44" i="122" s="1"/>
  <c r="O45" i="122" s="1"/>
  <c r="O46" i="122" s="1"/>
  <c r="O47" i="122" s="1"/>
  <c r="O48" i="122" s="1"/>
  <c r="O49" i="122" s="1"/>
  <c r="O50" i="122" s="1"/>
  <c r="O51" i="122" s="1"/>
  <c r="O52" i="122" s="1"/>
  <c r="O53" i="122" s="1"/>
  <c r="S22" i="122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M36" i="119"/>
  <c r="N74" i="140" l="1"/>
  <c r="N75" i="140" s="1"/>
  <c r="U73" i="140"/>
  <c r="V73" i="140" s="1"/>
  <c r="N51" i="134"/>
  <c r="U50" i="134"/>
  <c r="V50" i="134" s="1"/>
  <c r="O54" i="122"/>
  <c r="O55" i="122" s="1"/>
  <c r="O56" i="122" s="1"/>
  <c r="O57" i="122" s="1"/>
  <c r="O58" i="122" s="1"/>
  <c r="O59" i="122" s="1"/>
  <c r="O60" i="122" s="1"/>
  <c r="O61" i="122" s="1"/>
  <c r="O62" i="122" s="1"/>
  <c r="O63" i="122" s="1"/>
  <c r="O64" i="122" s="1"/>
  <c r="O65" i="122" s="1"/>
  <c r="O66" i="122" s="1"/>
  <c r="O67" i="122" s="1"/>
  <c r="O68" i="122" s="1"/>
  <c r="O69" i="122" s="1"/>
  <c r="O70" i="122" s="1"/>
  <c r="O71" i="122" s="1"/>
  <c r="O72" i="122" s="1"/>
  <c r="O73" i="122" s="1"/>
  <c r="O74" i="122" s="1"/>
  <c r="O75" i="122" s="1"/>
  <c r="O76" i="122" s="1"/>
  <c r="O77" i="122" s="1"/>
  <c r="O78" i="122" s="1"/>
  <c r="O79" i="122" s="1"/>
  <c r="O80" i="122" s="1"/>
  <c r="O81" i="122" s="1"/>
  <c r="O82" i="122" s="1"/>
  <c r="O83" i="122" s="1"/>
  <c r="O84" i="122" s="1"/>
  <c r="O85" i="122" s="1"/>
  <c r="O86" i="122" s="1"/>
  <c r="O87" i="122" s="1"/>
  <c r="O88" i="122" s="1"/>
  <c r="O89" i="122" s="1"/>
  <c r="O90" i="122" s="1"/>
  <c r="O91" i="122" s="1"/>
  <c r="O92" i="122" s="1"/>
  <c r="O93" i="122" s="1"/>
  <c r="O94" i="122" s="1"/>
  <c r="O95" i="122" s="1"/>
  <c r="O96" i="122" s="1"/>
  <c r="O97" i="122" s="1"/>
  <c r="O98" i="122" s="1"/>
  <c r="O99" i="122" s="1"/>
  <c r="O100" i="122" s="1"/>
  <c r="O101" i="122" s="1"/>
  <c r="O102" i="122" s="1"/>
  <c r="O103" i="122" s="1"/>
  <c r="O104" i="122" s="1"/>
  <c r="O105" i="122" s="1"/>
  <c r="O106" i="122" s="1"/>
  <c r="O107" i="122" s="1"/>
  <c r="O108" i="122" s="1"/>
  <c r="O109" i="122" s="1"/>
  <c r="O110" i="122" s="1"/>
  <c r="N54" i="122"/>
  <c r="N55" i="122" s="1"/>
  <c r="N56" i="122" s="1"/>
  <c r="N57" i="122" s="1"/>
  <c r="N58" i="122" s="1"/>
  <c r="N59" i="122" s="1"/>
  <c r="N60" i="122" s="1"/>
  <c r="N61" i="122" s="1"/>
  <c r="N62" i="122" s="1"/>
  <c r="N63" i="122" s="1"/>
  <c r="N64" i="122" s="1"/>
  <c r="N65" i="122" s="1"/>
  <c r="N66" i="122" s="1"/>
  <c r="N67" i="122" s="1"/>
  <c r="N68" i="122" s="1"/>
  <c r="N69" i="122" s="1"/>
  <c r="N70" i="122" s="1"/>
  <c r="N71" i="122" s="1"/>
  <c r="N72" i="122" s="1"/>
  <c r="N73" i="122" s="1"/>
  <c r="N74" i="122" s="1"/>
  <c r="N75" i="122" s="1"/>
  <c r="N76" i="122" s="1"/>
  <c r="N77" i="122" s="1"/>
  <c r="N78" i="122" s="1"/>
  <c r="N79" i="122" s="1"/>
  <c r="N80" i="122" s="1"/>
  <c r="N81" i="122" s="1"/>
  <c r="N82" i="122" s="1"/>
  <c r="N83" i="122" s="1"/>
  <c r="N84" i="122" s="1"/>
  <c r="N85" i="122" s="1"/>
  <c r="N86" i="122" s="1"/>
  <c r="N87" i="122" s="1"/>
  <c r="N88" i="122" s="1"/>
  <c r="N89" i="122" s="1"/>
  <c r="N90" i="122" s="1"/>
  <c r="N91" i="122" s="1"/>
  <c r="N92" i="122" s="1"/>
  <c r="N93" i="122" s="1"/>
  <c r="N94" i="122" s="1"/>
  <c r="N95" i="122" s="1"/>
  <c r="N96" i="122" s="1"/>
  <c r="N97" i="122" s="1"/>
  <c r="N98" i="122" s="1"/>
  <c r="N99" i="122" s="1"/>
  <c r="N100" i="122" s="1"/>
  <c r="N101" i="122" s="1"/>
  <c r="N102" i="122" s="1"/>
  <c r="N103" i="122" s="1"/>
  <c r="N104" i="122" s="1"/>
  <c r="N105" i="122" s="1"/>
  <c r="N106" i="122" s="1"/>
  <c r="N107" i="122" s="1"/>
  <c r="N108" i="122" s="1"/>
  <c r="N109" i="122" s="1"/>
  <c r="N110" i="122" s="1"/>
  <c r="M15" i="122"/>
  <c r="M29" i="119"/>
  <c r="M27" i="119"/>
  <c r="N76" i="140" l="1"/>
  <c r="U75" i="140"/>
  <c r="V75" i="140" s="1"/>
  <c r="N52" i="134"/>
  <c r="U51" i="134"/>
  <c r="V51" i="134" s="1"/>
  <c r="L15" i="119"/>
  <c r="J15" i="119"/>
  <c r="K13" i="119"/>
  <c r="J13" i="119"/>
  <c r="E13" i="119"/>
  <c r="G12" i="119" s="1"/>
  <c r="D13" i="119"/>
  <c r="L12" i="119"/>
  <c r="F12" i="119"/>
  <c r="L11" i="119"/>
  <c r="S11" i="119" s="1"/>
  <c r="L10" i="119"/>
  <c r="F10" i="119"/>
  <c r="L9" i="119"/>
  <c r="F9" i="119"/>
  <c r="L8" i="119"/>
  <c r="F8" i="119"/>
  <c r="L7" i="119"/>
  <c r="F7" i="119"/>
  <c r="L6" i="119"/>
  <c r="F6" i="119"/>
  <c r="L5" i="119"/>
  <c r="F5" i="119"/>
  <c r="L15" i="117"/>
  <c r="J15" i="117"/>
  <c r="U76" i="140" l="1"/>
  <c r="V76" i="140" s="1"/>
  <c r="N77" i="140"/>
  <c r="N53" i="134"/>
  <c r="N54" i="134" s="1"/>
  <c r="N55" i="134" s="1"/>
  <c r="U52" i="134"/>
  <c r="V52" i="134" s="1"/>
  <c r="S8" i="119"/>
  <c r="J14" i="119"/>
  <c r="M11" i="119"/>
  <c r="S9" i="119"/>
  <c r="M12" i="119"/>
  <c r="K14" i="119"/>
  <c r="L13" i="119"/>
  <c r="S10" i="119"/>
  <c r="M5" i="119"/>
  <c r="S6" i="119"/>
  <c r="S7" i="119"/>
  <c r="M8" i="119"/>
  <c r="S5" i="119"/>
  <c r="M10" i="119"/>
  <c r="M6" i="119"/>
  <c r="M7" i="119"/>
  <c r="F13" i="119"/>
  <c r="M9" i="119"/>
  <c r="S12" i="119"/>
  <c r="O20" i="117"/>
  <c r="O21" i="117" s="1"/>
  <c r="N20" i="117"/>
  <c r="N21" i="117" s="1"/>
  <c r="N22" i="117" s="1"/>
  <c r="N23" i="117" s="1"/>
  <c r="N24" i="117" s="1"/>
  <c r="N25" i="117" s="1"/>
  <c r="N26" i="117" s="1"/>
  <c r="N27" i="117" s="1"/>
  <c r="N28" i="117" s="1"/>
  <c r="N29" i="117" s="1"/>
  <c r="N30" i="117" s="1"/>
  <c r="N31" i="117" s="1"/>
  <c r="N32" i="117" s="1"/>
  <c r="N33" i="117" s="1"/>
  <c r="N34" i="117" s="1"/>
  <c r="N35" i="117" s="1"/>
  <c r="N36" i="117" s="1"/>
  <c r="N37" i="117" s="1"/>
  <c r="N38" i="117" s="1"/>
  <c r="N39" i="117" s="1"/>
  <c r="N40" i="117" s="1"/>
  <c r="N41" i="117" s="1"/>
  <c r="N42" i="117" s="1"/>
  <c r="N43" i="117" s="1"/>
  <c r="N44" i="117" s="1"/>
  <c r="N45" i="117" s="1"/>
  <c r="N46" i="117" s="1"/>
  <c r="N47" i="117" s="1"/>
  <c r="N48" i="117" s="1"/>
  <c r="N49" i="117" s="1"/>
  <c r="N50" i="117" s="1"/>
  <c r="N51" i="117" s="1"/>
  <c r="N52" i="117" s="1"/>
  <c r="N53" i="117" s="1"/>
  <c r="N54" i="117" s="1"/>
  <c r="N55" i="117" s="1"/>
  <c r="N56" i="117" s="1"/>
  <c r="N57" i="117" s="1"/>
  <c r="N58" i="117" s="1"/>
  <c r="U77" i="140" l="1"/>
  <c r="V77" i="140" s="1"/>
  <c r="N78" i="140"/>
  <c r="N56" i="134"/>
  <c r="U55" i="134"/>
  <c r="V55" i="134" s="1"/>
  <c r="L23" i="119"/>
  <c r="K23" i="119" s="1"/>
  <c r="L20" i="119"/>
  <c r="M20" i="119" s="1"/>
  <c r="L71" i="117"/>
  <c r="M71" i="117" s="1"/>
  <c r="L73" i="117"/>
  <c r="M73" i="117" s="1"/>
  <c r="M13" i="119"/>
  <c r="L100" i="117"/>
  <c r="M100" i="117" s="1"/>
  <c r="S13" i="119"/>
  <c r="X13" i="119"/>
  <c r="G13" i="119"/>
  <c r="G11" i="119" s="1"/>
  <c r="L14" i="119"/>
  <c r="L99" i="117"/>
  <c r="M99" i="117" s="1"/>
  <c r="L101" i="117"/>
  <c r="M101" i="117" s="1"/>
  <c r="L75" i="117"/>
  <c r="M75" i="117" s="1"/>
  <c r="L77" i="117"/>
  <c r="M77" i="117" s="1"/>
  <c r="L81" i="117"/>
  <c r="M81" i="117" s="1"/>
  <c r="L83" i="117"/>
  <c r="M83" i="117" s="1"/>
  <c r="L85" i="117"/>
  <c r="M85" i="117" s="1"/>
  <c r="L61" i="117"/>
  <c r="M61" i="117" s="1"/>
  <c r="L87" i="117"/>
  <c r="M87" i="117" s="1"/>
  <c r="L63" i="117"/>
  <c r="M63" i="117" s="1"/>
  <c r="L89" i="117"/>
  <c r="M89" i="117" s="1"/>
  <c r="L65" i="117"/>
  <c r="M65" i="117" s="1"/>
  <c r="L93" i="117"/>
  <c r="M93" i="117" s="1"/>
  <c r="L66" i="117"/>
  <c r="M66" i="117" s="1"/>
  <c r="L95" i="117"/>
  <c r="L69" i="117"/>
  <c r="M69" i="117" s="1"/>
  <c r="L97" i="117"/>
  <c r="M97" i="117" s="1"/>
  <c r="L102" i="117"/>
  <c r="M102" i="117" s="1"/>
  <c r="L78" i="117"/>
  <c r="M78" i="117" s="1"/>
  <c r="L90" i="117"/>
  <c r="M90" i="117" s="1"/>
  <c r="L67" i="117"/>
  <c r="M67" i="117" s="1"/>
  <c r="L79" i="117"/>
  <c r="M79" i="117" s="1"/>
  <c r="L91" i="117"/>
  <c r="M91" i="117" s="1"/>
  <c r="L103" i="117"/>
  <c r="M103" i="117" s="1"/>
  <c r="L68" i="117"/>
  <c r="M68" i="117" s="1"/>
  <c r="L80" i="117"/>
  <c r="M80" i="117" s="1"/>
  <c r="L92" i="117"/>
  <c r="M92" i="117" s="1"/>
  <c r="L104" i="117"/>
  <c r="M104" i="117" s="1"/>
  <c r="L70" i="117"/>
  <c r="M70" i="117" s="1"/>
  <c r="L82" i="117"/>
  <c r="M82" i="117" s="1"/>
  <c r="L94" i="117"/>
  <c r="M94" i="117" s="1"/>
  <c r="L60" i="117"/>
  <c r="L72" i="117"/>
  <c r="M72" i="117" s="1"/>
  <c r="L84" i="117"/>
  <c r="M84" i="117" s="1"/>
  <c r="L96" i="117"/>
  <c r="M96" i="117" s="1"/>
  <c r="L62" i="117"/>
  <c r="M62" i="117" s="1"/>
  <c r="L74" i="117"/>
  <c r="M74" i="117" s="1"/>
  <c r="L86" i="117"/>
  <c r="M86" i="117" s="1"/>
  <c r="L98" i="117"/>
  <c r="M98" i="117" s="1"/>
  <c r="L64" i="117"/>
  <c r="M64" i="117" s="1"/>
  <c r="L76" i="117"/>
  <c r="M76" i="117" s="1"/>
  <c r="L88" i="117"/>
  <c r="M88" i="117" s="1"/>
  <c r="U78" i="140" l="1"/>
  <c r="V78" i="140" s="1"/>
  <c r="N79" i="140"/>
  <c r="N57" i="134"/>
  <c r="N58" i="134" s="1"/>
  <c r="N59" i="134" s="1"/>
  <c r="N60" i="134" s="1"/>
  <c r="N61" i="134" s="1"/>
  <c r="N62" i="134" s="1"/>
  <c r="N63" i="134" s="1"/>
  <c r="U56" i="134"/>
  <c r="V56" i="134" s="1"/>
  <c r="S20" i="119"/>
  <c r="O20" i="119"/>
  <c r="O21" i="119" s="1"/>
  <c r="O22" i="119" s="1"/>
  <c r="O23" i="119" s="1"/>
  <c r="K24" i="119"/>
  <c r="M24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S59" i="119" s="1"/>
  <c r="S60" i="119" s="1"/>
  <c r="S61" i="119" s="1"/>
  <c r="S62" i="119" s="1"/>
  <c r="S63" i="119" s="1"/>
  <c r="S64" i="119" s="1"/>
  <c r="S65" i="119" s="1"/>
  <c r="S66" i="119" s="1"/>
  <c r="S67" i="119" s="1"/>
  <c r="S68" i="119" s="1"/>
  <c r="S69" i="119" s="1"/>
  <c r="S70" i="119" s="1"/>
  <c r="S71" i="119" s="1"/>
  <c r="S72" i="119" s="1"/>
  <c r="S73" i="119" s="1"/>
  <c r="S74" i="119" s="1"/>
  <c r="S75" i="119" s="1"/>
  <c r="S76" i="119" s="1"/>
  <c r="S77" i="119" s="1"/>
  <c r="S78" i="119" s="1"/>
  <c r="S79" i="119" s="1"/>
  <c r="S80" i="119" s="1"/>
  <c r="S81" i="119" s="1"/>
  <c r="S82" i="119" s="1"/>
  <c r="S83" i="119" s="1"/>
  <c r="S84" i="119" s="1"/>
  <c r="S85" i="119" s="1"/>
  <c r="S86" i="119" s="1"/>
  <c r="S87" i="119" s="1"/>
  <c r="S88" i="119" s="1"/>
  <c r="S89" i="119" s="1"/>
  <c r="S90" i="119" s="1"/>
  <c r="S91" i="119" s="1"/>
  <c r="S92" i="119" s="1"/>
  <c r="S93" i="119" s="1"/>
  <c r="S94" i="119" s="1"/>
  <c r="S95" i="119" s="1"/>
  <c r="S96" i="119" s="1"/>
  <c r="S97" i="119" s="1"/>
  <c r="S98" i="119" s="1"/>
  <c r="S99" i="119" s="1"/>
  <c r="S100" i="119" s="1"/>
  <c r="S101" i="119" s="1"/>
  <c r="S102" i="119" s="1"/>
  <c r="S103" i="119" s="1"/>
  <c r="S104" i="119" s="1"/>
  <c r="N23" i="119"/>
  <c r="L12" i="117"/>
  <c r="F12" i="117"/>
  <c r="L11" i="117"/>
  <c r="L9" i="117"/>
  <c r="F9" i="117"/>
  <c r="L8" i="117"/>
  <c r="F8" i="117"/>
  <c r="L7" i="117"/>
  <c r="F7" i="117"/>
  <c r="L6" i="117"/>
  <c r="L5" i="117"/>
  <c r="S12" i="115"/>
  <c r="S11" i="115"/>
  <c r="S10" i="115"/>
  <c r="S9" i="115"/>
  <c r="S8" i="115"/>
  <c r="S7" i="115"/>
  <c r="S6" i="115"/>
  <c r="U79" i="140" l="1"/>
  <c r="V79" i="140" s="1"/>
  <c r="N80" i="140"/>
  <c r="N64" i="134"/>
  <c r="U63" i="134"/>
  <c r="V63" i="134" s="1"/>
  <c r="N24" i="119"/>
  <c r="N25" i="119" s="1"/>
  <c r="N26" i="119" s="1"/>
  <c r="N27" i="119" s="1"/>
  <c r="N28" i="119" s="1"/>
  <c r="N29" i="119" s="1"/>
  <c r="N30" i="119" s="1"/>
  <c r="N31" i="119" s="1"/>
  <c r="N32" i="119" s="1"/>
  <c r="N33" i="119" s="1"/>
  <c r="N34" i="119" s="1"/>
  <c r="N35" i="119" s="1"/>
  <c r="N36" i="119" s="1"/>
  <c r="N37" i="119" s="1"/>
  <c r="N38" i="119" s="1"/>
  <c r="N39" i="119" s="1"/>
  <c r="N40" i="119" s="1"/>
  <c r="N41" i="119" s="1"/>
  <c r="N42" i="119" s="1"/>
  <c r="N43" i="119" s="1"/>
  <c r="N44" i="119" s="1"/>
  <c r="N45" i="119" s="1"/>
  <c r="N46" i="119" s="1"/>
  <c r="N47" i="119" s="1"/>
  <c r="N48" i="119" s="1"/>
  <c r="N49" i="119" s="1"/>
  <c r="N50" i="119" s="1"/>
  <c r="N51" i="119" s="1"/>
  <c r="N52" i="119" s="1"/>
  <c r="N53" i="119" s="1"/>
  <c r="N54" i="119" s="1"/>
  <c r="N55" i="119" s="1"/>
  <c r="N56" i="119" s="1"/>
  <c r="N57" i="119" s="1"/>
  <c r="N58" i="119" s="1"/>
  <c r="N59" i="119" s="1"/>
  <c r="N60" i="119" s="1"/>
  <c r="N61" i="119" s="1"/>
  <c r="N62" i="119" s="1"/>
  <c r="N63" i="119" s="1"/>
  <c r="N64" i="119" s="1"/>
  <c r="N65" i="119" s="1"/>
  <c r="N66" i="119" s="1"/>
  <c r="N67" i="119" s="1"/>
  <c r="N68" i="119" s="1"/>
  <c r="N69" i="119" s="1"/>
  <c r="N70" i="119" s="1"/>
  <c r="N71" i="119" s="1"/>
  <c r="N72" i="119" s="1"/>
  <c r="N73" i="119" s="1"/>
  <c r="N74" i="119" s="1"/>
  <c r="N75" i="119" s="1"/>
  <c r="N76" i="119" s="1"/>
  <c r="N77" i="119" s="1"/>
  <c r="N78" i="119" s="1"/>
  <c r="N79" i="119" s="1"/>
  <c r="N80" i="119" s="1"/>
  <c r="N81" i="119" s="1"/>
  <c r="N82" i="119" s="1"/>
  <c r="N83" i="119" s="1"/>
  <c r="N84" i="119" s="1"/>
  <c r="N85" i="119" s="1"/>
  <c r="N86" i="119" s="1"/>
  <c r="N87" i="119" s="1"/>
  <c r="N88" i="119" s="1"/>
  <c r="N89" i="119" s="1"/>
  <c r="N90" i="119" s="1"/>
  <c r="N91" i="119" s="1"/>
  <c r="N92" i="119" s="1"/>
  <c r="N93" i="119" s="1"/>
  <c r="N94" i="119" s="1"/>
  <c r="N95" i="119" s="1"/>
  <c r="N96" i="119" s="1"/>
  <c r="N97" i="119" s="1"/>
  <c r="N98" i="119" s="1"/>
  <c r="N99" i="119" s="1"/>
  <c r="N100" i="119" s="1"/>
  <c r="N101" i="119" s="1"/>
  <c r="N102" i="119" s="1"/>
  <c r="N103" i="119" s="1"/>
  <c r="N104" i="119" s="1"/>
  <c r="O24" i="119"/>
  <c r="O25" i="119" s="1"/>
  <c r="O26" i="119" s="1"/>
  <c r="O27" i="119" s="1"/>
  <c r="O28" i="119" s="1"/>
  <c r="O29" i="119" s="1"/>
  <c r="O30" i="119" s="1"/>
  <c r="O31" i="119" s="1"/>
  <c r="O32" i="119" s="1"/>
  <c r="O33" i="119" s="1"/>
  <c r="O34" i="119" s="1"/>
  <c r="O35" i="119" s="1"/>
  <c r="O36" i="119" s="1"/>
  <c r="O37" i="119" s="1"/>
  <c r="O38" i="119" s="1"/>
  <c r="O39" i="119" s="1"/>
  <c r="O40" i="119" s="1"/>
  <c r="O41" i="119" s="1"/>
  <c r="O42" i="119" s="1"/>
  <c r="O43" i="119" s="1"/>
  <c r="O44" i="119" s="1"/>
  <c r="O45" i="119" s="1"/>
  <c r="O46" i="119" s="1"/>
  <c r="O47" i="119" s="1"/>
  <c r="O48" i="119" s="1"/>
  <c r="O49" i="119" s="1"/>
  <c r="O50" i="119" s="1"/>
  <c r="O51" i="119" s="1"/>
  <c r="O52" i="119" s="1"/>
  <c r="O53" i="119" s="1"/>
  <c r="O54" i="119" s="1"/>
  <c r="O55" i="119" s="1"/>
  <c r="O56" i="119" s="1"/>
  <c r="O57" i="119" s="1"/>
  <c r="O58" i="119" s="1"/>
  <c r="O59" i="119" s="1"/>
  <c r="O60" i="119" s="1"/>
  <c r="O61" i="119" s="1"/>
  <c r="O62" i="119" s="1"/>
  <c r="O63" i="119" s="1"/>
  <c r="O64" i="119" s="1"/>
  <c r="O65" i="119" s="1"/>
  <c r="O66" i="119" s="1"/>
  <c r="O67" i="119" s="1"/>
  <c r="O68" i="119" s="1"/>
  <c r="O69" i="119" s="1"/>
  <c r="O70" i="119" s="1"/>
  <c r="O71" i="119" s="1"/>
  <c r="O72" i="119" s="1"/>
  <c r="O73" i="119" s="1"/>
  <c r="O74" i="119" s="1"/>
  <c r="O75" i="119" s="1"/>
  <c r="O76" i="119" s="1"/>
  <c r="O77" i="119" s="1"/>
  <c r="O78" i="119" s="1"/>
  <c r="O79" i="119" s="1"/>
  <c r="O80" i="119" s="1"/>
  <c r="O81" i="119" s="1"/>
  <c r="O82" i="119" s="1"/>
  <c r="O83" i="119" s="1"/>
  <c r="O84" i="119" s="1"/>
  <c r="O85" i="119" s="1"/>
  <c r="O86" i="119" s="1"/>
  <c r="O87" i="119" s="1"/>
  <c r="O88" i="119" s="1"/>
  <c r="O89" i="119" s="1"/>
  <c r="O90" i="119" s="1"/>
  <c r="O91" i="119" s="1"/>
  <c r="O92" i="119" s="1"/>
  <c r="O93" i="119" s="1"/>
  <c r="O94" i="119" s="1"/>
  <c r="O95" i="119" s="1"/>
  <c r="O96" i="119" s="1"/>
  <c r="O97" i="119" s="1"/>
  <c r="O98" i="119" s="1"/>
  <c r="O99" i="119" s="1"/>
  <c r="O100" i="119" s="1"/>
  <c r="O101" i="119" s="1"/>
  <c r="O102" i="119" s="1"/>
  <c r="O103" i="119" s="1"/>
  <c r="O104" i="119" s="1"/>
  <c r="M11" i="117"/>
  <c r="S7" i="117"/>
  <c r="M8" i="117"/>
  <c r="S9" i="117"/>
  <c r="M12" i="117"/>
  <c r="S11" i="117"/>
  <c r="M7" i="117"/>
  <c r="S8" i="117"/>
  <c r="M9" i="117"/>
  <c r="S12" i="117"/>
  <c r="O20" i="115"/>
  <c r="O21" i="115" s="1"/>
  <c r="N20" i="115"/>
  <c r="N21" i="115" s="1"/>
  <c r="N22" i="115" s="1"/>
  <c r="N23" i="115" s="1"/>
  <c r="N24" i="115" s="1"/>
  <c r="N25" i="115" s="1"/>
  <c r="N26" i="115" s="1"/>
  <c r="N27" i="115" s="1"/>
  <c r="N28" i="115" s="1"/>
  <c r="N29" i="115" s="1"/>
  <c r="N30" i="115" s="1"/>
  <c r="N31" i="115" s="1"/>
  <c r="N32" i="115" s="1"/>
  <c r="N33" i="115" s="1"/>
  <c r="N34" i="115" s="1"/>
  <c r="N35" i="115" s="1"/>
  <c r="N36" i="115" s="1"/>
  <c r="N37" i="115" s="1"/>
  <c r="N38" i="115" s="1"/>
  <c r="N39" i="115" s="1"/>
  <c r="N40" i="115" s="1"/>
  <c r="N41" i="115" s="1"/>
  <c r="N42" i="115" s="1"/>
  <c r="N43" i="115" s="1"/>
  <c r="N44" i="115" s="1"/>
  <c r="N45" i="115" s="1"/>
  <c r="N46" i="115" s="1"/>
  <c r="N47" i="115" s="1"/>
  <c r="N48" i="115" s="1"/>
  <c r="N49" i="115" s="1"/>
  <c r="N50" i="115" s="1"/>
  <c r="N51" i="115" s="1"/>
  <c r="N52" i="115" s="1"/>
  <c r="N81" i="140" l="1"/>
  <c r="U80" i="140"/>
  <c r="V80" i="140" s="1"/>
  <c r="N65" i="134"/>
  <c r="U64" i="134"/>
  <c r="V64" i="134" s="1"/>
  <c r="L96" i="115"/>
  <c r="M96" i="115" s="1"/>
  <c r="L52" i="117"/>
  <c r="M52" i="117" s="1"/>
  <c r="L41" i="117"/>
  <c r="M41" i="117" s="1"/>
  <c r="L29" i="117"/>
  <c r="M29" i="117" s="1"/>
  <c r="L51" i="117"/>
  <c r="M51" i="117" s="1"/>
  <c r="L40" i="117"/>
  <c r="M40" i="117" s="1"/>
  <c r="L28" i="117"/>
  <c r="M28" i="117" s="1"/>
  <c r="L48" i="117"/>
  <c r="M48" i="117" s="1"/>
  <c r="L50" i="117"/>
  <c r="M50" i="117" s="1"/>
  <c r="L39" i="117"/>
  <c r="M39" i="117" s="1"/>
  <c r="L27" i="117"/>
  <c r="M27" i="117" s="1"/>
  <c r="L49" i="117"/>
  <c r="M49" i="117" s="1"/>
  <c r="L38" i="117"/>
  <c r="M38" i="117" s="1"/>
  <c r="L26" i="117"/>
  <c r="M26" i="117" s="1"/>
  <c r="L37" i="117"/>
  <c r="M37" i="117" s="1"/>
  <c r="L47" i="117"/>
  <c r="M47" i="117" s="1"/>
  <c r="L36" i="117"/>
  <c r="L58" i="117"/>
  <c r="L46" i="117"/>
  <c r="M46" i="117" s="1"/>
  <c r="L35" i="117"/>
  <c r="M35" i="117" s="1"/>
  <c r="L23" i="117"/>
  <c r="M23" i="117" s="1"/>
  <c r="L57" i="117"/>
  <c r="L45" i="117"/>
  <c r="M45" i="117" s="1"/>
  <c r="L34" i="117"/>
  <c r="M34" i="117" s="1"/>
  <c r="L22" i="117"/>
  <c r="M22" i="117" s="1"/>
  <c r="L25" i="117"/>
  <c r="M25" i="117" s="1"/>
  <c r="L56" i="117"/>
  <c r="M56" i="117" s="1"/>
  <c r="L44" i="117"/>
  <c r="M44" i="117" s="1"/>
  <c r="L33" i="117"/>
  <c r="M33" i="117" s="1"/>
  <c r="L54" i="117"/>
  <c r="M54" i="117" s="1"/>
  <c r="I26" i="117"/>
  <c r="L31" i="117"/>
  <c r="M31" i="117" s="1"/>
  <c r="L30" i="117"/>
  <c r="M30" i="117" s="1"/>
  <c r="L55" i="117"/>
  <c r="M55" i="117" s="1"/>
  <c r="L43" i="117"/>
  <c r="M43" i="117" s="1"/>
  <c r="L32" i="117"/>
  <c r="M32" i="117" s="1"/>
  <c r="L53" i="117"/>
  <c r="M53" i="117" s="1"/>
  <c r="L42" i="117"/>
  <c r="M42" i="117" s="1"/>
  <c r="L59" i="117"/>
  <c r="L24" i="117"/>
  <c r="M24" i="117" s="1"/>
  <c r="L85" i="115"/>
  <c r="M85" i="115" s="1"/>
  <c r="L88" i="115"/>
  <c r="M88" i="115" s="1"/>
  <c r="L87" i="115"/>
  <c r="M87" i="115" s="1"/>
  <c r="L75" i="115"/>
  <c r="M75" i="115" s="1"/>
  <c r="L76" i="115"/>
  <c r="M76" i="115" s="1"/>
  <c r="L97" i="115"/>
  <c r="M97" i="115" s="1"/>
  <c r="L74" i="115"/>
  <c r="L86" i="115"/>
  <c r="M86" i="115" s="1"/>
  <c r="L89" i="115"/>
  <c r="M89" i="115" s="1"/>
  <c r="L79" i="115"/>
  <c r="M79" i="115" s="1"/>
  <c r="L91" i="115"/>
  <c r="M91" i="115" s="1"/>
  <c r="L90" i="115"/>
  <c r="M90" i="115" s="1"/>
  <c r="L80" i="115"/>
  <c r="M80" i="115" s="1"/>
  <c r="L92" i="115"/>
  <c r="M92" i="115" s="1"/>
  <c r="L78" i="115"/>
  <c r="M78" i="115" s="1"/>
  <c r="L81" i="115"/>
  <c r="M81" i="115" s="1"/>
  <c r="L93" i="115"/>
  <c r="M93" i="115" s="1"/>
  <c r="L82" i="115"/>
  <c r="M82" i="115" s="1"/>
  <c r="L94" i="115"/>
  <c r="M94" i="115" s="1"/>
  <c r="L77" i="115"/>
  <c r="M77" i="115" s="1"/>
  <c r="L83" i="115"/>
  <c r="M83" i="115" s="1"/>
  <c r="L95" i="115"/>
  <c r="M95" i="115" s="1"/>
  <c r="L84" i="115"/>
  <c r="M84" i="115" s="1"/>
  <c r="U81" i="140" l="1"/>
  <c r="V81" i="140" s="1"/>
  <c r="N82" i="140"/>
  <c r="N66" i="134"/>
  <c r="U65" i="134"/>
  <c r="V65" i="134" s="1"/>
  <c r="K16" i="119"/>
  <c r="K15" i="119" s="1"/>
  <c r="M16" i="119"/>
  <c r="S22" i="117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22" i="117"/>
  <c r="O23" i="117" s="1"/>
  <c r="O24" i="117" s="1"/>
  <c r="O25" i="117" s="1"/>
  <c r="O26" i="117" s="1"/>
  <c r="O27" i="117" s="1"/>
  <c r="O28" i="117" s="1"/>
  <c r="O29" i="117" s="1"/>
  <c r="O30" i="117" s="1"/>
  <c r="O31" i="117" s="1"/>
  <c r="O32" i="117" s="1"/>
  <c r="O33" i="117" s="1"/>
  <c r="O34" i="117" s="1"/>
  <c r="O35" i="117" s="1"/>
  <c r="O36" i="117" s="1"/>
  <c r="O37" i="117" s="1"/>
  <c r="O38" i="117" s="1"/>
  <c r="O39" i="117" s="1"/>
  <c r="O40" i="117" s="1"/>
  <c r="O41" i="117" s="1"/>
  <c r="O42" i="117" s="1"/>
  <c r="O43" i="117" s="1"/>
  <c r="O44" i="117" s="1"/>
  <c r="O45" i="117" s="1"/>
  <c r="O46" i="117" s="1"/>
  <c r="O47" i="117" s="1"/>
  <c r="O48" i="117" s="1"/>
  <c r="O49" i="117" s="1"/>
  <c r="O50" i="117" s="1"/>
  <c r="O51" i="117" s="1"/>
  <c r="O52" i="117" s="1"/>
  <c r="O53" i="117" s="1"/>
  <c r="O54" i="117" s="1"/>
  <c r="O55" i="117" s="1"/>
  <c r="O56" i="117" s="1"/>
  <c r="O57" i="117" s="1"/>
  <c r="O58" i="117" s="1"/>
  <c r="E14" i="115"/>
  <c r="D14" i="115"/>
  <c r="K13" i="115"/>
  <c r="J13" i="115"/>
  <c r="E13" i="115"/>
  <c r="D13" i="115"/>
  <c r="R12" i="115"/>
  <c r="L12" i="115"/>
  <c r="F12" i="115"/>
  <c r="L11" i="115"/>
  <c r="F11" i="115"/>
  <c r="L10" i="115"/>
  <c r="F10" i="115"/>
  <c r="R9" i="115"/>
  <c r="L9" i="115"/>
  <c r="F9" i="115"/>
  <c r="R8" i="115"/>
  <c r="L8" i="115"/>
  <c r="F8" i="115"/>
  <c r="R7" i="115"/>
  <c r="L7" i="115"/>
  <c r="F7" i="115"/>
  <c r="R6" i="115"/>
  <c r="L6" i="115"/>
  <c r="F6" i="115"/>
  <c r="R5" i="115"/>
  <c r="L5" i="115"/>
  <c r="F5" i="115"/>
  <c r="R10" i="112"/>
  <c r="R11" i="112"/>
  <c r="R9" i="112"/>
  <c r="R8" i="112"/>
  <c r="R7" i="112"/>
  <c r="R6" i="112"/>
  <c r="L10" i="112"/>
  <c r="L9" i="112"/>
  <c r="L8" i="112"/>
  <c r="L7" i="112"/>
  <c r="L6" i="112"/>
  <c r="F10" i="112"/>
  <c r="F9" i="112"/>
  <c r="F8" i="112"/>
  <c r="F7" i="112"/>
  <c r="F6" i="112"/>
  <c r="J14" i="112"/>
  <c r="N83" i="140" l="1"/>
  <c r="U82" i="140"/>
  <c r="V82" i="140" s="1"/>
  <c r="N67" i="134"/>
  <c r="N68" i="134" s="1"/>
  <c r="U66" i="134"/>
  <c r="V66" i="134" s="1"/>
  <c r="M15" i="119"/>
  <c r="M14" i="119"/>
  <c r="M11" i="115"/>
  <c r="M9" i="115"/>
  <c r="M7" i="115"/>
  <c r="M10" i="115"/>
  <c r="M8" i="115"/>
  <c r="F13" i="115"/>
  <c r="S5" i="115"/>
  <c r="M6" i="115"/>
  <c r="F14" i="115"/>
  <c r="M12" i="115"/>
  <c r="S20" i="115"/>
  <c r="L13" i="115"/>
  <c r="M5" i="115"/>
  <c r="S12" i="112"/>
  <c r="S10" i="112"/>
  <c r="S9" i="112"/>
  <c r="S8" i="112"/>
  <c r="S7" i="112"/>
  <c r="S6" i="112"/>
  <c r="S5" i="112"/>
  <c r="R12" i="112"/>
  <c r="R5" i="112"/>
  <c r="U83" i="140" l="1"/>
  <c r="V83" i="140" s="1"/>
  <c r="N84" i="140"/>
  <c r="N69" i="134"/>
  <c r="N70" i="134" s="1"/>
  <c r="N71" i="134" s="1"/>
  <c r="U68" i="134"/>
  <c r="V68" i="134" s="1"/>
  <c r="M13" i="115"/>
  <c r="Q13" i="112"/>
  <c r="P13" i="112"/>
  <c r="S11" i="112"/>
  <c r="U84" i="140" l="1"/>
  <c r="V84" i="140" s="1"/>
  <c r="N85" i="140"/>
  <c r="N72" i="134"/>
  <c r="N73" i="134" s="1"/>
  <c r="U71" i="134"/>
  <c r="V71" i="134" s="1"/>
  <c r="L72" i="115"/>
  <c r="M72" i="115" s="1"/>
  <c r="L60" i="115"/>
  <c r="M60" i="115" s="1"/>
  <c r="L65" i="115"/>
  <c r="M65" i="115" s="1"/>
  <c r="L71" i="115"/>
  <c r="M71" i="115" s="1"/>
  <c r="L59" i="115"/>
  <c r="M59" i="115" s="1"/>
  <c r="L54" i="115"/>
  <c r="L61" i="115"/>
  <c r="M61" i="115" s="1"/>
  <c r="L70" i="115"/>
  <c r="M70" i="115" s="1"/>
  <c r="L58" i="115"/>
  <c r="M58" i="115" s="1"/>
  <c r="L63" i="115"/>
  <c r="M63" i="115" s="1"/>
  <c r="L69" i="115"/>
  <c r="M69" i="115" s="1"/>
  <c r="L57" i="115"/>
  <c r="M57" i="115" s="1"/>
  <c r="L66" i="115"/>
  <c r="M66" i="115" s="1"/>
  <c r="L64" i="115"/>
  <c r="M64" i="115" s="1"/>
  <c r="L68" i="115"/>
  <c r="M68" i="115" s="1"/>
  <c r="L56" i="115"/>
  <c r="M56" i="115" s="1"/>
  <c r="L67" i="115"/>
  <c r="M67" i="115" s="1"/>
  <c r="L55" i="115"/>
  <c r="M55" i="115" s="1"/>
  <c r="L73" i="115"/>
  <c r="K73" i="115" s="1"/>
  <c r="K74" i="115" s="1"/>
  <c r="M74" i="115" s="1"/>
  <c r="S74" i="115" s="1"/>
  <c r="S75" i="115" s="1"/>
  <c r="S76" i="115" s="1"/>
  <c r="L62" i="115"/>
  <c r="M62" i="115" s="1"/>
  <c r="R13" i="112"/>
  <c r="N20" i="112"/>
  <c r="N21" i="112" s="1"/>
  <c r="N22" i="112" s="1"/>
  <c r="N23" i="112" s="1"/>
  <c r="N24" i="112" s="1"/>
  <c r="N25" i="112" s="1"/>
  <c r="N26" i="112" s="1"/>
  <c r="N27" i="112" s="1"/>
  <c r="N28" i="112" s="1"/>
  <c r="N29" i="112" s="1"/>
  <c r="U85" i="140" l="1"/>
  <c r="V85" i="140" s="1"/>
  <c r="N86" i="140"/>
  <c r="N74" i="134"/>
  <c r="U73" i="134"/>
  <c r="V73" i="134" s="1"/>
  <c r="L22" i="115"/>
  <c r="M22" i="115" s="1"/>
  <c r="O22" i="115" s="1"/>
  <c r="L48" i="115"/>
  <c r="M48" i="115" s="1"/>
  <c r="L36" i="115"/>
  <c r="M36" i="115" s="1"/>
  <c r="L24" i="115"/>
  <c r="M24" i="115" s="1"/>
  <c r="L42" i="115"/>
  <c r="M42" i="115" s="1"/>
  <c r="L29" i="115"/>
  <c r="M29" i="115" s="1"/>
  <c r="L40" i="115"/>
  <c r="M40" i="115" s="1"/>
  <c r="L47" i="115"/>
  <c r="M47" i="115" s="1"/>
  <c r="L35" i="115"/>
  <c r="M35" i="115" s="1"/>
  <c r="L23" i="115"/>
  <c r="M23" i="115" s="1"/>
  <c r="L25" i="115"/>
  <c r="M25" i="115" s="1"/>
  <c r="L46" i="115"/>
  <c r="M46" i="115" s="1"/>
  <c r="L34" i="115"/>
  <c r="M34" i="115" s="1"/>
  <c r="L28" i="115"/>
  <c r="M28" i="115" s="1"/>
  <c r="L39" i="115"/>
  <c r="M39" i="115" s="1"/>
  <c r="L27" i="115"/>
  <c r="M27" i="115" s="1"/>
  <c r="L37" i="115"/>
  <c r="M37" i="115" s="1"/>
  <c r="L45" i="115"/>
  <c r="M45" i="115" s="1"/>
  <c r="L33" i="115"/>
  <c r="M33" i="115" s="1"/>
  <c r="L51" i="115"/>
  <c r="M51" i="115" s="1"/>
  <c r="L49" i="115"/>
  <c r="M49" i="115" s="1"/>
  <c r="L44" i="115"/>
  <c r="M44" i="115" s="1"/>
  <c r="L32" i="115"/>
  <c r="M32" i="115" s="1"/>
  <c r="L30" i="115"/>
  <c r="M30" i="115" s="1"/>
  <c r="L53" i="115"/>
  <c r="K53" i="115" s="1"/>
  <c r="L41" i="115"/>
  <c r="M41" i="115" s="1"/>
  <c r="L52" i="115"/>
  <c r="M52" i="115" s="1"/>
  <c r="L43" i="115"/>
  <c r="M43" i="115" s="1"/>
  <c r="L31" i="115"/>
  <c r="M31" i="115" s="1"/>
  <c r="L50" i="115"/>
  <c r="M50" i="115" s="1"/>
  <c r="L38" i="115"/>
  <c r="M38" i="115" s="1"/>
  <c r="L26" i="115"/>
  <c r="M26" i="115" s="1"/>
  <c r="L99" i="112"/>
  <c r="M99" i="112" s="1"/>
  <c r="L87" i="112"/>
  <c r="M87" i="112" s="1"/>
  <c r="L75" i="112"/>
  <c r="M75" i="112" s="1"/>
  <c r="L63" i="112"/>
  <c r="M63" i="112" s="1"/>
  <c r="L51" i="112"/>
  <c r="M51" i="112" s="1"/>
  <c r="L39" i="112"/>
  <c r="M39" i="112" s="1"/>
  <c r="L88" i="112"/>
  <c r="M88" i="112" s="1"/>
  <c r="L98" i="112"/>
  <c r="M98" i="112" s="1"/>
  <c r="L86" i="112"/>
  <c r="M86" i="112" s="1"/>
  <c r="L74" i="112"/>
  <c r="M74" i="112" s="1"/>
  <c r="L62" i="112"/>
  <c r="M62" i="112" s="1"/>
  <c r="L50" i="112"/>
  <c r="M50" i="112" s="1"/>
  <c r="L38" i="112"/>
  <c r="M38" i="112" s="1"/>
  <c r="L64" i="112"/>
  <c r="M64" i="112" s="1"/>
  <c r="L97" i="112"/>
  <c r="M97" i="112" s="1"/>
  <c r="L85" i="112"/>
  <c r="M85" i="112" s="1"/>
  <c r="L73" i="112"/>
  <c r="M73" i="112" s="1"/>
  <c r="L61" i="112"/>
  <c r="M61" i="112" s="1"/>
  <c r="L49" i="112"/>
  <c r="M49" i="112" s="1"/>
  <c r="L37" i="112"/>
  <c r="M37" i="112" s="1"/>
  <c r="L96" i="112"/>
  <c r="M96" i="112" s="1"/>
  <c r="L84" i="112"/>
  <c r="M84" i="112" s="1"/>
  <c r="L72" i="112"/>
  <c r="M72" i="112" s="1"/>
  <c r="L60" i="112"/>
  <c r="M60" i="112" s="1"/>
  <c r="L48" i="112"/>
  <c r="M48" i="112" s="1"/>
  <c r="L36" i="112"/>
  <c r="M36" i="112" s="1"/>
  <c r="L95" i="112"/>
  <c r="M95" i="112" s="1"/>
  <c r="L83" i="112"/>
  <c r="M83" i="112" s="1"/>
  <c r="L71" i="112"/>
  <c r="M71" i="112" s="1"/>
  <c r="L59" i="112"/>
  <c r="M59" i="112" s="1"/>
  <c r="L47" i="112"/>
  <c r="M47" i="112" s="1"/>
  <c r="L35" i="112"/>
  <c r="M35" i="112" s="1"/>
  <c r="L100" i="112"/>
  <c r="M100" i="112" s="1"/>
  <c r="L94" i="112"/>
  <c r="M94" i="112" s="1"/>
  <c r="L82" i="112"/>
  <c r="M82" i="112" s="1"/>
  <c r="L70" i="112"/>
  <c r="M70" i="112" s="1"/>
  <c r="L58" i="112"/>
  <c r="M58" i="112" s="1"/>
  <c r="L46" i="112"/>
  <c r="M46" i="112" s="1"/>
  <c r="L34" i="112"/>
  <c r="M34" i="112" s="1"/>
  <c r="L93" i="112"/>
  <c r="M93" i="112" s="1"/>
  <c r="L81" i="112"/>
  <c r="M81" i="112" s="1"/>
  <c r="L69" i="112"/>
  <c r="M69" i="112" s="1"/>
  <c r="L57" i="112"/>
  <c r="M57" i="112" s="1"/>
  <c r="L45" i="112"/>
  <c r="M45" i="112" s="1"/>
  <c r="L33" i="112"/>
  <c r="M33" i="112" s="1"/>
  <c r="L52" i="112"/>
  <c r="M52" i="112" s="1"/>
  <c r="L92" i="112"/>
  <c r="M92" i="112" s="1"/>
  <c r="L80" i="112"/>
  <c r="M80" i="112" s="1"/>
  <c r="L68" i="112"/>
  <c r="M68" i="112" s="1"/>
  <c r="L56" i="112"/>
  <c r="M56" i="112" s="1"/>
  <c r="L44" i="112"/>
  <c r="M44" i="112" s="1"/>
  <c r="L32" i="112"/>
  <c r="M32" i="112" s="1"/>
  <c r="L76" i="112"/>
  <c r="M76" i="112" s="1"/>
  <c r="L103" i="112"/>
  <c r="M103" i="112" s="1"/>
  <c r="L91" i="112"/>
  <c r="M91" i="112" s="1"/>
  <c r="L79" i="112"/>
  <c r="M79" i="112" s="1"/>
  <c r="L67" i="112"/>
  <c r="M67" i="112" s="1"/>
  <c r="L55" i="112"/>
  <c r="M55" i="112" s="1"/>
  <c r="L43" i="112"/>
  <c r="M43" i="112" s="1"/>
  <c r="L31" i="112"/>
  <c r="L40" i="112"/>
  <c r="M40" i="112" s="1"/>
  <c r="L102" i="112"/>
  <c r="M102" i="112" s="1"/>
  <c r="L90" i="112"/>
  <c r="M90" i="112" s="1"/>
  <c r="L78" i="112"/>
  <c r="M78" i="112" s="1"/>
  <c r="L66" i="112"/>
  <c r="M66" i="112" s="1"/>
  <c r="L54" i="112"/>
  <c r="M54" i="112" s="1"/>
  <c r="L42" i="112"/>
  <c r="M42" i="112" s="1"/>
  <c r="L101" i="112"/>
  <c r="M101" i="112" s="1"/>
  <c r="L89" i="112"/>
  <c r="M89" i="112" s="1"/>
  <c r="L77" i="112"/>
  <c r="M77" i="112" s="1"/>
  <c r="L65" i="112"/>
  <c r="M65" i="112" s="1"/>
  <c r="L53" i="112"/>
  <c r="M53" i="112" s="1"/>
  <c r="L41" i="112"/>
  <c r="M41" i="112" s="1"/>
  <c r="E14" i="112"/>
  <c r="D14" i="112"/>
  <c r="K13" i="112"/>
  <c r="J13" i="112"/>
  <c r="E13" i="112"/>
  <c r="K14" i="112" s="1"/>
  <c r="D13" i="112"/>
  <c r="L12" i="112"/>
  <c r="F12" i="112"/>
  <c r="L11" i="112"/>
  <c r="F11" i="112"/>
  <c r="L5" i="112"/>
  <c r="F5" i="112"/>
  <c r="L11" i="110"/>
  <c r="L12" i="110"/>
  <c r="U86" i="140" l="1"/>
  <c r="V86" i="140" s="1"/>
  <c r="N87" i="140"/>
  <c r="N75" i="134"/>
  <c r="U74" i="134"/>
  <c r="V74" i="134" s="1"/>
  <c r="S22" i="115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K54" i="115"/>
  <c r="M54" i="115" s="1"/>
  <c r="N53" i="115"/>
  <c r="K16" i="115"/>
  <c r="K15" i="115" s="1"/>
  <c r="O23" i="115"/>
  <c r="O24" i="115" s="1"/>
  <c r="O25" i="115" s="1"/>
  <c r="O26" i="115" s="1"/>
  <c r="O27" i="115" s="1"/>
  <c r="O28" i="115" s="1"/>
  <c r="O29" i="115" s="1"/>
  <c r="O30" i="115" s="1"/>
  <c r="O31" i="115" s="1"/>
  <c r="O32" i="115" s="1"/>
  <c r="O33" i="115" s="1"/>
  <c r="O34" i="115" s="1"/>
  <c r="O35" i="115" s="1"/>
  <c r="O36" i="115" s="1"/>
  <c r="O37" i="115" s="1"/>
  <c r="O38" i="115" s="1"/>
  <c r="O39" i="115" s="1"/>
  <c r="O40" i="115" s="1"/>
  <c r="O41" i="115" s="1"/>
  <c r="O42" i="115" s="1"/>
  <c r="O43" i="115" s="1"/>
  <c r="O44" i="115" s="1"/>
  <c r="O45" i="115" s="1"/>
  <c r="O46" i="115" s="1"/>
  <c r="O47" i="115" s="1"/>
  <c r="O48" i="115" s="1"/>
  <c r="O49" i="115" s="1"/>
  <c r="O50" i="115" s="1"/>
  <c r="O51" i="115" s="1"/>
  <c r="O52" i="115" s="1"/>
  <c r="O53" i="115" s="1"/>
  <c r="O54" i="115" s="1"/>
  <c r="O55" i="115" s="1"/>
  <c r="O56" i="115" s="1"/>
  <c r="O57" i="115" s="1"/>
  <c r="O58" i="115" s="1"/>
  <c r="O59" i="115" s="1"/>
  <c r="O60" i="115" s="1"/>
  <c r="O61" i="115" s="1"/>
  <c r="O62" i="115" s="1"/>
  <c r="O63" i="115" s="1"/>
  <c r="O64" i="115" s="1"/>
  <c r="O65" i="115" s="1"/>
  <c r="O66" i="115" s="1"/>
  <c r="O67" i="115" s="1"/>
  <c r="O68" i="115" s="1"/>
  <c r="O69" i="115" s="1"/>
  <c r="O70" i="115" s="1"/>
  <c r="O71" i="115" s="1"/>
  <c r="O72" i="115" s="1"/>
  <c r="O73" i="115" s="1"/>
  <c r="O74" i="115" s="1"/>
  <c r="O75" i="115" s="1"/>
  <c r="O76" i="115" s="1"/>
  <c r="O77" i="115" s="1"/>
  <c r="O78" i="115" s="1"/>
  <c r="O79" i="115" s="1"/>
  <c r="O80" i="115" s="1"/>
  <c r="O81" i="115" s="1"/>
  <c r="O82" i="115" s="1"/>
  <c r="O83" i="115" s="1"/>
  <c r="O84" i="115" s="1"/>
  <c r="O85" i="115" s="1"/>
  <c r="O86" i="115" s="1"/>
  <c r="O87" i="115" s="1"/>
  <c r="O88" i="115" s="1"/>
  <c r="O89" i="115" s="1"/>
  <c r="O90" i="115" s="1"/>
  <c r="O91" i="115" s="1"/>
  <c r="O92" i="115" s="1"/>
  <c r="O93" i="115" s="1"/>
  <c r="O94" i="115" s="1"/>
  <c r="O95" i="115" s="1"/>
  <c r="O96" i="115" s="1"/>
  <c r="O97" i="115" s="1"/>
  <c r="P14" i="112"/>
  <c r="G12" i="112"/>
  <c r="M10" i="112"/>
  <c r="M8" i="112"/>
  <c r="M12" i="112"/>
  <c r="F13" i="112"/>
  <c r="M5" i="112"/>
  <c r="M11" i="112"/>
  <c r="F14" i="112"/>
  <c r="M6" i="112"/>
  <c r="M9" i="112"/>
  <c r="M7" i="112"/>
  <c r="Q14" i="112"/>
  <c r="L13" i="112"/>
  <c r="N88" i="140" l="1"/>
  <c r="U88" i="140" s="1"/>
  <c r="V88" i="140" s="1"/>
  <c r="U87" i="140"/>
  <c r="V87" i="140" s="1"/>
  <c r="N76" i="134"/>
  <c r="U75" i="134"/>
  <c r="V75" i="134" s="1"/>
  <c r="N54" i="115"/>
  <c r="N55" i="115" s="1"/>
  <c r="N56" i="115" s="1"/>
  <c r="N57" i="115" s="1"/>
  <c r="N58" i="115" s="1"/>
  <c r="N59" i="115" s="1"/>
  <c r="N60" i="115" s="1"/>
  <c r="N61" i="115" s="1"/>
  <c r="N62" i="115" s="1"/>
  <c r="N63" i="115" s="1"/>
  <c r="N64" i="115" s="1"/>
  <c r="N65" i="115" s="1"/>
  <c r="N66" i="115" s="1"/>
  <c r="N67" i="115" s="1"/>
  <c r="N68" i="115" s="1"/>
  <c r="N69" i="115" s="1"/>
  <c r="N70" i="115" s="1"/>
  <c r="N71" i="115" s="1"/>
  <c r="N72" i="115" s="1"/>
  <c r="N73" i="115" s="1"/>
  <c r="N74" i="115" s="1"/>
  <c r="N75" i="115" s="1"/>
  <c r="N76" i="115" s="1"/>
  <c r="N77" i="115" s="1"/>
  <c r="N78" i="115" s="1"/>
  <c r="N79" i="115" s="1"/>
  <c r="N80" i="115" s="1"/>
  <c r="N81" i="115" s="1"/>
  <c r="N82" i="115" s="1"/>
  <c r="N83" i="115" s="1"/>
  <c r="N84" i="115" s="1"/>
  <c r="N85" i="115" s="1"/>
  <c r="N86" i="115" s="1"/>
  <c r="N87" i="115" s="1"/>
  <c r="N88" i="115" s="1"/>
  <c r="N89" i="115" s="1"/>
  <c r="N90" i="115" s="1"/>
  <c r="N91" i="115" s="1"/>
  <c r="N92" i="115" s="1"/>
  <c r="N93" i="115" s="1"/>
  <c r="N94" i="115" s="1"/>
  <c r="N95" i="115" s="1"/>
  <c r="N96" i="115" s="1"/>
  <c r="N97" i="115" s="1"/>
  <c r="S54" i="115"/>
  <c r="S55" i="115" s="1"/>
  <c r="S56" i="115" s="1"/>
  <c r="S57" i="115" s="1"/>
  <c r="S58" i="115" s="1"/>
  <c r="S59" i="115" s="1"/>
  <c r="S60" i="115" s="1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S87" i="115" s="1"/>
  <c r="S88" i="115" s="1"/>
  <c r="S89" i="115" s="1"/>
  <c r="S90" i="115" s="1"/>
  <c r="S91" i="115" s="1"/>
  <c r="S92" i="115" s="1"/>
  <c r="S93" i="115" s="1"/>
  <c r="S94" i="115" s="1"/>
  <c r="S95" i="115" s="1"/>
  <c r="S96" i="115" s="1"/>
  <c r="S97" i="115" s="1"/>
  <c r="M16" i="115"/>
  <c r="X13" i="112"/>
  <c r="L14" i="112"/>
  <c r="S13" i="112"/>
  <c r="G13" i="112"/>
  <c r="G11" i="112" s="1"/>
  <c r="M13" i="112"/>
  <c r="R14" i="112"/>
  <c r="N77" i="134" l="1"/>
  <c r="U76" i="134"/>
  <c r="V76" i="134" s="1"/>
  <c r="M15" i="115"/>
  <c r="M14" i="115"/>
  <c r="O20" i="110"/>
  <c r="O21" i="110" s="1"/>
  <c r="N20" i="110"/>
  <c r="N21" i="110" s="1"/>
  <c r="N22" i="110" s="1"/>
  <c r="N23" i="110" s="1"/>
  <c r="N24" i="110" s="1"/>
  <c r="N25" i="110" s="1"/>
  <c r="N26" i="110" s="1"/>
  <c r="N27" i="110" s="1"/>
  <c r="N28" i="110" s="1"/>
  <c r="N29" i="110" s="1"/>
  <c r="N30" i="110" s="1"/>
  <c r="N31" i="110" s="1"/>
  <c r="N32" i="110" s="1"/>
  <c r="N33" i="110" s="1"/>
  <c r="N34" i="110" s="1"/>
  <c r="N35" i="110" s="1"/>
  <c r="N36" i="110" s="1"/>
  <c r="N37" i="110" s="1"/>
  <c r="N38" i="110" s="1"/>
  <c r="N39" i="110" s="1"/>
  <c r="N40" i="110" s="1"/>
  <c r="N41" i="110" s="1"/>
  <c r="N42" i="110" s="1"/>
  <c r="N43" i="110" s="1"/>
  <c r="N44" i="110" s="1"/>
  <c r="N45" i="110" s="1"/>
  <c r="N46" i="110" s="1"/>
  <c r="N47" i="110" s="1"/>
  <c r="N48" i="110" s="1"/>
  <c r="N49" i="110" s="1"/>
  <c r="N50" i="110" s="1"/>
  <c r="N51" i="110" s="1"/>
  <c r="N52" i="110" s="1"/>
  <c r="N78" i="134" l="1"/>
  <c r="U77" i="134"/>
  <c r="V77" i="134" s="1"/>
  <c r="E14" i="110"/>
  <c r="D14" i="110"/>
  <c r="K13" i="110"/>
  <c r="J13" i="110"/>
  <c r="E13" i="110"/>
  <c r="G12" i="110" s="1"/>
  <c r="D13" i="110"/>
  <c r="F12" i="110"/>
  <c r="F11" i="110"/>
  <c r="L10" i="110"/>
  <c r="F10" i="110"/>
  <c r="L9" i="110"/>
  <c r="F9" i="110"/>
  <c r="L8" i="110"/>
  <c r="F8" i="110"/>
  <c r="L7" i="110"/>
  <c r="F7" i="110"/>
  <c r="L6" i="110"/>
  <c r="F6" i="110"/>
  <c r="L5" i="110"/>
  <c r="F5" i="110"/>
  <c r="N79" i="134" l="1"/>
  <c r="U78" i="134"/>
  <c r="V78" i="134" s="1"/>
  <c r="L27" i="112"/>
  <c r="M27" i="112" s="1"/>
  <c r="L26" i="112"/>
  <c r="M26" i="112" s="1"/>
  <c r="L25" i="112"/>
  <c r="M25" i="112" s="1"/>
  <c r="L24" i="112"/>
  <c r="M24" i="112" s="1"/>
  <c r="L23" i="112"/>
  <c r="M23" i="112" s="1"/>
  <c r="L20" i="112"/>
  <c r="M20" i="112" s="1"/>
  <c r="L28" i="112"/>
  <c r="M28" i="112" s="1"/>
  <c r="L30" i="112"/>
  <c r="L29" i="112"/>
  <c r="M29" i="112" s="1"/>
  <c r="L87" i="110"/>
  <c r="M87" i="110" s="1"/>
  <c r="L75" i="110"/>
  <c r="M75" i="110" s="1"/>
  <c r="L63" i="110"/>
  <c r="M63" i="110" s="1"/>
  <c r="L79" i="110"/>
  <c r="M79" i="110" s="1"/>
  <c r="L88" i="110"/>
  <c r="M88" i="110" s="1"/>
  <c r="I74" i="110"/>
  <c r="J74" i="110" s="1"/>
  <c r="L86" i="110"/>
  <c r="M86" i="110" s="1"/>
  <c r="L74" i="110"/>
  <c r="L62" i="110"/>
  <c r="M62" i="110" s="1"/>
  <c r="L67" i="110"/>
  <c r="M67" i="110" s="1"/>
  <c r="L54" i="110"/>
  <c r="L85" i="110"/>
  <c r="M85" i="110" s="1"/>
  <c r="L73" i="110"/>
  <c r="M73" i="110" s="1"/>
  <c r="L61" i="110"/>
  <c r="M61" i="110" s="1"/>
  <c r="L56" i="110"/>
  <c r="M56" i="110" s="1"/>
  <c r="L78" i="110"/>
  <c r="M78" i="110" s="1"/>
  <c r="L96" i="110"/>
  <c r="M96" i="110" s="1"/>
  <c r="L84" i="110"/>
  <c r="M84" i="110" s="1"/>
  <c r="L72" i="110"/>
  <c r="M72" i="110" s="1"/>
  <c r="L60" i="110"/>
  <c r="M60" i="110" s="1"/>
  <c r="L68" i="110"/>
  <c r="M68" i="110" s="1"/>
  <c r="L89" i="110"/>
  <c r="M89" i="110" s="1"/>
  <c r="L95" i="110"/>
  <c r="M95" i="110" s="1"/>
  <c r="L83" i="110"/>
  <c r="M83" i="110" s="1"/>
  <c r="L71" i="110"/>
  <c r="M71" i="110" s="1"/>
  <c r="L59" i="110"/>
  <c r="M59" i="110" s="1"/>
  <c r="L80" i="110"/>
  <c r="M80" i="110" s="1"/>
  <c r="L64" i="110"/>
  <c r="M64" i="110" s="1"/>
  <c r="L94" i="110"/>
  <c r="M94" i="110" s="1"/>
  <c r="L82" i="110"/>
  <c r="M82" i="110" s="1"/>
  <c r="L70" i="110"/>
  <c r="M70" i="110" s="1"/>
  <c r="L58" i="110"/>
  <c r="M58" i="110" s="1"/>
  <c r="L65" i="110"/>
  <c r="M65" i="110" s="1"/>
  <c r="L93" i="110"/>
  <c r="M93" i="110" s="1"/>
  <c r="L81" i="110"/>
  <c r="M81" i="110" s="1"/>
  <c r="L69" i="110"/>
  <c r="M69" i="110" s="1"/>
  <c r="L57" i="110"/>
  <c r="M57" i="110" s="1"/>
  <c r="L55" i="110"/>
  <c r="M55" i="110" s="1"/>
  <c r="L66" i="110"/>
  <c r="M66" i="110" s="1"/>
  <c r="L92" i="110"/>
  <c r="M92" i="110" s="1"/>
  <c r="L76" i="110"/>
  <c r="M76" i="110" s="1"/>
  <c r="L91" i="110"/>
  <c r="M91" i="110" s="1"/>
  <c r="L90" i="110"/>
  <c r="M90" i="110" s="1"/>
  <c r="L77" i="110"/>
  <c r="M77" i="110" s="1"/>
  <c r="M9" i="110"/>
  <c r="J14" i="110"/>
  <c r="P14" i="110"/>
  <c r="M10" i="110"/>
  <c r="M5" i="110"/>
  <c r="Q14" i="110"/>
  <c r="M11" i="110"/>
  <c r="F13" i="110"/>
  <c r="X13" i="110" s="1"/>
  <c r="M6" i="110"/>
  <c r="L13" i="110"/>
  <c r="F14" i="110"/>
  <c r="M7" i="110"/>
  <c r="M8" i="110"/>
  <c r="M12" i="110"/>
  <c r="K14" i="110"/>
  <c r="N80" i="134" l="1"/>
  <c r="U79" i="134"/>
  <c r="V79" i="134" s="1"/>
  <c r="S20" i="112"/>
  <c r="O20" i="112"/>
  <c r="O21" i="112" s="1"/>
  <c r="O22" i="112" s="1"/>
  <c r="O23" i="112" s="1"/>
  <c r="O24" i="112" s="1"/>
  <c r="O25" i="112" s="1"/>
  <c r="O26" i="112" s="1"/>
  <c r="O27" i="112" s="1"/>
  <c r="O28" i="112" s="1"/>
  <c r="O29" i="112" s="1"/>
  <c r="O30" i="112" s="1"/>
  <c r="G13" i="110"/>
  <c r="G11" i="110" s="1"/>
  <c r="M13" i="110"/>
  <c r="R14" i="110"/>
  <c r="L14" i="110"/>
  <c r="N81" i="134" l="1"/>
  <c r="U80" i="134"/>
  <c r="V80" i="134" s="1"/>
  <c r="S23" i="112"/>
  <c r="S24" i="112" s="1"/>
  <c r="S25" i="112" s="1"/>
  <c r="S26" i="112" s="1"/>
  <c r="S27" i="112" s="1"/>
  <c r="S28" i="112" s="1"/>
  <c r="S29" i="112" s="1"/>
  <c r="K38" i="108"/>
  <c r="K39" i="108" s="1"/>
  <c r="M39" i="108" s="1"/>
  <c r="S39" i="108" s="1"/>
  <c r="M91" i="108"/>
  <c r="M90" i="108"/>
  <c r="M89" i="108"/>
  <c r="M88" i="108"/>
  <c r="M87" i="108"/>
  <c r="M86" i="108"/>
  <c r="M85" i="108"/>
  <c r="M84" i="108"/>
  <c r="M83" i="108"/>
  <c r="M82" i="108"/>
  <c r="M81" i="108"/>
  <c r="M80" i="108"/>
  <c r="M79" i="108"/>
  <c r="M78" i="108"/>
  <c r="M77" i="108"/>
  <c r="M76" i="108"/>
  <c r="M75" i="108"/>
  <c r="M74" i="108"/>
  <c r="M73" i="108"/>
  <c r="M72" i="108"/>
  <c r="M71" i="108"/>
  <c r="M70" i="108"/>
  <c r="M69" i="108"/>
  <c r="M68" i="108"/>
  <c r="M67" i="108"/>
  <c r="M66" i="108"/>
  <c r="M65" i="108"/>
  <c r="M64" i="108"/>
  <c r="M63" i="108"/>
  <c r="M62" i="108"/>
  <c r="M61" i="108"/>
  <c r="M60" i="108"/>
  <c r="M59" i="108"/>
  <c r="M58" i="108"/>
  <c r="M57" i="108"/>
  <c r="M56" i="108"/>
  <c r="M55" i="108"/>
  <c r="M54" i="108"/>
  <c r="M53" i="108"/>
  <c r="M52" i="108"/>
  <c r="M51" i="108"/>
  <c r="M50" i="108"/>
  <c r="M49" i="108"/>
  <c r="M48" i="108"/>
  <c r="M47" i="108"/>
  <c r="M46" i="108"/>
  <c r="M45" i="108"/>
  <c r="M44" i="108"/>
  <c r="M43" i="108"/>
  <c r="M42" i="108"/>
  <c r="M41" i="108"/>
  <c r="M40" i="108"/>
  <c r="N82" i="134" l="1"/>
  <c r="U81" i="134"/>
  <c r="V81" i="134" s="1"/>
  <c r="L51" i="110"/>
  <c r="M51" i="110" s="1"/>
  <c r="L39" i="110"/>
  <c r="M39" i="110" s="1"/>
  <c r="L50" i="110"/>
  <c r="M50" i="110" s="1"/>
  <c r="L38" i="110"/>
  <c r="M38" i="110" s="1"/>
  <c r="L41" i="110"/>
  <c r="M41" i="110" s="1"/>
  <c r="L52" i="110"/>
  <c r="M52" i="110" s="1"/>
  <c r="L49" i="110"/>
  <c r="M49" i="110" s="1"/>
  <c r="L37" i="110"/>
  <c r="M37" i="110" s="1"/>
  <c r="L25" i="110"/>
  <c r="M25" i="110" s="1"/>
  <c r="L53" i="110"/>
  <c r="K53" i="110" s="1"/>
  <c r="L48" i="110"/>
  <c r="M48" i="110" s="1"/>
  <c r="L36" i="110"/>
  <c r="M36" i="110" s="1"/>
  <c r="L29" i="110"/>
  <c r="M29" i="110" s="1"/>
  <c r="L32" i="110"/>
  <c r="M32" i="110" s="1"/>
  <c r="L47" i="110"/>
  <c r="M47" i="110" s="1"/>
  <c r="L35" i="110"/>
  <c r="M35" i="110" s="1"/>
  <c r="L28" i="110"/>
  <c r="M28" i="110" s="1"/>
  <c r="L24" i="110"/>
  <c r="M24" i="110" s="1"/>
  <c r="L42" i="110"/>
  <c r="M42" i="110" s="1"/>
  <c r="L30" i="110"/>
  <c r="M30" i="110" s="1"/>
  <c r="L46" i="110"/>
  <c r="M46" i="110" s="1"/>
  <c r="L34" i="110"/>
  <c r="M34" i="110" s="1"/>
  <c r="L27" i="110"/>
  <c r="M27" i="110" s="1"/>
  <c r="L26" i="110"/>
  <c r="M26" i="110" s="1"/>
  <c r="L44" i="110"/>
  <c r="M44" i="110" s="1"/>
  <c r="L43" i="110"/>
  <c r="M43" i="110" s="1"/>
  <c r="L31" i="110"/>
  <c r="M31" i="110" s="1"/>
  <c r="L45" i="110"/>
  <c r="M45" i="110" s="1"/>
  <c r="L33" i="110"/>
  <c r="M33" i="110" s="1"/>
  <c r="L22" i="110"/>
  <c r="M22" i="110" s="1"/>
  <c r="L40" i="110"/>
  <c r="M40" i="110" s="1"/>
  <c r="L23" i="110"/>
  <c r="M23" i="110" s="1"/>
  <c r="S40" i="108"/>
  <c r="S41" i="108" s="1"/>
  <c r="S42" i="108" s="1"/>
  <c r="S43" i="108" s="1"/>
  <c r="S44" i="108" s="1"/>
  <c r="S45" i="108" s="1"/>
  <c r="S46" i="108" s="1"/>
  <c r="S47" i="108" s="1"/>
  <c r="S48" i="108" s="1"/>
  <c r="S49" i="108" s="1"/>
  <c r="S50" i="108" s="1"/>
  <c r="S51" i="108" s="1"/>
  <c r="S52" i="108" s="1"/>
  <c r="S53" i="108" s="1"/>
  <c r="S54" i="108" s="1"/>
  <c r="S55" i="108" s="1"/>
  <c r="S56" i="108" s="1"/>
  <c r="S57" i="108" s="1"/>
  <c r="S58" i="108" s="1"/>
  <c r="S59" i="108" s="1"/>
  <c r="S60" i="108" s="1"/>
  <c r="S61" i="108" s="1"/>
  <c r="S62" i="108" s="1"/>
  <c r="S63" i="108" s="1"/>
  <c r="S64" i="108" s="1"/>
  <c r="S65" i="108" s="1"/>
  <c r="S66" i="108" s="1"/>
  <c r="S67" i="108" s="1"/>
  <c r="S68" i="108" s="1"/>
  <c r="S69" i="108" s="1"/>
  <c r="S70" i="108" s="1"/>
  <c r="S71" i="108" s="1"/>
  <c r="S72" i="108" s="1"/>
  <c r="S73" i="108" s="1"/>
  <c r="S74" i="108" s="1"/>
  <c r="S75" i="108" s="1"/>
  <c r="S76" i="108" s="1"/>
  <c r="S77" i="108" s="1"/>
  <c r="S78" i="108" s="1"/>
  <c r="S79" i="108" s="1"/>
  <c r="S80" i="108" s="1"/>
  <c r="S81" i="108" s="1"/>
  <c r="S82" i="108" s="1"/>
  <c r="S83" i="108" s="1"/>
  <c r="S84" i="108" s="1"/>
  <c r="S85" i="108" s="1"/>
  <c r="S86" i="108" s="1"/>
  <c r="S87" i="108" s="1"/>
  <c r="S88" i="108" s="1"/>
  <c r="S89" i="108" s="1"/>
  <c r="S90" i="108" s="1"/>
  <c r="S91" i="108" s="1"/>
  <c r="N83" i="134" l="1"/>
  <c r="U82" i="134"/>
  <c r="V82" i="134" s="1"/>
  <c r="O22" i="110"/>
  <c r="O23" i="110" s="1"/>
  <c r="O24" i="110" s="1"/>
  <c r="O25" i="110" s="1"/>
  <c r="O26" i="110" s="1"/>
  <c r="O27" i="110" s="1"/>
  <c r="O28" i="110" s="1"/>
  <c r="O29" i="110" s="1"/>
  <c r="O30" i="110" s="1"/>
  <c r="O31" i="110" s="1"/>
  <c r="O32" i="110" s="1"/>
  <c r="O33" i="110" s="1"/>
  <c r="O34" i="110" s="1"/>
  <c r="O35" i="110" s="1"/>
  <c r="O36" i="110" s="1"/>
  <c r="O37" i="110" s="1"/>
  <c r="O38" i="110" s="1"/>
  <c r="O39" i="110" s="1"/>
  <c r="O40" i="110" s="1"/>
  <c r="O41" i="110" s="1"/>
  <c r="O42" i="110" s="1"/>
  <c r="O43" i="110" s="1"/>
  <c r="O44" i="110" s="1"/>
  <c r="O45" i="110" s="1"/>
  <c r="O46" i="110" s="1"/>
  <c r="O47" i="110" s="1"/>
  <c r="O48" i="110" s="1"/>
  <c r="O49" i="110" s="1"/>
  <c r="O50" i="110" s="1"/>
  <c r="O51" i="110" s="1"/>
  <c r="O52" i="110" s="1"/>
  <c r="O53" i="110" s="1"/>
  <c r="O54" i="110" s="1"/>
  <c r="O55" i="110" s="1"/>
  <c r="O56" i="110" s="1"/>
  <c r="O57" i="110" s="1"/>
  <c r="O58" i="110" s="1"/>
  <c r="O59" i="110" s="1"/>
  <c r="O60" i="110" s="1"/>
  <c r="O61" i="110" s="1"/>
  <c r="O62" i="110" s="1"/>
  <c r="O63" i="110" s="1"/>
  <c r="O64" i="110" s="1"/>
  <c r="O65" i="110" s="1"/>
  <c r="O66" i="110" s="1"/>
  <c r="O67" i="110" s="1"/>
  <c r="O68" i="110" s="1"/>
  <c r="O69" i="110" s="1"/>
  <c r="O70" i="110" s="1"/>
  <c r="O71" i="110" s="1"/>
  <c r="O72" i="110" s="1"/>
  <c r="O73" i="110" s="1"/>
  <c r="O74" i="110" s="1"/>
  <c r="O75" i="110" s="1"/>
  <c r="O76" i="110" s="1"/>
  <c r="O77" i="110" s="1"/>
  <c r="O78" i="110" s="1"/>
  <c r="O79" i="110" s="1"/>
  <c r="O80" i="110" s="1"/>
  <c r="O81" i="110" s="1"/>
  <c r="O82" i="110" s="1"/>
  <c r="O83" i="110" s="1"/>
  <c r="O84" i="110" s="1"/>
  <c r="O85" i="110" s="1"/>
  <c r="O86" i="110" s="1"/>
  <c r="O87" i="110" s="1"/>
  <c r="O88" i="110" s="1"/>
  <c r="O89" i="110" s="1"/>
  <c r="O90" i="110" s="1"/>
  <c r="O91" i="110" s="1"/>
  <c r="O92" i="110" s="1"/>
  <c r="O93" i="110" s="1"/>
  <c r="O94" i="110" s="1"/>
  <c r="O95" i="110" s="1"/>
  <c r="O96" i="110" s="1"/>
  <c r="S22" i="110"/>
  <c r="S23" i="110" s="1"/>
  <c r="S24" i="110" s="1"/>
  <c r="S25" i="110" s="1"/>
  <c r="S26" i="110" s="1"/>
  <c r="S27" i="110" s="1"/>
  <c r="S28" i="110" s="1"/>
  <c r="S29" i="110" s="1"/>
  <c r="S30" i="110" s="1"/>
  <c r="S31" i="110" s="1"/>
  <c r="S32" i="110" s="1"/>
  <c r="S33" i="110" s="1"/>
  <c r="S34" i="110" s="1"/>
  <c r="S35" i="110" s="1"/>
  <c r="S36" i="110" s="1"/>
  <c r="S37" i="110" s="1"/>
  <c r="S38" i="110" s="1"/>
  <c r="S39" i="110" s="1"/>
  <c r="S40" i="110" s="1"/>
  <c r="S41" i="110" s="1"/>
  <c r="S42" i="110" s="1"/>
  <c r="S43" i="110" s="1"/>
  <c r="S44" i="110" s="1"/>
  <c r="S45" i="110" s="1"/>
  <c r="S46" i="110" s="1"/>
  <c r="S47" i="110" s="1"/>
  <c r="S48" i="110" s="1"/>
  <c r="S49" i="110" s="1"/>
  <c r="S50" i="110" s="1"/>
  <c r="S51" i="110" s="1"/>
  <c r="S52" i="110" s="1"/>
  <c r="S53" i="110" s="1"/>
  <c r="K54" i="110"/>
  <c r="M54" i="110" s="1"/>
  <c r="S54" i="110" s="1"/>
  <c r="S55" i="110" s="1"/>
  <c r="S56" i="110" s="1"/>
  <c r="S57" i="110" s="1"/>
  <c r="S58" i="110" s="1"/>
  <c r="S59" i="110" s="1"/>
  <c r="S60" i="110" s="1"/>
  <c r="S61" i="110" s="1"/>
  <c r="S62" i="110" s="1"/>
  <c r="S63" i="110" s="1"/>
  <c r="S64" i="110" s="1"/>
  <c r="S65" i="110" s="1"/>
  <c r="S66" i="110" s="1"/>
  <c r="S67" i="110" s="1"/>
  <c r="S68" i="110" s="1"/>
  <c r="S69" i="110" s="1"/>
  <c r="S70" i="110" s="1"/>
  <c r="S71" i="110" s="1"/>
  <c r="S72" i="110" s="1"/>
  <c r="S73" i="110" s="1"/>
  <c r="S74" i="110" s="1"/>
  <c r="S75" i="110" s="1"/>
  <c r="S76" i="110" s="1"/>
  <c r="S77" i="110" s="1"/>
  <c r="S78" i="110" s="1"/>
  <c r="S79" i="110" s="1"/>
  <c r="S80" i="110" s="1"/>
  <c r="S81" i="110" s="1"/>
  <c r="S82" i="110" s="1"/>
  <c r="S83" i="110" s="1"/>
  <c r="S84" i="110" s="1"/>
  <c r="S85" i="110" s="1"/>
  <c r="S86" i="110" s="1"/>
  <c r="S87" i="110" s="1"/>
  <c r="S88" i="110" s="1"/>
  <c r="S89" i="110" s="1"/>
  <c r="S90" i="110" s="1"/>
  <c r="S91" i="110" s="1"/>
  <c r="S92" i="110" s="1"/>
  <c r="S93" i="110" s="1"/>
  <c r="S94" i="110" s="1"/>
  <c r="S95" i="110" s="1"/>
  <c r="S96" i="110" s="1"/>
  <c r="N53" i="110"/>
  <c r="M37" i="108"/>
  <c r="M36" i="108"/>
  <c r="M34" i="108"/>
  <c r="M33" i="108"/>
  <c r="M32" i="108"/>
  <c r="M31" i="108"/>
  <c r="M30" i="108"/>
  <c r="M27" i="108"/>
  <c r="M26" i="108"/>
  <c r="M25" i="108"/>
  <c r="M24" i="108"/>
  <c r="M23" i="108"/>
  <c r="M22" i="108"/>
  <c r="M21" i="108"/>
  <c r="N84" i="134" l="1"/>
  <c r="U83" i="134"/>
  <c r="V83" i="134" s="1"/>
  <c r="K16" i="110"/>
  <c r="K15" i="110" s="1"/>
  <c r="N54" i="110"/>
  <c r="N55" i="110" s="1"/>
  <c r="N56" i="110" s="1"/>
  <c r="N57" i="110" s="1"/>
  <c r="N58" i="110" s="1"/>
  <c r="N59" i="110" s="1"/>
  <c r="N60" i="110" s="1"/>
  <c r="N61" i="110" s="1"/>
  <c r="N62" i="110" s="1"/>
  <c r="N63" i="110" s="1"/>
  <c r="N64" i="110" s="1"/>
  <c r="N65" i="110" s="1"/>
  <c r="N66" i="110" s="1"/>
  <c r="N67" i="110" s="1"/>
  <c r="N68" i="110" s="1"/>
  <c r="N69" i="110" s="1"/>
  <c r="N70" i="110" s="1"/>
  <c r="N71" i="110" s="1"/>
  <c r="N72" i="110" s="1"/>
  <c r="N73" i="110" s="1"/>
  <c r="N74" i="110" s="1"/>
  <c r="N75" i="110" s="1"/>
  <c r="N76" i="110" s="1"/>
  <c r="N77" i="110" s="1"/>
  <c r="N78" i="110" s="1"/>
  <c r="N79" i="110" s="1"/>
  <c r="N80" i="110" s="1"/>
  <c r="N81" i="110" s="1"/>
  <c r="N82" i="110" s="1"/>
  <c r="N83" i="110" s="1"/>
  <c r="N84" i="110" s="1"/>
  <c r="N85" i="110" s="1"/>
  <c r="N86" i="110" s="1"/>
  <c r="N87" i="110" s="1"/>
  <c r="N88" i="110" s="1"/>
  <c r="N89" i="110" s="1"/>
  <c r="N90" i="110" s="1"/>
  <c r="N91" i="110" s="1"/>
  <c r="N92" i="110" s="1"/>
  <c r="N93" i="110" s="1"/>
  <c r="N94" i="110" s="1"/>
  <c r="N95" i="110" s="1"/>
  <c r="N96" i="110" s="1"/>
  <c r="M16" i="110"/>
  <c r="K35" i="108"/>
  <c r="M35" i="108" s="1"/>
  <c r="N85" i="134" l="1"/>
  <c r="U84" i="134"/>
  <c r="V84" i="134" s="1"/>
  <c r="M14" i="110"/>
  <c r="M15" i="110"/>
  <c r="N20" i="108"/>
  <c r="N21" i="108" s="1"/>
  <c r="N22" i="108" s="1"/>
  <c r="N23" i="108" s="1"/>
  <c r="N24" i="108" s="1"/>
  <c r="N25" i="108" s="1"/>
  <c r="N26" i="108" s="1"/>
  <c r="N27" i="108" s="1"/>
  <c r="N28" i="108" s="1"/>
  <c r="N29" i="108" s="1"/>
  <c r="N30" i="108" s="1"/>
  <c r="N31" i="108" s="1"/>
  <c r="N32" i="108" s="1"/>
  <c r="N33" i="108" s="1"/>
  <c r="N34" i="108" s="1"/>
  <c r="N35" i="108" s="1"/>
  <c r="N36" i="108" s="1"/>
  <c r="N37" i="108" s="1"/>
  <c r="N38" i="108" s="1"/>
  <c r="N39" i="108" s="1"/>
  <c r="N40" i="108" s="1"/>
  <c r="N41" i="108" s="1"/>
  <c r="N42" i="108" s="1"/>
  <c r="N43" i="108" s="1"/>
  <c r="N44" i="108" s="1"/>
  <c r="N45" i="108" s="1"/>
  <c r="N46" i="108" s="1"/>
  <c r="N47" i="108" s="1"/>
  <c r="N48" i="108" s="1"/>
  <c r="N49" i="108" s="1"/>
  <c r="N50" i="108" s="1"/>
  <c r="N51" i="108" s="1"/>
  <c r="N52" i="108" s="1"/>
  <c r="N53" i="108" s="1"/>
  <c r="N54" i="108" s="1"/>
  <c r="N55" i="108" s="1"/>
  <c r="N56" i="108" s="1"/>
  <c r="N57" i="108" s="1"/>
  <c r="N58" i="108" s="1"/>
  <c r="N59" i="108" s="1"/>
  <c r="N60" i="108" s="1"/>
  <c r="N61" i="108" s="1"/>
  <c r="N62" i="108" s="1"/>
  <c r="N63" i="108" s="1"/>
  <c r="N64" i="108" s="1"/>
  <c r="N65" i="108" s="1"/>
  <c r="N66" i="108" s="1"/>
  <c r="N67" i="108" s="1"/>
  <c r="N68" i="108" s="1"/>
  <c r="N69" i="108" s="1"/>
  <c r="N70" i="108" s="1"/>
  <c r="N71" i="108" s="1"/>
  <c r="N72" i="108" s="1"/>
  <c r="N73" i="108" s="1"/>
  <c r="N74" i="108" s="1"/>
  <c r="N75" i="108" s="1"/>
  <c r="N76" i="108" s="1"/>
  <c r="N77" i="108" s="1"/>
  <c r="N78" i="108" s="1"/>
  <c r="N79" i="108" s="1"/>
  <c r="N80" i="108" s="1"/>
  <c r="N81" i="108" s="1"/>
  <c r="N82" i="108" s="1"/>
  <c r="N83" i="108" s="1"/>
  <c r="N84" i="108" s="1"/>
  <c r="N85" i="108" s="1"/>
  <c r="N86" i="108" s="1"/>
  <c r="N87" i="108" s="1"/>
  <c r="N88" i="108" s="1"/>
  <c r="N89" i="108" s="1"/>
  <c r="N90" i="108" s="1"/>
  <c r="N91" i="108" s="1"/>
  <c r="M20" i="108"/>
  <c r="E14" i="108"/>
  <c r="D14" i="108"/>
  <c r="K13" i="108"/>
  <c r="J13" i="108"/>
  <c r="E13" i="108"/>
  <c r="G12" i="108" s="1"/>
  <c r="D13" i="108"/>
  <c r="L12" i="108"/>
  <c r="F12" i="108"/>
  <c r="L11" i="108"/>
  <c r="F11" i="108"/>
  <c r="L10" i="108"/>
  <c r="F10" i="108"/>
  <c r="L9" i="108"/>
  <c r="F9" i="108"/>
  <c r="L8" i="108"/>
  <c r="F8" i="108"/>
  <c r="L7" i="108"/>
  <c r="F7" i="108"/>
  <c r="L6" i="108"/>
  <c r="F6" i="108"/>
  <c r="L5" i="108"/>
  <c r="M5" i="108" s="1"/>
  <c r="F5" i="108"/>
  <c r="N86" i="134" l="1"/>
  <c r="U85" i="134"/>
  <c r="V85" i="134" s="1"/>
  <c r="F14" i="108"/>
  <c r="M12" i="108"/>
  <c r="L13" i="108"/>
  <c r="M11" i="108"/>
  <c r="F13" i="108"/>
  <c r="X13" i="108" s="1"/>
  <c r="M6" i="108"/>
  <c r="P14" i="108"/>
  <c r="Q14" i="108"/>
  <c r="M8" i="108"/>
  <c r="M9" i="108"/>
  <c r="M10" i="108"/>
  <c r="K16" i="108"/>
  <c r="S20" i="108"/>
  <c r="S21" i="108" s="1"/>
  <c r="S22" i="108" s="1"/>
  <c r="S23" i="108" s="1"/>
  <c r="S24" i="108" s="1"/>
  <c r="O20" i="108"/>
  <c r="O21" i="108" s="1"/>
  <c r="O22" i="108" s="1"/>
  <c r="O23" i="108" s="1"/>
  <c r="O24" i="108" s="1"/>
  <c r="O25" i="108" s="1"/>
  <c r="O26" i="108" s="1"/>
  <c r="O27" i="108" s="1"/>
  <c r="O28" i="108" s="1"/>
  <c r="O29" i="108" s="1"/>
  <c r="O30" i="108" s="1"/>
  <c r="O31" i="108" s="1"/>
  <c r="O32" i="108" s="1"/>
  <c r="O33" i="108" s="1"/>
  <c r="O34" i="108" s="1"/>
  <c r="O35" i="108" s="1"/>
  <c r="O36" i="108" s="1"/>
  <c r="O37" i="108" s="1"/>
  <c r="O38" i="108" s="1"/>
  <c r="O39" i="108" s="1"/>
  <c r="O40" i="108" s="1"/>
  <c r="O41" i="108" s="1"/>
  <c r="O42" i="108" s="1"/>
  <c r="O43" i="108" s="1"/>
  <c r="O44" i="108" s="1"/>
  <c r="O45" i="108" s="1"/>
  <c r="O46" i="108" s="1"/>
  <c r="O47" i="108" s="1"/>
  <c r="O48" i="108" s="1"/>
  <c r="O49" i="108" s="1"/>
  <c r="O50" i="108" s="1"/>
  <c r="O51" i="108" s="1"/>
  <c r="O52" i="108" s="1"/>
  <c r="O53" i="108" s="1"/>
  <c r="O54" i="108" s="1"/>
  <c r="O55" i="108" s="1"/>
  <c r="O56" i="108" s="1"/>
  <c r="O57" i="108" s="1"/>
  <c r="O58" i="108" s="1"/>
  <c r="O59" i="108" s="1"/>
  <c r="O60" i="108" s="1"/>
  <c r="O61" i="108" s="1"/>
  <c r="O62" i="108" s="1"/>
  <c r="O63" i="108" s="1"/>
  <c r="O64" i="108" s="1"/>
  <c r="O65" i="108" s="1"/>
  <c r="O66" i="108" s="1"/>
  <c r="O67" i="108" s="1"/>
  <c r="O68" i="108" s="1"/>
  <c r="O69" i="108" s="1"/>
  <c r="O70" i="108" s="1"/>
  <c r="O71" i="108" s="1"/>
  <c r="O72" i="108" s="1"/>
  <c r="O73" i="108" s="1"/>
  <c r="O74" i="108" s="1"/>
  <c r="O75" i="108" s="1"/>
  <c r="O76" i="108" s="1"/>
  <c r="O77" i="108" s="1"/>
  <c r="O78" i="108" s="1"/>
  <c r="O79" i="108" s="1"/>
  <c r="O80" i="108" s="1"/>
  <c r="O81" i="108" s="1"/>
  <c r="O82" i="108" s="1"/>
  <c r="O83" i="108" s="1"/>
  <c r="O84" i="108" s="1"/>
  <c r="O85" i="108" s="1"/>
  <c r="O86" i="108" s="1"/>
  <c r="O87" i="108" s="1"/>
  <c r="O88" i="108" s="1"/>
  <c r="O89" i="108" s="1"/>
  <c r="O90" i="108" s="1"/>
  <c r="O91" i="108" s="1"/>
  <c r="M16" i="108"/>
  <c r="M14" i="108" s="1"/>
  <c r="J14" i="108"/>
  <c r="M7" i="108"/>
  <c r="K14" i="108"/>
  <c r="N87" i="134" l="1"/>
  <c r="U86" i="134"/>
  <c r="V86" i="134" s="1"/>
  <c r="L14" i="108"/>
  <c r="M13" i="108"/>
  <c r="S25" i="108"/>
  <c r="S26" i="108" s="1"/>
  <c r="S27" i="108" s="1"/>
  <c r="S30" i="108" s="1"/>
  <c r="S31" i="108" s="1"/>
  <c r="S32" i="108" s="1"/>
  <c r="S33" i="108" s="1"/>
  <c r="S34" i="108" s="1"/>
  <c r="S35" i="108" s="1"/>
  <c r="S36" i="108" s="1"/>
  <c r="S37" i="108" s="1"/>
  <c r="R14" i="108"/>
  <c r="G13" i="108"/>
  <c r="G11" i="108" s="1"/>
  <c r="N20" i="106"/>
  <c r="N21" i="106" s="1"/>
  <c r="N22" i="106" s="1"/>
  <c r="N23" i="106" s="1"/>
  <c r="N24" i="106" s="1"/>
  <c r="M94" i="106"/>
  <c r="M93" i="106"/>
  <c r="M92" i="106"/>
  <c r="M90" i="106"/>
  <c r="M89" i="106"/>
  <c r="M88" i="106"/>
  <c r="M87" i="106"/>
  <c r="M86" i="106"/>
  <c r="M85" i="106"/>
  <c r="M84" i="106"/>
  <c r="M83" i="106"/>
  <c r="M82" i="106"/>
  <c r="M81" i="106"/>
  <c r="M80" i="106"/>
  <c r="M79" i="106"/>
  <c r="M78" i="106"/>
  <c r="M77" i="106"/>
  <c r="M76" i="106"/>
  <c r="M75" i="106"/>
  <c r="M74" i="106"/>
  <c r="M73" i="106"/>
  <c r="M72" i="106"/>
  <c r="M71" i="106"/>
  <c r="M70" i="106"/>
  <c r="M69" i="106"/>
  <c r="M68" i="106"/>
  <c r="M67" i="106"/>
  <c r="M66" i="106"/>
  <c r="M65" i="106"/>
  <c r="M64" i="106"/>
  <c r="M63" i="106"/>
  <c r="M62" i="106"/>
  <c r="M61" i="106"/>
  <c r="M60" i="106"/>
  <c r="M59" i="106"/>
  <c r="M58" i="106"/>
  <c r="M57" i="106"/>
  <c r="M56" i="106"/>
  <c r="M55" i="106"/>
  <c r="M54" i="106"/>
  <c r="M53" i="106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N88" i="134" l="1"/>
  <c r="U87" i="134"/>
  <c r="V87" i="134" s="1"/>
  <c r="E14" i="106"/>
  <c r="D14" i="106"/>
  <c r="E13" i="106"/>
  <c r="G12" i="106" s="1"/>
  <c r="D13" i="106"/>
  <c r="L12" i="106"/>
  <c r="F12" i="106"/>
  <c r="L11" i="106"/>
  <c r="F11" i="106"/>
  <c r="L10" i="106"/>
  <c r="F10" i="106"/>
  <c r="L9" i="106"/>
  <c r="F9" i="106"/>
  <c r="L8" i="106"/>
  <c r="F8" i="106"/>
  <c r="L7" i="106"/>
  <c r="F7" i="106"/>
  <c r="F6" i="106"/>
  <c r="L5" i="106"/>
  <c r="F5" i="106"/>
  <c r="N89" i="134" l="1"/>
  <c r="N90" i="134" s="1"/>
  <c r="N91" i="134" s="1"/>
  <c r="N92" i="134" s="1"/>
  <c r="N93" i="134" s="1"/>
  <c r="N94" i="134" s="1"/>
  <c r="U88" i="134"/>
  <c r="V88" i="134" s="1"/>
  <c r="S38" i="108"/>
  <c r="M11" i="106"/>
  <c r="M7" i="106"/>
  <c r="M10" i="106"/>
  <c r="M9" i="106"/>
  <c r="M12" i="106"/>
  <c r="M5" i="106"/>
  <c r="F13" i="106"/>
  <c r="G13" i="106" s="1"/>
  <c r="G11" i="106" s="1"/>
  <c r="F14" i="106"/>
  <c r="M8" i="106"/>
  <c r="N20" i="104"/>
  <c r="O20" i="104"/>
  <c r="O21" i="104" s="1"/>
  <c r="X13" i="106" l="1"/>
  <c r="N21" i="104"/>
  <c r="N22" i="104" s="1"/>
  <c r="N23" i="104" s="1"/>
  <c r="N24" i="104" s="1"/>
  <c r="N25" i="104" s="1"/>
  <c r="N26" i="104" s="1"/>
  <c r="E14" i="104"/>
  <c r="D14" i="104"/>
  <c r="K13" i="104"/>
  <c r="J13" i="104"/>
  <c r="E13" i="104"/>
  <c r="D13" i="104"/>
  <c r="L12" i="104"/>
  <c r="F12" i="104"/>
  <c r="L11" i="104"/>
  <c r="F11" i="104"/>
  <c r="L10" i="104"/>
  <c r="F10" i="104"/>
  <c r="L9" i="104"/>
  <c r="F9" i="104"/>
  <c r="L8" i="104"/>
  <c r="F8" i="104"/>
  <c r="L7" i="104"/>
  <c r="F7" i="104"/>
  <c r="L6" i="104"/>
  <c r="F6" i="104"/>
  <c r="L5" i="104"/>
  <c r="F5" i="104"/>
  <c r="O20" i="102"/>
  <c r="O21" i="102" s="1"/>
  <c r="N20" i="102"/>
  <c r="N21" i="102" s="1"/>
  <c r="L20" i="106" l="1"/>
  <c r="M20" i="106" s="1"/>
  <c r="L25" i="106"/>
  <c r="K25" i="106" s="1"/>
  <c r="L22" i="106"/>
  <c r="M22" i="106" s="1"/>
  <c r="L21" i="106"/>
  <c r="M21" i="106" s="1"/>
  <c r="L90" i="104"/>
  <c r="M90" i="104" s="1"/>
  <c r="L86" i="104"/>
  <c r="M86" i="104" s="1"/>
  <c r="L74" i="104"/>
  <c r="M74" i="104" s="1"/>
  <c r="L62" i="104"/>
  <c r="M62" i="104" s="1"/>
  <c r="L50" i="104"/>
  <c r="M50" i="104" s="1"/>
  <c r="L38" i="104"/>
  <c r="M38" i="104" s="1"/>
  <c r="L65" i="104"/>
  <c r="M65" i="104" s="1"/>
  <c r="L39" i="104"/>
  <c r="M39" i="104" s="1"/>
  <c r="L98" i="104"/>
  <c r="M98" i="104" s="1"/>
  <c r="L85" i="104"/>
  <c r="M85" i="104" s="1"/>
  <c r="L73" i="104"/>
  <c r="M73" i="104" s="1"/>
  <c r="L61" i="104"/>
  <c r="M61" i="104" s="1"/>
  <c r="L49" i="104"/>
  <c r="M49" i="104" s="1"/>
  <c r="L37" i="104"/>
  <c r="M37" i="104" s="1"/>
  <c r="L31" i="104"/>
  <c r="M31" i="104" s="1"/>
  <c r="L41" i="104"/>
  <c r="M41" i="104" s="1"/>
  <c r="L28" i="104"/>
  <c r="L97" i="104"/>
  <c r="M97" i="104" s="1"/>
  <c r="L84" i="104"/>
  <c r="M84" i="104" s="1"/>
  <c r="L72" i="104"/>
  <c r="M72" i="104" s="1"/>
  <c r="L60" i="104"/>
  <c r="M60" i="104" s="1"/>
  <c r="L48" i="104"/>
  <c r="M48" i="104" s="1"/>
  <c r="L36" i="104"/>
  <c r="M36" i="104" s="1"/>
  <c r="L66" i="104"/>
  <c r="M66" i="104" s="1"/>
  <c r="L63" i="104"/>
  <c r="M63" i="104" s="1"/>
  <c r="L96" i="104"/>
  <c r="M96" i="104" s="1"/>
  <c r="L83" i="104"/>
  <c r="M83" i="104" s="1"/>
  <c r="L71" i="104"/>
  <c r="M71" i="104" s="1"/>
  <c r="L59" i="104"/>
  <c r="M59" i="104" s="1"/>
  <c r="L47" i="104"/>
  <c r="M47" i="104" s="1"/>
  <c r="L35" i="104"/>
  <c r="M35" i="104" s="1"/>
  <c r="L32" i="104"/>
  <c r="M32" i="104" s="1"/>
  <c r="L77" i="104"/>
  <c r="M77" i="104" s="1"/>
  <c r="L95" i="104"/>
  <c r="M95" i="104" s="1"/>
  <c r="L82" i="104"/>
  <c r="M82" i="104" s="1"/>
  <c r="L70" i="104"/>
  <c r="M70" i="104" s="1"/>
  <c r="L58" i="104"/>
  <c r="M58" i="104" s="1"/>
  <c r="L46" i="104"/>
  <c r="M46" i="104" s="1"/>
  <c r="L34" i="104"/>
  <c r="M34" i="104" s="1"/>
  <c r="L33" i="104"/>
  <c r="M33" i="104" s="1"/>
  <c r="L53" i="104"/>
  <c r="M53" i="104" s="1"/>
  <c r="L51" i="104"/>
  <c r="M51" i="104" s="1"/>
  <c r="L94" i="104"/>
  <c r="M94" i="104" s="1"/>
  <c r="L81" i="104"/>
  <c r="M81" i="104" s="1"/>
  <c r="L69" i="104"/>
  <c r="M69" i="104" s="1"/>
  <c r="L57" i="104"/>
  <c r="M57" i="104" s="1"/>
  <c r="L45" i="104"/>
  <c r="M45" i="104" s="1"/>
  <c r="L30" i="104"/>
  <c r="M30" i="104" s="1"/>
  <c r="L76" i="104"/>
  <c r="M76" i="104" s="1"/>
  <c r="L93" i="104"/>
  <c r="M93" i="104" s="1"/>
  <c r="L80" i="104"/>
  <c r="M80" i="104" s="1"/>
  <c r="L68" i="104"/>
  <c r="M68" i="104" s="1"/>
  <c r="L56" i="104"/>
  <c r="M56" i="104" s="1"/>
  <c r="L44" i="104"/>
  <c r="M44" i="104" s="1"/>
  <c r="L54" i="104"/>
  <c r="M54" i="104" s="1"/>
  <c r="L52" i="104"/>
  <c r="M52" i="104" s="1"/>
  <c r="L92" i="104"/>
  <c r="M92" i="104" s="1"/>
  <c r="L79" i="104"/>
  <c r="M79" i="104" s="1"/>
  <c r="L67" i="104"/>
  <c r="M67" i="104" s="1"/>
  <c r="L55" i="104"/>
  <c r="M55" i="104" s="1"/>
  <c r="L43" i="104"/>
  <c r="M43" i="104" s="1"/>
  <c r="L29" i="104"/>
  <c r="M29" i="104" s="1"/>
  <c r="L64" i="104"/>
  <c r="M64" i="104" s="1"/>
  <c r="L91" i="104"/>
  <c r="M91" i="104" s="1"/>
  <c r="L78" i="104"/>
  <c r="M78" i="104" s="1"/>
  <c r="L42" i="104"/>
  <c r="M42" i="104" s="1"/>
  <c r="L40" i="104"/>
  <c r="M40" i="104" s="1"/>
  <c r="L89" i="104"/>
  <c r="M89" i="104" s="1"/>
  <c r="L88" i="104"/>
  <c r="M88" i="104" s="1"/>
  <c r="L87" i="104"/>
  <c r="M87" i="104" s="1"/>
  <c r="L75" i="104"/>
  <c r="M75" i="104" s="1"/>
  <c r="M5" i="104"/>
  <c r="M9" i="104"/>
  <c r="M10" i="104"/>
  <c r="K14" i="104"/>
  <c r="P14" i="104"/>
  <c r="M8" i="104"/>
  <c r="M6" i="104"/>
  <c r="M11" i="104"/>
  <c r="G12" i="104"/>
  <c r="L13" i="104"/>
  <c r="L14" i="104" s="1"/>
  <c r="M7" i="104"/>
  <c r="F14" i="104"/>
  <c r="F13" i="104"/>
  <c r="J14" i="104"/>
  <c r="Q14" i="104"/>
  <c r="M12" i="104"/>
  <c r="E14" i="102"/>
  <c r="D14" i="102"/>
  <c r="K13" i="102"/>
  <c r="J13" i="102"/>
  <c r="E13" i="102"/>
  <c r="D13" i="102"/>
  <c r="L12" i="102"/>
  <c r="F12" i="102"/>
  <c r="L11" i="102"/>
  <c r="F11" i="102"/>
  <c r="L10" i="102"/>
  <c r="F10" i="102"/>
  <c r="L9" i="102"/>
  <c r="F9" i="102"/>
  <c r="L8" i="102"/>
  <c r="F8" i="102"/>
  <c r="L7" i="102"/>
  <c r="F7" i="102"/>
  <c r="L6" i="102"/>
  <c r="F6" i="102"/>
  <c r="L5" i="102"/>
  <c r="F5" i="102"/>
  <c r="M13" i="99"/>
  <c r="M12" i="99"/>
  <c r="M11" i="99"/>
  <c r="M10" i="99"/>
  <c r="M9" i="99"/>
  <c r="M8" i="99"/>
  <c r="M7" i="99"/>
  <c r="M6" i="99"/>
  <c r="L10" i="99"/>
  <c r="L9" i="99"/>
  <c r="L8" i="99"/>
  <c r="L7" i="99"/>
  <c r="L6" i="99"/>
  <c r="F10" i="99"/>
  <c r="F9" i="99"/>
  <c r="F8" i="99"/>
  <c r="F7" i="99"/>
  <c r="F6" i="99"/>
  <c r="K26" i="106" l="1"/>
  <c r="M26" i="106" s="1"/>
  <c r="N25" i="106"/>
  <c r="S20" i="106"/>
  <c r="S21" i="106" s="1"/>
  <c r="S22" i="106" s="1"/>
  <c r="S25" i="106" s="1"/>
  <c r="O20" i="106"/>
  <c r="O21" i="106" s="1"/>
  <c r="O22" i="106" s="1"/>
  <c r="O23" i="106" s="1"/>
  <c r="O24" i="106" s="1"/>
  <c r="O25" i="106" s="1"/>
  <c r="L26" i="104"/>
  <c r="M26" i="104" s="1"/>
  <c r="I26" i="104"/>
  <c r="J26" i="104" s="1"/>
  <c r="L25" i="104"/>
  <c r="M25" i="104" s="1"/>
  <c r="L24" i="104"/>
  <c r="M24" i="104" s="1"/>
  <c r="L23" i="104"/>
  <c r="M23" i="104" s="1"/>
  <c r="L27" i="104"/>
  <c r="K27" i="104" s="1"/>
  <c r="L22" i="104"/>
  <c r="M22" i="104" s="1"/>
  <c r="M13" i="104"/>
  <c r="R14" i="104"/>
  <c r="G13" i="104"/>
  <c r="G11" i="104" s="1"/>
  <c r="X13" i="104"/>
  <c r="L92" i="102"/>
  <c r="M92" i="102" s="1"/>
  <c r="L80" i="102"/>
  <c r="M80" i="102" s="1"/>
  <c r="L68" i="102"/>
  <c r="M68" i="102" s="1"/>
  <c r="L56" i="102"/>
  <c r="M56" i="102" s="1"/>
  <c r="L44" i="102"/>
  <c r="M44" i="102" s="1"/>
  <c r="L32" i="102"/>
  <c r="M32" i="102" s="1"/>
  <c r="L24" i="102"/>
  <c r="M24" i="102" s="1"/>
  <c r="L47" i="102"/>
  <c r="M47" i="102" s="1"/>
  <c r="L69" i="102"/>
  <c r="M69" i="102" s="1"/>
  <c r="L91" i="102"/>
  <c r="M91" i="102" s="1"/>
  <c r="L79" i="102"/>
  <c r="M79" i="102" s="1"/>
  <c r="L67" i="102"/>
  <c r="M67" i="102" s="1"/>
  <c r="L55" i="102"/>
  <c r="M55" i="102" s="1"/>
  <c r="L43" i="102"/>
  <c r="M43" i="102" s="1"/>
  <c r="L31" i="102"/>
  <c r="M31" i="102" s="1"/>
  <c r="L83" i="102"/>
  <c r="M83" i="102" s="1"/>
  <c r="L81" i="102"/>
  <c r="M81" i="102" s="1"/>
  <c r="L90" i="102"/>
  <c r="M90" i="102" s="1"/>
  <c r="L78" i="102"/>
  <c r="M78" i="102" s="1"/>
  <c r="L66" i="102"/>
  <c r="M66" i="102" s="1"/>
  <c r="L54" i="102"/>
  <c r="M54" i="102" s="1"/>
  <c r="L42" i="102"/>
  <c r="M42" i="102" s="1"/>
  <c r="L30" i="102"/>
  <c r="M30" i="102" s="1"/>
  <c r="L36" i="102"/>
  <c r="M36" i="102" s="1"/>
  <c r="L71" i="102"/>
  <c r="M71" i="102" s="1"/>
  <c r="L89" i="102"/>
  <c r="M89" i="102" s="1"/>
  <c r="L77" i="102"/>
  <c r="M77" i="102" s="1"/>
  <c r="L65" i="102"/>
  <c r="M65" i="102" s="1"/>
  <c r="L53" i="102"/>
  <c r="M53" i="102" s="1"/>
  <c r="L41" i="102"/>
  <c r="M41" i="102" s="1"/>
  <c r="L29" i="102"/>
  <c r="M29" i="102" s="1"/>
  <c r="L48" i="102"/>
  <c r="M48" i="102" s="1"/>
  <c r="L23" i="102"/>
  <c r="L57" i="102"/>
  <c r="M57" i="102" s="1"/>
  <c r="L88" i="102"/>
  <c r="M88" i="102" s="1"/>
  <c r="L76" i="102"/>
  <c r="M76" i="102" s="1"/>
  <c r="L64" i="102"/>
  <c r="M64" i="102" s="1"/>
  <c r="L52" i="102"/>
  <c r="M52" i="102" s="1"/>
  <c r="L40" i="102"/>
  <c r="M40" i="102" s="1"/>
  <c r="L28" i="102"/>
  <c r="M28" i="102" s="1"/>
  <c r="L72" i="102"/>
  <c r="M72" i="102" s="1"/>
  <c r="L34" i="102"/>
  <c r="M34" i="102" s="1"/>
  <c r="L45" i="102"/>
  <c r="M45" i="102" s="1"/>
  <c r="L87" i="102"/>
  <c r="M87" i="102" s="1"/>
  <c r="L75" i="102"/>
  <c r="M75" i="102" s="1"/>
  <c r="L63" i="102"/>
  <c r="M63" i="102" s="1"/>
  <c r="L51" i="102"/>
  <c r="M51" i="102" s="1"/>
  <c r="L39" i="102"/>
  <c r="M39" i="102" s="1"/>
  <c r="L27" i="102"/>
  <c r="M27" i="102" s="1"/>
  <c r="L59" i="102"/>
  <c r="M59" i="102" s="1"/>
  <c r="L33" i="102"/>
  <c r="M33" i="102" s="1"/>
  <c r="L86" i="102"/>
  <c r="M86" i="102" s="1"/>
  <c r="L74" i="102"/>
  <c r="M74" i="102" s="1"/>
  <c r="L62" i="102"/>
  <c r="M62" i="102" s="1"/>
  <c r="L50" i="102"/>
  <c r="M50" i="102" s="1"/>
  <c r="L38" i="102"/>
  <c r="M38" i="102" s="1"/>
  <c r="L26" i="102"/>
  <c r="M26" i="102" s="1"/>
  <c r="L60" i="102"/>
  <c r="M60" i="102" s="1"/>
  <c r="L58" i="102"/>
  <c r="M58" i="102" s="1"/>
  <c r="L85" i="102"/>
  <c r="M85" i="102" s="1"/>
  <c r="L73" i="102"/>
  <c r="M73" i="102" s="1"/>
  <c r="L61" i="102"/>
  <c r="M61" i="102" s="1"/>
  <c r="L49" i="102"/>
  <c r="M49" i="102" s="1"/>
  <c r="L37" i="102"/>
  <c r="M37" i="102" s="1"/>
  <c r="L25" i="102"/>
  <c r="L84" i="102"/>
  <c r="M84" i="102" s="1"/>
  <c r="L35" i="102"/>
  <c r="M35" i="102" s="1"/>
  <c r="L82" i="102"/>
  <c r="M82" i="102" s="1"/>
  <c r="L70" i="102"/>
  <c r="M70" i="102" s="1"/>
  <c r="L46" i="102"/>
  <c r="M46" i="102" s="1"/>
  <c r="M11" i="102"/>
  <c r="M12" i="102"/>
  <c r="M5" i="102"/>
  <c r="P14" i="102"/>
  <c r="Q14" i="102"/>
  <c r="M6" i="102"/>
  <c r="F13" i="102"/>
  <c r="G13" i="102" s="1"/>
  <c r="M7" i="102"/>
  <c r="G12" i="102"/>
  <c r="F14" i="102"/>
  <c r="M9" i="102"/>
  <c r="M8" i="102"/>
  <c r="M10" i="102"/>
  <c r="L13" i="102"/>
  <c r="J14" i="102"/>
  <c r="K14" i="102"/>
  <c r="N19" i="99"/>
  <c r="N20" i="99" s="1"/>
  <c r="N21" i="99" s="1"/>
  <c r="N22" i="99" s="1"/>
  <c r="N23" i="99" s="1"/>
  <c r="N24" i="99" s="1"/>
  <c r="N25" i="99" s="1"/>
  <c r="N26" i="99" s="1"/>
  <c r="O26" i="106" l="1"/>
  <c r="O27" i="106" s="1"/>
  <c r="O28" i="106" s="1"/>
  <c r="O29" i="106" s="1"/>
  <c r="O30" i="106" s="1"/>
  <c r="O31" i="106" s="1"/>
  <c r="O32" i="106" s="1"/>
  <c r="O33" i="106" s="1"/>
  <c r="O34" i="106" s="1"/>
  <c r="O35" i="106" s="1"/>
  <c r="O36" i="106" s="1"/>
  <c r="O37" i="106" s="1"/>
  <c r="O38" i="106" s="1"/>
  <c r="O39" i="106" s="1"/>
  <c r="O40" i="106" s="1"/>
  <c r="O41" i="106" s="1"/>
  <c r="O42" i="106" s="1"/>
  <c r="O43" i="106" s="1"/>
  <c r="O44" i="106" s="1"/>
  <c r="O45" i="106" s="1"/>
  <c r="O46" i="106" s="1"/>
  <c r="O47" i="106" s="1"/>
  <c r="O48" i="106" s="1"/>
  <c r="O49" i="106" s="1"/>
  <c r="O50" i="106" s="1"/>
  <c r="O51" i="106" s="1"/>
  <c r="O52" i="106" s="1"/>
  <c r="O53" i="106" s="1"/>
  <c r="O54" i="106" s="1"/>
  <c r="O55" i="106" s="1"/>
  <c r="O56" i="106" s="1"/>
  <c r="O57" i="106" s="1"/>
  <c r="O58" i="106" s="1"/>
  <c r="O59" i="106" s="1"/>
  <c r="O60" i="106" s="1"/>
  <c r="O61" i="106" s="1"/>
  <c r="O62" i="106" s="1"/>
  <c r="O63" i="106" s="1"/>
  <c r="O64" i="106" s="1"/>
  <c r="O65" i="106" s="1"/>
  <c r="O66" i="106" s="1"/>
  <c r="O67" i="106" s="1"/>
  <c r="O68" i="106" s="1"/>
  <c r="O69" i="106" s="1"/>
  <c r="O70" i="106" s="1"/>
  <c r="O71" i="106" s="1"/>
  <c r="O72" i="106" s="1"/>
  <c r="O73" i="106" s="1"/>
  <c r="O74" i="106" s="1"/>
  <c r="O75" i="106" s="1"/>
  <c r="O76" i="106" s="1"/>
  <c r="O77" i="106" s="1"/>
  <c r="O78" i="106" s="1"/>
  <c r="O79" i="106" s="1"/>
  <c r="O80" i="106" s="1"/>
  <c r="O81" i="106" s="1"/>
  <c r="O82" i="106" s="1"/>
  <c r="O83" i="106" s="1"/>
  <c r="O84" i="106" s="1"/>
  <c r="O85" i="106" s="1"/>
  <c r="O86" i="106" s="1"/>
  <c r="O87" i="106" s="1"/>
  <c r="O88" i="106" s="1"/>
  <c r="O89" i="106" s="1"/>
  <c r="O90" i="106" s="1"/>
  <c r="O91" i="106" s="1"/>
  <c r="O92" i="106" s="1"/>
  <c r="O93" i="106" s="1"/>
  <c r="O94" i="106" s="1"/>
  <c r="N26" i="106"/>
  <c r="N27" i="106" s="1"/>
  <c r="N28" i="106" s="1"/>
  <c r="N29" i="106" s="1"/>
  <c r="N30" i="106" s="1"/>
  <c r="N31" i="106" s="1"/>
  <c r="N32" i="106" s="1"/>
  <c r="N33" i="106" s="1"/>
  <c r="N34" i="106" s="1"/>
  <c r="N35" i="106" s="1"/>
  <c r="N36" i="106" s="1"/>
  <c r="N37" i="106" s="1"/>
  <c r="N38" i="106" s="1"/>
  <c r="N39" i="106" s="1"/>
  <c r="N40" i="106" s="1"/>
  <c r="N41" i="106" s="1"/>
  <c r="N42" i="106" s="1"/>
  <c r="N43" i="106" s="1"/>
  <c r="N44" i="106" s="1"/>
  <c r="N45" i="106" s="1"/>
  <c r="N46" i="106" s="1"/>
  <c r="N47" i="106" s="1"/>
  <c r="N48" i="106" s="1"/>
  <c r="N49" i="106" s="1"/>
  <c r="N50" i="106" s="1"/>
  <c r="N51" i="106" s="1"/>
  <c r="N52" i="106" s="1"/>
  <c r="N53" i="106" s="1"/>
  <c r="N54" i="106" s="1"/>
  <c r="N55" i="106" s="1"/>
  <c r="N56" i="106" s="1"/>
  <c r="N57" i="106" s="1"/>
  <c r="N58" i="106" s="1"/>
  <c r="N59" i="106" s="1"/>
  <c r="N60" i="106" s="1"/>
  <c r="N61" i="106" s="1"/>
  <c r="N62" i="106" s="1"/>
  <c r="N63" i="106" s="1"/>
  <c r="N64" i="106" s="1"/>
  <c r="N65" i="106" s="1"/>
  <c r="N66" i="106" s="1"/>
  <c r="N67" i="106" s="1"/>
  <c r="N68" i="106" s="1"/>
  <c r="N69" i="106" s="1"/>
  <c r="N70" i="106" s="1"/>
  <c r="N71" i="106" s="1"/>
  <c r="N72" i="106" s="1"/>
  <c r="N73" i="106" s="1"/>
  <c r="N74" i="106" s="1"/>
  <c r="N75" i="106" s="1"/>
  <c r="N76" i="106" s="1"/>
  <c r="N77" i="106" s="1"/>
  <c r="N78" i="106" s="1"/>
  <c r="N79" i="106" s="1"/>
  <c r="N80" i="106" s="1"/>
  <c r="N81" i="106" s="1"/>
  <c r="N82" i="106" s="1"/>
  <c r="N83" i="106" s="1"/>
  <c r="N84" i="106" s="1"/>
  <c r="N85" i="106" s="1"/>
  <c r="N86" i="106" s="1"/>
  <c r="N87" i="106" s="1"/>
  <c r="N88" i="106" s="1"/>
  <c r="N89" i="106" s="1"/>
  <c r="N90" i="106" s="1"/>
  <c r="N91" i="106" s="1"/>
  <c r="N92" i="106" s="1"/>
  <c r="N93" i="106" s="1"/>
  <c r="N94" i="106" s="1"/>
  <c r="S26" i="106"/>
  <c r="S27" i="106" s="1"/>
  <c r="S28" i="106" s="1"/>
  <c r="S29" i="106" s="1"/>
  <c r="S30" i="106" s="1"/>
  <c r="S31" i="106" s="1"/>
  <c r="S32" i="106" s="1"/>
  <c r="S33" i="106" s="1"/>
  <c r="S34" i="106" s="1"/>
  <c r="S35" i="106" s="1"/>
  <c r="S36" i="106" s="1"/>
  <c r="S37" i="106" s="1"/>
  <c r="S38" i="106" s="1"/>
  <c r="S39" i="106" s="1"/>
  <c r="S40" i="106" s="1"/>
  <c r="S41" i="106" s="1"/>
  <c r="S42" i="106" s="1"/>
  <c r="S43" i="106" s="1"/>
  <c r="S44" i="106" s="1"/>
  <c r="S45" i="106" s="1"/>
  <c r="S46" i="106" s="1"/>
  <c r="S47" i="106" s="1"/>
  <c r="S48" i="106" s="1"/>
  <c r="S49" i="106" s="1"/>
  <c r="S50" i="106" s="1"/>
  <c r="S51" i="106" s="1"/>
  <c r="S52" i="106" s="1"/>
  <c r="S53" i="106" s="1"/>
  <c r="S54" i="106" s="1"/>
  <c r="S55" i="106" s="1"/>
  <c r="S56" i="106" s="1"/>
  <c r="S57" i="106" s="1"/>
  <c r="S58" i="106" s="1"/>
  <c r="S59" i="106" s="1"/>
  <c r="S60" i="106" s="1"/>
  <c r="S61" i="106" s="1"/>
  <c r="S62" i="106" s="1"/>
  <c r="S63" i="106" s="1"/>
  <c r="S64" i="106" s="1"/>
  <c r="S65" i="106" s="1"/>
  <c r="S66" i="106" s="1"/>
  <c r="S67" i="106" s="1"/>
  <c r="S68" i="106" s="1"/>
  <c r="S69" i="106" s="1"/>
  <c r="S70" i="106" s="1"/>
  <c r="S71" i="106" s="1"/>
  <c r="S72" i="106" s="1"/>
  <c r="S73" i="106" s="1"/>
  <c r="S74" i="106" s="1"/>
  <c r="S75" i="106" s="1"/>
  <c r="S76" i="106" s="1"/>
  <c r="S77" i="106" s="1"/>
  <c r="S78" i="106" s="1"/>
  <c r="S79" i="106" s="1"/>
  <c r="S80" i="106" s="1"/>
  <c r="S81" i="106" s="1"/>
  <c r="S82" i="106" s="1"/>
  <c r="S83" i="106" s="1"/>
  <c r="S84" i="106" s="1"/>
  <c r="S85" i="106" s="1"/>
  <c r="S86" i="106" s="1"/>
  <c r="S87" i="106" s="1"/>
  <c r="S88" i="106" s="1"/>
  <c r="S89" i="106" s="1"/>
  <c r="S90" i="106" s="1"/>
  <c r="S91" i="106" s="1"/>
  <c r="S92" i="106" s="1"/>
  <c r="S93" i="106" s="1"/>
  <c r="S94" i="106" s="1"/>
  <c r="M16" i="106"/>
  <c r="M14" i="106" s="1"/>
  <c r="K16" i="106"/>
  <c r="S22" i="104"/>
  <c r="S23" i="104" s="1"/>
  <c r="S24" i="104" s="1"/>
  <c r="S25" i="104" s="1"/>
  <c r="S26" i="104" s="1"/>
  <c r="S27" i="104" s="1"/>
  <c r="O22" i="104"/>
  <c r="O23" i="104" s="1"/>
  <c r="O24" i="104" s="1"/>
  <c r="O25" i="104" s="1"/>
  <c r="O26" i="104" s="1"/>
  <c r="O27" i="104" s="1"/>
  <c r="K28" i="104"/>
  <c r="M28" i="104" s="1"/>
  <c r="S28" i="104" s="1"/>
  <c r="S29" i="104" s="1"/>
  <c r="N27" i="104"/>
  <c r="S22" i="102"/>
  <c r="M25" i="102"/>
  <c r="G11" i="102"/>
  <c r="X13" i="102"/>
  <c r="L14" i="102"/>
  <c r="M13" i="102"/>
  <c r="R14" i="102"/>
  <c r="E14" i="99"/>
  <c r="D14" i="99"/>
  <c r="K13" i="99"/>
  <c r="J13" i="99"/>
  <c r="E13" i="99"/>
  <c r="D13" i="99"/>
  <c r="L12" i="99"/>
  <c r="F12" i="99"/>
  <c r="L11" i="99"/>
  <c r="F11" i="99"/>
  <c r="L5" i="99"/>
  <c r="F5" i="99"/>
  <c r="E14" i="97"/>
  <c r="D14" i="97"/>
  <c r="N28" i="104" l="1"/>
  <c r="N29" i="104" s="1"/>
  <c r="N30" i="104" s="1"/>
  <c r="N31" i="104" s="1"/>
  <c r="N32" i="104" s="1"/>
  <c r="N33" i="104" s="1"/>
  <c r="N34" i="104" s="1"/>
  <c r="N35" i="104" s="1"/>
  <c r="N36" i="104" s="1"/>
  <c r="N37" i="104" s="1"/>
  <c r="N38" i="104" s="1"/>
  <c r="N39" i="104" s="1"/>
  <c r="N40" i="104" s="1"/>
  <c r="N41" i="104" s="1"/>
  <c r="N42" i="104" s="1"/>
  <c r="N43" i="104" s="1"/>
  <c r="N44" i="104" s="1"/>
  <c r="N45" i="104" s="1"/>
  <c r="N46" i="104" s="1"/>
  <c r="N47" i="104" s="1"/>
  <c r="N48" i="104" s="1"/>
  <c r="N49" i="104" s="1"/>
  <c r="N50" i="104" s="1"/>
  <c r="N51" i="104" s="1"/>
  <c r="N52" i="104" s="1"/>
  <c r="N53" i="104" s="1"/>
  <c r="N54" i="104" s="1"/>
  <c r="N55" i="104" s="1"/>
  <c r="N56" i="104" s="1"/>
  <c r="N57" i="104" s="1"/>
  <c r="N58" i="104" s="1"/>
  <c r="N59" i="104" s="1"/>
  <c r="N60" i="104" s="1"/>
  <c r="N61" i="104" s="1"/>
  <c r="N62" i="104" s="1"/>
  <c r="N63" i="104" s="1"/>
  <c r="N64" i="104" s="1"/>
  <c r="N65" i="104" s="1"/>
  <c r="N66" i="104" s="1"/>
  <c r="N67" i="104" s="1"/>
  <c r="N68" i="104" s="1"/>
  <c r="N69" i="104" s="1"/>
  <c r="N70" i="104" s="1"/>
  <c r="N71" i="104" s="1"/>
  <c r="N72" i="104" s="1"/>
  <c r="N73" i="104" s="1"/>
  <c r="N74" i="104" s="1"/>
  <c r="N75" i="104" s="1"/>
  <c r="N76" i="104" s="1"/>
  <c r="N77" i="104" s="1"/>
  <c r="N78" i="104" s="1"/>
  <c r="N79" i="104" s="1"/>
  <c r="N80" i="104" s="1"/>
  <c r="N81" i="104" s="1"/>
  <c r="N82" i="104" s="1"/>
  <c r="N83" i="104" s="1"/>
  <c r="N84" i="104" s="1"/>
  <c r="N85" i="104" s="1"/>
  <c r="N86" i="104" s="1"/>
  <c r="N87" i="104" s="1"/>
  <c r="N88" i="104" s="1"/>
  <c r="N89" i="104" s="1"/>
  <c r="N90" i="104" s="1"/>
  <c r="N91" i="104" s="1"/>
  <c r="N92" i="104" s="1"/>
  <c r="N93" i="104" s="1"/>
  <c r="N94" i="104" s="1"/>
  <c r="N95" i="104" s="1"/>
  <c r="N96" i="104" s="1"/>
  <c r="N97" i="104" s="1"/>
  <c r="N98" i="104" s="1"/>
  <c r="O28" i="104"/>
  <c r="O29" i="104" s="1"/>
  <c r="O30" i="104" s="1"/>
  <c r="O31" i="104" s="1"/>
  <c r="O32" i="104" s="1"/>
  <c r="O33" i="104" s="1"/>
  <c r="O34" i="104" s="1"/>
  <c r="O35" i="104" s="1"/>
  <c r="O36" i="104" s="1"/>
  <c r="O37" i="104" s="1"/>
  <c r="O38" i="104" s="1"/>
  <c r="O39" i="104" s="1"/>
  <c r="O40" i="104" s="1"/>
  <c r="O41" i="104" s="1"/>
  <c r="O42" i="104" s="1"/>
  <c r="O43" i="104" s="1"/>
  <c r="O44" i="104" s="1"/>
  <c r="O45" i="104" s="1"/>
  <c r="O46" i="104" s="1"/>
  <c r="O47" i="104" s="1"/>
  <c r="O48" i="104" s="1"/>
  <c r="O49" i="104" s="1"/>
  <c r="O50" i="104" s="1"/>
  <c r="O51" i="104" s="1"/>
  <c r="O52" i="104" s="1"/>
  <c r="O53" i="104" s="1"/>
  <c r="O54" i="104" s="1"/>
  <c r="O55" i="104" s="1"/>
  <c r="O56" i="104" s="1"/>
  <c r="O57" i="104" s="1"/>
  <c r="O58" i="104" s="1"/>
  <c r="O59" i="104" s="1"/>
  <c r="O60" i="104" s="1"/>
  <c r="O61" i="104" s="1"/>
  <c r="O62" i="104" s="1"/>
  <c r="O63" i="104" s="1"/>
  <c r="O64" i="104" s="1"/>
  <c r="O65" i="104" s="1"/>
  <c r="O66" i="104" s="1"/>
  <c r="O67" i="104" s="1"/>
  <c r="O68" i="104" s="1"/>
  <c r="O69" i="104" s="1"/>
  <c r="O70" i="104" s="1"/>
  <c r="O71" i="104" s="1"/>
  <c r="O72" i="104" s="1"/>
  <c r="O73" i="104" s="1"/>
  <c r="O74" i="104" s="1"/>
  <c r="O75" i="104" s="1"/>
  <c r="O76" i="104" s="1"/>
  <c r="O77" i="104" s="1"/>
  <c r="O78" i="104" s="1"/>
  <c r="O79" i="104" s="1"/>
  <c r="O80" i="104" s="1"/>
  <c r="O81" i="104" s="1"/>
  <c r="O82" i="104" s="1"/>
  <c r="O83" i="104" s="1"/>
  <c r="O84" i="104" s="1"/>
  <c r="O85" i="104" s="1"/>
  <c r="O86" i="104" s="1"/>
  <c r="O87" i="104" s="1"/>
  <c r="O88" i="104" s="1"/>
  <c r="O89" i="104" s="1"/>
  <c r="O90" i="104" s="1"/>
  <c r="O91" i="104" s="1"/>
  <c r="O92" i="104" s="1"/>
  <c r="O93" i="104" s="1"/>
  <c r="O94" i="104" s="1"/>
  <c r="O95" i="104" s="1"/>
  <c r="O96" i="104" s="1"/>
  <c r="O97" i="104" s="1"/>
  <c r="O98" i="104" s="1"/>
  <c r="S30" i="104"/>
  <c r="S31" i="104" s="1"/>
  <c r="L22" i="102"/>
  <c r="K22" i="102" s="1"/>
  <c r="K23" i="102" s="1"/>
  <c r="O22" i="102"/>
  <c r="L85" i="99"/>
  <c r="M85" i="99" s="1"/>
  <c r="L73" i="99"/>
  <c r="M73" i="99" s="1"/>
  <c r="L61" i="99"/>
  <c r="M61" i="99" s="1"/>
  <c r="L49" i="99"/>
  <c r="M49" i="99" s="1"/>
  <c r="L37" i="99"/>
  <c r="M37" i="99" s="1"/>
  <c r="L34" i="99"/>
  <c r="M34" i="99" s="1"/>
  <c r="L28" i="99"/>
  <c r="L93" i="99"/>
  <c r="M93" i="99" s="1"/>
  <c r="L81" i="99"/>
  <c r="M81" i="99" s="1"/>
  <c r="L69" i="99"/>
  <c r="M69" i="99" s="1"/>
  <c r="L57" i="99"/>
  <c r="M57" i="99" s="1"/>
  <c r="L45" i="99"/>
  <c r="M45" i="99" s="1"/>
  <c r="L33" i="99"/>
  <c r="M33" i="99" s="1"/>
  <c r="L80" i="99"/>
  <c r="M80" i="99" s="1"/>
  <c r="L68" i="99"/>
  <c r="M68" i="99" s="1"/>
  <c r="L56" i="99"/>
  <c r="M56" i="99" s="1"/>
  <c r="L44" i="99"/>
  <c r="M44" i="99" s="1"/>
  <c r="L32" i="99"/>
  <c r="M32" i="99" s="1"/>
  <c r="L91" i="99"/>
  <c r="M91" i="99" s="1"/>
  <c r="L79" i="99"/>
  <c r="M79" i="99" s="1"/>
  <c r="L67" i="99"/>
  <c r="M67" i="99" s="1"/>
  <c r="L55" i="99"/>
  <c r="M55" i="99" s="1"/>
  <c r="L43" i="99"/>
  <c r="M43" i="99" s="1"/>
  <c r="L31" i="99"/>
  <c r="M31" i="99" s="1"/>
  <c r="L90" i="99"/>
  <c r="M90" i="99" s="1"/>
  <c r="L78" i="99"/>
  <c r="M78" i="99" s="1"/>
  <c r="L66" i="99"/>
  <c r="M66" i="99" s="1"/>
  <c r="L54" i="99"/>
  <c r="M54" i="99" s="1"/>
  <c r="L42" i="99"/>
  <c r="M42" i="99" s="1"/>
  <c r="L30" i="99"/>
  <c r="M30" i="99" s="1"/>
  <c r="L89" i="99"/>
  <c r="M89" i="99" s="1"/>
  <c r="L77" i="99"/>
  <c r="M77" i="99" s="1"/>
  <c r="L65" i="99"/>
  <c r="M65" i="99" s="1"/>
  <c r="L53" i="99"/>
  <c r="M53" i="99" s="1"/>
  <c r="L41" i="99"/>
  <c r="M41" i="99" s="1"/>
  <c r="L29" i="99"/>
  <c r="M29" i="99" s="1"/>
  <c r="L76" i="99"/>
  <c r="M76" i="99" s="1"/>
  <c r="L64" i="99"/>
  <c r="M64" i="99" s="1"/>
  <c r="L40" i="99"/>
  <c r="M40" i="99" s="1"/>
  <c r="L92" i="99"/>
  <c r="M92" i="99" s="1"/>
  <c r="L88" i="99"/>
  <c r="M88" i="99" s="1"/>
  <c r="L87" i="99"/>
  <c r="M87" i="99" s="1"/>
  <c r="L75" i="99"/>
  <c r="M75" i="99" s="1"/>
  <c r="L63" i="99"/>
  <c r="M63" i="99" s="1"/>
  <c r="L51" i="99"/>
  <c r="M51" i="99" s="1"/>
  <c r="L39" i="99"/>
  <c r="M39" i="99" s="1"/>
  <c r="L86" i="99"/>
  <c r="M86" i="99" s="1"/>
  <c r="L74" i="99"/>
  <c r="M74" i="99" s="1"/>
  <c r="L62" i="99"/>
  <c r="M62" i="99" s="1"/>
  <c r="L50" i="99"/>
  <c r="M50" i="99" s="1"/>
  <c r="L38" i="99"/>
  <c r="M38" i="99" s="1"/>
  <c r="L84" i="99"/>
  <c r="M84" i="99" s="1"/>
  <c r="L72" i="99"/>
  <c r="M72" i="99" s="1"/>
  <c r="L60" i="99"/>
  <c r="M60" i="99" s="1"/>
  <c r="L48" i="99"/>
  <c r="M48" i="99" s="1"/>
  <c r="L36" i="99"/>
  <c r="M36" i="99" s="1"/>
  <c r="L83" i="99"/>
  <c r="M83" i="99" s="1"/>
  <c r="L71" i="99"/>
  <c r="M71" i="99" s="1"/>
  <c r="L59" i="99"/>
  <c r="M59" i="99" s="1"/>
  <c r="L47" i="99"/>
  <c r="M47" i="99" s="1"/>
  <c r="L35" i="99"/>
  <c r="M35" i="99" s="1"/>
  <c r="L82" i="99"/>
  <c r="M82" i="99" s="1"/>
  <c r="L70" i="99"/>
  <c r="M70" i="99" s="1"/>
  <c r="L58" i="99"/>
  <c r="M58" i="99" s="1"/>
  <c r="L46" i="99"/>
  <c r="M46" i="99" s="1"/>
  <c r="L52" i="99"/>
  <c r="M52" i="99" s="1"/>
  <c r="J14" i="99"/>
  <c r="G12" i="99"/>
  <c r="K14" i="99"/>
  <c r="M5" i="99"/>
  <c r="F13" i="99"/>
  <c r="P14" i="99"/>
  <c r="F14" i="99"/>
  <c r="Q14" i="99"/>
  <c r="L13" i="99"/>
  <c r="O13" i="94"/>
  <c r="M23" i="102" l="1"/>
  <c r="S23" i="102" s="1"/>
  <c r="S24" i="102" s="1"/>
  <c r="S25" i="102" s="1"/>
  <c r="S26" i="102" s="1"/>
  <c r="S27" i="102" s="1"/>
  <c r="S28" i="102" s="1"/>
  <c r="S29" i="102" s="1"/>
  <c r="S30" i="102" s="1"/>
  <c r="S31" i="102" s="1"/>
  <c r="S32" i="102" s="1"/>
  <c r="S33" i="102" s="1"/>
  <c r="S34" i="102" s="1"/>
  <c r="S35" i="102" s="1"/>
  <c r="S36" i="102" s="1"/>
  <c r="S37" i="102" s="1"/>
  <c r="S38" i="102" s="1"/>
  <c r="S39" i="102" s="1"/>
  <c r="S40" i="102" s="1"/>
  <c r="S41" i="102" s="1"/>
  <c r="S42" i="102" s="1"/>
  <c r="S43" i="102" s="1"/>
  <c r="S44" i="102" s="1"/>
  <c r="S45" i="102" s="1"/>
  <c r="S46" i="102" s="1"/>
  <c r="S47" i="102" s="1"/>
  <c r="S48" i="102" s="1"/>
  <c r="S49" i="102" s="1"/>
  <c r="S50" i="102" s="1"/>
  <c r="S51" i="102" s="1"/>
  <c r="S52" i="102" s="1"/>
  <c r="S53" i="102" s="1"/>
  <c r="S54" i="102" s="1"/>
  <c r="S55" i="102" s="1"/>
  <c r="S56" i="102" s="1"/>
  <c r="S57" i="102" s="1"/>
  <c r="S58" i="102" s="1"/>
  <c r="S59" i="102" s="1"/>
  <c r="S60" i="102" s="1"/>
  <c r="S61" i="102" s="1"/>
  <c r="S62" i="102" s="1"/>
  <c r="S63" i="102" s="1"/>
  <c r="S64" i="102" s="1"/>
  <c r="S65" i="102" s="1"/>
  <c r="S66" i="102" s="1"/>
  <c r="S67" i="102" s="1"/>
  <c r="S68" i="102" s="1"/>
  <c r="S69" i="102" s="1"/>
  <c r="S70" i="102" s="1"/>
  <c r="S71" i="102" s="1"/>
  <c r="S72" i="102" s="1"/>
  <c r="S73" i="102" s="1"/>
  <c r="S74" i="102" s="1"/>
  <c r="S75" i="102" s="1"/>
  <c r="S76" i="102" s="1"/>
  <c r="S77" i="102" s="1"/>
  <c r="S78" i="102" s="1"/>
  <c r="S79" i="102" s="1"/>
  <c r="S80" i="102" s="1"/>
  <c r="S81" i="102" s="1"/>
  <c r="S82" i="102" s="1"/>
  <c r="S83" i="102" s="1"/>
  <c r="S84" i="102" s="1"/>
  <c r="S85" i="102" s="1"/>
  <c r="S86" i="102" s="1"/>
  <c r="S87" i="102" s="1"/>
  <c r="S88" i="102" s="1"/>
  <c r="S89" i="102" s="1"/>
  <c r="S90" i="102" s="1"/>
  <c r="S91" i="102" s="1"/>
  <c r="S92" i="102" s="1"/>
  <c r="K16" i="102"/>
  <c r="N22" i="102"/>
  <c r="N23" i="102" s="1"/>
  <c r="N24" i="102" s="1"/>
  <c r="N25" i="102" s="1"/>
  <c r="N26" i="102" s="1"/>
  <c r="N27" i="102" s="1"/>
  <c r="N28" i="102" s="1"/>
  <c r="N29" i="102" s="1"/>
  <c r="N30" i="102" s="1"/>
  <c r="N31" i="102" s="1"/>
  <c r="N32" i="102" s="1"/>
  <c r="N33" i="102" s="1"/>
  <c r="N34" i="102" s="1"/>
  <c r="N35" i="102" s="1"/>
  <c r="N36" i="102" s="1"/>
  <c r="N37" i="102" s="1"/>
  <c r="N38" i="102" s="1"/>
  <c r="N39" i="102" s="1"/>
  <c r="N40" i="102" s="1"/>
  <c r="N41" i="102" s="1"/>
  <c r="N42" i="102" s="1"/>
  <c r="N43" i="102" s="1"/>
  <c r="N44" i="102" s="1"/>
  <c r="N45" i="102" s="1"/>
  <c r="N46" i="102" s="1"/>
  <c r="N47" i="102" s="1"/>
  <c r="N48" i="102" s="1"/>
  <c r="N49" i="102" s="1"/>
  <c r="N50" i="102" s="1"/>
  <c r="N51" i="102" s="1"/>
  <c r="N52" i="102" s="1"/>
  <c r="N53" i="102" s="1"/>
  <c r="N54" i="102" s="1"/>
  <c r="N55" i="102" s="1"/>
  <c r="N56" i="102" s="1"/>
  <c r="N57" i="102" s="1"/>
  <c r="N58" i="102" s="1"/>
  <c r="N59" i="102" s="1"/>
  <c r="N60" i="102" s="1"/>
  <c r="N61" i="102" s="1"/>
  <c r="N62" i="102" s="1"/>
  <c r="N63" i="102" s="1"/>
  <c r="N64" i="102" s="1"/>
  <c r="N65" i="102" s="1"/>
  <c r="N66" i="102" s="1"/>
  <c r="N67" i="102" s="1"/>
  <c r="N68" i="102" s="1"/>
  <c r="N69" i="102" s="1"/>
  <c r="N70" i="102" s="1"/>
  <c r="N71" i="102" s="1"/>
  <c r="N72" i="102" s="1"/>
  <c r="N73" i="102" s="1"/>
  <c r="N74" i="102" s="1"/>
  <c r="N75" i="102" s="1"/>
  <c r="N76" i="102" s="1"/>
  <c r="N77" i="102" s="1"/>
  <c r="N78" i="102" s="1"/>
  <c r="N79" i="102" s="1"/>
  <c r="N80" i="102" s="1"/>
  <c r="N81" i="102" s="1"/>
  <c r="N82" i="102" s="1"/>
  <c r="N83" i="102" s="1"/>
  <c r="N84" i="102" s="1"/>
  <c r="N85" i="102" s="1"/>
  <c r="N86" i="102" s="1"/>
  <c r="N87" i="102" s="1"/>
  <c r="N88" i="102" s="1"/>
  <c r="N89" i="102" s="1"/>
  <c r="N90" i="102" s="1"/>
  <c r="N91" i="102" s="1"/>
  <c r="N92" i="102" s="1"/>
  <c r="K16" i="104"/>
  <c r="G13" i="99"/>
  <c r="G11" i="99" s="1"/>
  <c r="L14" i="99"/>
  <c r="X13" i="99"/>
  <c r="R14" i="99"/>
  <c r="O19" i="97"/>
  <c r="O20" i="97" s="1"/>
  <c r="N19" i="97"/>
  <c r="N20" i="97" s="1"/>
  <c r="N21" i="97" s="1"/>
  <c r="N22" i="97" s="1"/>
  <c r="N23" i="97" s="1"/>
  <c r="N24" i="97" s="1"/>
  <c r="N25" i="97" s="1"/>
  <c r="N26" i="97" s="1"/>
  <c r="N27" i="97" s="1"/>
  <c r="N28" i="97" s="1"/>
  <c r="N29" i="97" s="1"/>
  <c r="N30" i="97" s="1"/>
  <c r="N31" i="97" s="1"/>
  <c r="N32" i="97" s="1"/>
  <c r="N33" i="97" s="1"/>
  <c r="N34" i="97" s="1"/>
  <c r="N35" i="97" s="1"/>
  <c r="N36" i="97" s="1"/>
  <c r="N37" i="97" s="1"/>
  <c r="N38" i="97" s="1"/>
  <c r="N39" i="97" s="1"/>
  <c r="N40" i="97" s="1"/>
  <c r="N41" i="97" s="1"/>
  <c r="N42" i="97" s="1"/>
  <c r="N43" i="97" s="1"/>
  <c r="N44" i="97" s="1"/>
  <c r="N45" i="97" s="1"/>
  <c r="N46" i="97" s="1"/>
  <c r="N47" i="97" s="1"/>
  <c r="N48" i="97" s="1"/>
  <c r="N49" i="97" s="1"/>
  <c r="N50" i="97" s="1"/>
  <c r="N51" i="97" s="1"/>
  <c r="N52" i="97" s="1"/>
  <c r="N53" i="97" s="1"/>
  <c r="N54" i="97" s="1"/>
  <c r="N55" i="97" s="1"/>
  <c r="N56" i="97" s="1"/>
  <c r="N57" i="97" s="1"/>
  <c r="N58" i="97" s="1"/>
  <c r="N59" i="97" s="1"/>
  <c r="N60" i="97" s="1"/>
  <c r="N61" i="97" s="1"/>
  <c r="N62" i="97" s="1"/>
  <c r="N63" i="97" s="1"/>
  <c r="N64" i="97" s="1"/>
  <c r="N65" i="97" s="1"/>
  <c r="N66" i="97" s="1"/>
  <c r="N67" i="97" s="1"/>
  <c r="N68" i="97" s="1"/>
  <c r="M16" i="102" l="1"/>
  <c r="M14" i="102" s="1"/>
  <c r="O23" i="102"/>
  <c r="O24" i="102" s="1"/>
  <c r="O25" i="102" s="1"/>
  <c r="O26" i="102" s="1"/>
  <c r="O27" i="102" s="1"/>
  <c r="O28" i="102" s="1"/>
  <c r="O29" i="102" s="1"/>
  <c r="O30" i="102" s="1"/>
  <c r="O31" i="102" s="1"/>
  <c r="O32" i="102" s="1"/>
  <c r="O33" i="102" s="1"/>
  <c r="O34" i="102" s="1"/>
  <c r="O35" i="102" s="1"/>
  <c r="O36" i="102" s="1"/>
  <c r="O37" i="102" s="1"/>
  <c r="O38" i="102" s="1"/>
  <c r="O39" i="102" s="1"/>
  <c r="O40" i="102" s="1"/>
  <c r="O41" i="102" s="1"/>
  <c r="O42" i="102" s="1"/>
  <c r="O43" i="102" s="1"/>
  <c r="O44" i="102" s="1"/>
  <c r="O45" i="102" s="1"/>
  <c r="O46" i="102" s="1"/>
  <c r="O47" i="102" s="1"/>
  <c r="O48" i="102" s="1"/>
  <c r="O49" i="102" s="1"/>
  <c r="O50" i="102" s="1"/>
  <c r="O51" i="102" s="1"/>
  <c r="O52" i="102" s="1"/>
  <c r="O53" i="102" s="1"/>
  <c r="O54" i="102" s="1"/>
  <c r="O55" i="102" s="1"/>
  <c r="O56" i="102" s="1"/>
  <c r="O57" i="102" s="1"/>
  <c r="O58" i="102" s="1"/>
  <c r="O59" i="102" s="1"/>
  <c r="O60" i="102" s="1"/>
  <c r="O61" i="102" s="1"/>
  <c r="O62" i="102" s="1"/>
  <c r="O63" i="102" s="1"/>
  <c r="O64" i="102" s="1"/>
  <c r="O65" i="102" s="1"/>
  <c r="O66" i="102" s="1"/>
  <c r="O67" i="102" s="1"/>
  <c r="O68" i="102" s="1"/>
  <c r="O69" i="102" s="1"/>
  <c r="O70" i="102" s="1"/>
  <c r="O71" i="102" s="1"/>
  <c r="O72" i="102" s="1"/>
  <c r="O73" i="102" s="1"/>
  <c r="O74" i="102" s="1"/>
  <c r="O75" i="102" s="1"/>
  <c r="O76" i="102" s="1"/>
  <c r="O77" i="102" s="1"/>
  <c r="O78" i="102" s="1"/>
  <c r="O79" i="102" s="1"/>
  <c r="O80" i="102" s="1"/>
  <c r="O81" i="102" s="1"/>
  <c r="O82" i="102" s="1"/>
  <c r="O83" i="102" s="1"/>
  <c r="O84" i="102" s="1"/>
  <c r="O85" i="102" s="1"/>
  <c r="O86" i="102" s="1"/>
  <c r="O87" i="102" s="1"/>
  <c r="O88" i="102" s="1"/>
  <c r="O89" i="102" s="1"/>
  <c r="O90" i="102" s="1"/>
  <c r="O91" i="102" s="1"/>
  <c r="O92" i="102" s="1"/>
  <c r="S32" i="104"/>
  <c r="S33" i="104" s="1"/>
  <c r="S34" i="104" s="1"/>
  <c r="S35" i="104" s="1"/>
  <c r="S36" i="104" s="1"/>
  <c r="S37" i="104" s="1"/>
  <c r="S38" i="104" s="1"/>
  <c r="S39" i="104" s="1"/>
  <c r="S40" i="104" s="1"/>
  <c r="S41" i="104" s="1"/>
  <c r="S42" i="104" s="1"/>
  <c r="S43" i="104" s="1"/>
  <c r="S44" i="104" s="1"/>
  <c r="S45" i="104" s="1"/>
  <c r="S46" i="104" s="1"/>
  <c r="S47" i="104" s="1"/>
  <c r="S48" i="104" s="1"/>
  <c r="S49" i="104" s="1"/>
  <c r="S50" i="104" s="1"/>
  <c r="S51" i="104" s="1"/>
  <c r="S52" i="104" s="1"/>
  <c r="S53" i="104" s="1"/>
  <c r="S54" i="104" s="1"/>
  <c r="S55" i="104" s="1"/>
  <c r="S56" i="104" s="1"/>
  <c r="S57" i="104" s="1"/>
  <c r="S58" i="104" s="1"/>
  <c r="S59" i="104" s="1"/>
  <c r="S60" i="104" s="1"/>
  <c r="S61" i="104" s="1"/>
  <c r="S62" i="104" s="1"/>
  <c r="S63" i="104" s="1"/>
  <c r="S64" i="104" s="1"/>
  <c r="S65" i="104" s="1"/>
  <c r="S66" i="104" s="1"/>
  <c r="S67" i="104" s="1"/>
  <c r="S68" i="104" s="1"/>
  <c r="S69" i="104" s="1"/>
  <c r="S70" i="104" s="1"/>
  <c r="S71" i="104" s="1"/>
  <c r="S72" i="104" s="1"/>
  <c r="S73" i="104" s="1"/>
  <c r="S74" i="104" s="1"/>
  <c r="S75" i="104" s="1"/>
  <c r="S76" i="104" s="1"/>
  <c r="S77" i="104" s="1"/>
  <c r="S78" i="104" s="1"/>
  <c r="S79" i="104" s="1"/>
  <c r="S80" i="104" s="1"/>
  <c r="S81" i="104" s="1"/>
  <c r="S82" i="104" s="1"/>
  <c r="S83" i="104" s="1"/>
  <c r="S84" i="104" s="1"/>
  <c r="S85" i="104" s="1"/>
  <c r="S86" i="104" s="1"/>
  <c r="S87" i="104" s="1"/>
  <c r="S88" i="104" s="1"/>
  <c r="S89" i="104" s="1"/>
  <c r="S90" i="104" s="1"/>
  <c r="S91" i="104" s="1"/>
  <c r="S92" i="104" s="1"/>
  <c r="S93" i="104" s="1"/>
  <c r="S94" i="104" s="1"/>
  <c r="S95" i="104" s="1"/>
  <c r="S96" i="104" s="1"/>
  <c r="S97" i="104" s="1"/>
  <c r="S98" i="104" s="1"/>
  <c r="M16" i="104"/>
  <c r="K13" i="97"/>
  <c r="J13" i="97"/>
  <c r="E13" i="97"/>
  <c r="G12" i="97" s="1"/>
  <c r="D13" i="97"/>
  <c r="L12" i="97"/>
  <c r="F12" i="97"/>
  <c r="L11" i="97"/>
  <c r="F11" i="97"/>
  <c r="L10" i="97"/>
  <c r="F10" i="97"/>
  <c r="L9" i="97"/>
  <c r="F9" i="97"/>
  <c r="L8" i="97"/>
  <c r="F8" i="97"/>
  <c r="L7" i="97"/>
  <c r="F7" i="97"/>
  <c r="L6" i="97"/>
  <c r="F6" i="97"/>
  <c r="L5" i="97"/>
  <c r="F5" i="97"/>
  <c r="O8" i="94"/>
  <c r="O9" i="94" s="1"/>
  <c r="L10" i="94"/>
  <c r="M14" i="104" l="1"/>
  <c r="L25" i="99"/>
  <c r="L19" i="99"/>
  <c r="L27" i="99"/>
  <c r="K27" i="99" s="1"/>
  <c r="L26" i="99"/>
  <c r="M26" i="99" s="1"/>
  <c r="L24" i="99"/>
  <c r="M24" i="99" s="1"/>
  <c r="L23" i="99"/>
  <c r="M23" i="99" s="1"/>
  <c r="L22" i="99"/>
  <c r="M22" i="99" s="1"/>
  <c r="L20" i="97"/>
  <c r="L91" i="97"/>
  <c r="M91" i="97" s="1"/>
  <c r="L79" i="97"/>
  <c r="M79" i="97" s="1"/>
  <c r="L90" i="97"/>
  <c r="M90" i="97" s="1"/>
  <c r="L78" i="97"/>
  <c r="M78" i="97" s="1"/>
  <c r="L93" i="97"/>
  <c r="M93" i="97" s="1"/>
  <c r="L89" i="97"/>
  <c r="M89" i="97" s="1"/>
  <c r="L77" i="97"/>
  <c r="M77" i="97" s="1"/>
  <c r="L88" i="97"/>
  <c r="M88" i="97" s="1"/>
  <c r="L76" i="97"/>
  <c r="M76" i="97" s="1"/>
  <c r="L80" i="97"/>
  <c r="M80" i="97" s="1"/>
  <c r="L87" i="97"/>
  <c r="M87" i="97" s="1"/>
  <c r="L75" i="97"/>
  <c r="M75" i="97" s="1"/>
  <c r="L86" i="97"/>
  <c r="M86" i="97" s="1"/>
  <c r="L74" i="97"/>
  <c r="M74" i="97" s="1"/>
  <c r="L97" i="97"/>
  <c r="M97" i="97" s="1"/>
  <c r="L85" i="97"/>
  <c r="M85" i="97" s="1"/>
  <c r="L73" i="97"/>
  <c r="M73" i="97" s="1"/>
  <c r="L96" i="97"/>
  <c r="M96" i="97" s="1"/>
  <c r="L84" i="97"/>
  <c r="M84" i="97" s="1"/>
  <c r="L72" i="97"/>
  <c r="L95" i="97"/>
  <c r="M95" i="97" s="1"/>
  <c r="L83" i="97"/>
  <c r="M83" i="97" s="1"/>
  <c r="L71" i="97"/>
  <c r="M71" i="97" s="1"/>
  <c r="L92" i="97"/>
  <c r="M92" i="97" s="1"/>
  <c r="L94" i="97"/>
  <c r="M94" i="97" s="1"/>
  <c r="L82" i="97"/>
  <c r="M82" i="97" s="1"/>
  <c r="L70" i="97"/>
  <c r="L81" i="97"/>
  <c r="M81" i="97" s="1"/>
  <c r="M12" i="97"/>
  <c r="M11" i="97"/>
  <c r="F14" i="97"/>
  <c r="M5" i="97"/>
  <c r="L13" i="97"/>
  <c r="P14" i="97"/>
  <c r="M9" i="97"/>
  <c r="M7" i="97"/>
  <c r="M8" i="97"/>
  <c r="F13" i="97"/>
  <c r="X13" i="97" s="1"/>
  <c r="M10" i="97"/>
  <c r="M6" i="97"/>
  <c r="Q14" i="97"/>
  <c r="L11" i="94"/>
  <c r="K28" i="99" l="1"/>
  <c r="M28" i="99" s="1"/>
  <c r="S28" i="99" s="1"/>
  <c r="S29" i="99" s="1"/>
  <c r="S30" i="99" s="1"/>
  <c r="S31" i="99" s="1"/>
  <c r="S32" i="99" s="1"/>
  <c r="S33" i="99" s="1"/>
  <c r="S34" i="99" s="1"/>
  <c r="S35" i="99" s="1"/>
  <c r="S36" i="99" s="1"/>
  <c r="S37" i="99" s="1"/>
  <c r="S38" i="99" s="1"/>
  <c r="S39" i="99" s="1"/>
  <c r="S40" i="99" s="1"/>
  <c r="S41" i="99" s="1"/>
  <c r="S42" i="99" s="1"/>
  <c r="S43" i="99" s="1"/>
  <c r="S44" i="99" s="1"/>
  <c r="S45" i="99" s="1"/>
  <c r="S46" i="99" s="1"/>
  <c r="S47" i="99" s="1"/>
  <c r="S48" i="99" s="1"/>
  <c r="S49" i="99" s="1"/>
  <c r="S50" i="99" s="1"/>
  <c r="S51" i="99" s="1"/>
  <c r="S52" i="99" s="1"/>
  <c r="S53" i="99" s="1"/>
  <c r="S54" i="99" s="1"/>
  <c r="S55" i="99" s="1"/>
  <c r="S56" i="99" s="1"/>
  <c r="S57" i="99" s="1"/>
  <c r="S58" i="99" s="1"/>
  <c r="S59" i="99" s="1"/>
  <c r="S60" i="99" s="1"/>
  <c r="S61" i="99" s="1"/>
  <c r="S62" i="99" s="1"/>
  <c r="S63" i="99" s="1"/>
  <c r="S64" i="99" s="1"/>
  <c r="S65" i="99" s="1"/>
  <c r="S66" i="99" s="1"/>
  <c r="S67" i="99" s="1"/>
  <c r="S68" i="99" s="1"/>
  <c r="S69" i="99" s="1"/>
  <c r="S70" i="99" s="1"/>
  <c r="S71" i="99" s="1"/>
  <c r="S72" i="99" s="1"/>
  <c r="S73" i="99" s="1"/>
  <c r="S74" i="99" s="1"/>
  <c r="S75" i="99" s="1"/>
  <c r="S76" i="99" s="1"/>
  <c r="S77" i="99" s="1"/>
  <c r="S78" i="99" s="1"/>
  <c r="S79" i="99" s="1"/>
  <c r="S80" i="99" s="1"/>
  <c r="S81" i="99" s="1"/>
  <c r="S82" i="99" s="1"/>
  <c r="S83" i="99" s="1"/>
  <c r="S84" i="99" s="1"/>
  <c r="S85" i="99" s="1"/>
  <c r="S86" i="99" s="1"/>
  <c r="S87" i="99" s="1"/>
  <c r="S88" i="99" s="1"/>
  <c r="S89" i="99" s="1"/>
  <c r="S90" i="99" s="1"/>
  <c r="S91" i="99" s="1"/>
  <c r="S92" i="99" s="1"/>
  <c r="S93" i="99" s="1"/>
  <c r="N27" i="99"/>
  <c r="R14" i="97"/>
  <c r="G13" i="97"/>
  <c r="G11" i="97" s="1"/>
  <c r="M13" i="97"/>
  <c r="O19" i="94"/>
  <c r="O20" i="94" s="1"/>
  <c r="N19" i="94"/>
  <c r="N20" i="94" s="1"/>
  <c r="N21" i="94" s="1"/>
  <c r="N22" i="94" s="1"/>
  <c r="N23" i="94" s="1"/>
  <c r="N24" i="94" s="1"/>
  <c r="N25" i="94" s="1"/>
  <c r="N26" i="94" s="1"/>
  <c r="N27" i="94" s="1"/>
  <c r="N28" i="94" s="1"/>
  <c r="N29" i="94" s="1"/>
  <c r="N30" i="94" s="1"/>
  <c r="N31" i="94" s="1"/>
  <c r="N32" i="94" s="1"/>
  <c r="N33" i="94" s="1"/>
  <c r="N34" i="94" s="1"/>
  <c r="N35" i="94" s="1"/>
  <c r="N36" i="94" s="1"/>
  <c r="N37" i="94" s="1"/>
  <c r="N38" i="94" s="1"/>
  <c r="N39" i="94" s="1"/>
  <c r="N40" i="94" s="1"/>
  <c r="N41" i="94" s="1"/>
  <c r="N42" i="94" s="1"/>
  <c r="N43" i="94" s="1"/>
  <c r="N44" i="94" s="1"/>
  <c r="N45" i="94" s="1"/>
  <c r="N46" i="94" s="1"/>
  <c r="N47" i="94" s="1"/>
  <c r="N48" i="94" s="1"/>
  <c r="N49" i="94" s="1"/>
  <c r="N50" i="94" s="1"/>
  <c r="N51" i="94" s="1"/>
  <c r="N52" i="94" s="1"/>
  <c r="N53" i="94" s="1"/>
  <c r="N54" i="94" s="1"/>
  <c r="N55" i="94" s="1"/>
  <c r="N56" i="94" s="1"/>
  <c r="N57" i="94" s="1"/>
  <c r="N58" i="94" s="1"/>
  <c r="N59" i="94" s="1"/>
  <c r="N60" i="94" s="1"/>
  <c r="N61" i="94" s="1"/>
  <c r="N62" i="94" s="1"/>
  <c r="N63" i="94" s="1"/>
  <c r="N64" i="94" s="1"/>
  <c r="N65" i="94" s="1"/>
  <c r="N66" i="94" s="1"/>
  <c r="N67" i="94" s="1"/>
  <c r="N28" i="99" l="1"/>
  <c r="N29" i="99" s="1"/>
  <c r="N30" i="99" s="1"/>
  <c r="N31" i="99" s="1"/>
  <c r="N32" i="99" s="1"/>
  <c r="N33" i="99" s="1"/>
  <c r="N34" i="99" s="1"/>
  <c r="N35" i="99" s="1"/>
  <c r="N36" i="99" s="1"/>
  <c r="N37" i="99" s="1"/>
  <c r="N38" i="99" s="1"/>
  <c r="N39" i="99" s="1"/>
  <c r="N40" i="99" s="1"/>
  <c r="N41" i="99" s="1"/>
  <c r="N42" i="99" s="1"/>
  <c r="N43" i="99" s="1"/>
  <c r="N44" i="99" s="1"/>
  <c r="N45" i="99" s="1"/>
  <c r="N46" i="99" s="1"/>
  <c r="N47" i="99" s="1"/>
  <c r="N48" i="99" s="1"/>
  <c r="N49" i="99" s="1"/>
  <c r="N50" i="99" s="1"/>
  <c r="N51" i="99" s="1"/>
  <c r="N52" i="99" s="1"/>
  <c r="N53" i="99" s="1"/>
  <c r="N54" i="99" s="1"/>
  <c r="N55" i="99" s="1"/>
  <c r="N56" i="99" s="1"/>
  <c r="N57" i="99" s="1"/>
  <c r="N58" i="99" s="1"/>
  <c r="N59" i="99" s="1"/>
  <c r="N60" i="99" s="1"/>
  <c r="N61" i="99" s="1"/>
  <c r="N62" i="99" s="1"/>
  <c r="N63" i="99" s="1"/>
  <c r="N64" i="99" s="1"/>
  <c r="N65" i="99" s="1"/>
  <c r="N66" i="99" s="1"/>
  <c r="N67" i="99" s="1"/>
  <c r="N68" i="99" s="1"/>
  <c r="N69" i="99" s="1"/>
  <c r="N70" i="99" s="1"/>
  <c r="N71" i="99" s="1"/>
  <c r="N72" i="99" s="1"/>
  <c r="N73" i="99" s="1"/>
  <c r="N74" i="99" s="1"/>
  <c r="N75" i="99" s="1"/>
  <c r="N76" i="99" s="1"/>
  <c r="N77" i="99" s="1"/>
  <c r="N78" i="99" s="1"/>
  <c r="N79" i="99" s="1"/>
  <c r="N80" i="99" s="1"/>
  <c r="N81" i="99" s="1"/>
  <c r="N82" i="99" s="1"/>
  <c r="N83" i="99" s="1"/>
  <c r="N84" i="99" s="1"/>
  <c r="N85" i="99" s="1"/>
  <c r="N86" i="99" s="1"/>
  <c r="N87" i="99" s="1"/>
  <c r="N88" i="99" s="1"/>
  <c r="N89" i="99" s="1"/>
  <c r="N90" i="99" s="1"/>
  <c r="N91" i="99" s="1"/>
  <c r="N92" i="99" s="1"/>
  <c r="N93" i="99" s="1"/>
  <c r="M19" i="99"/>
  <c r="L69" i="97"/>
  <c r="L57" i="97"/>
  <c r="M57" i="97" s="1"/>
  <c r="L22" i="97"/>
  <c r="M22" i="97" s="1"/>
  <c r="L39" i="97"/>
  <c r="M39" i="97" s="1"/>
  <c r="L27" i="97"/>
  <c r="M27" i="97" s="1"/>
  <c r="L36" i="97"/>
  <c r="M36" i="97" s="1"/>
  <c r="L52" i="97"/>
  <c r="M52" i="97" s="1"/>
  <c r="L62" i="97"/>
  <c r="M62" i="97" s="1"/>
  <c r="L42" i="97"/>
  <c r="M42" i="97" s="1"/>
  <c r="L23" i="97"/>
  <c r="M23" i="97" s="1"/>
  <c r="L68" i="97"/>
  <c r="M68" i="97" s="1"/>
  <c r="L56" i="97"/>
  <c r="M56" i="97" s="1"/>
  <c r="L21" i="97"/>
  <c r="M21" i="97" s="1"/>
  <c r="L38" i="97"/>
  <c r="M38" i="97" s="1"/>
  <c r="L26" i="97"/>
  <c r="M26" i="97" s="1"/>
  <c r="L53" i="97"/>
  <c r="M53" i="97" s="1"/>
  <c r="L46" i="97"/>
  <c r="M46" i="97" s="1"/>
  <c r="L50" i="97"/>
  <c r="M50" i="97" s="1"/>
  <c r="L60" i="97"/>
  <c r="M60" i="97" s="1"/>
  <c r="L58" i="97"/>
  <c r="M58" i="97" s="1"/>
  <c r="L28" i="97"/>
  <c r="M28" i="97" s="1"/>
  <c r="L67" i="97"/>
  <c r="M67" i="97" s="1"/>
  <c r="L55" i="97"/>
  <c r="M55" i="97" s="1"/>
  <c r="L49" i="97"/>
  <c r="M49" i="97" s="1"/>
  <c r="L37" i="97"/>
  <c r="M37" i="97" s="1"/>
  <c r="L54" i="97"/>
  <c r="M54" i="97" s="1"/>
  <c r="L35" i="97"/>
  <c r="M35" i="97" s="1"/>
  <c r="L34" i="97"/>
  <c r="M34" i="97" s="1"/>
  <c r="L45" i="97"/>
  <c r="M45" i="97" s="1"/>
  <c r="I25" i="97"/>
  <c r="J25" i="97" s="1"/>
  <c r="L24" i="97"/>
  <c r="M24" i="97" s="1"/>
  <c r="L66" i="97"/>
  <c r="M66" i="97" s="1"/>
  <c r="L48" i="97"/>
  <c r="M48" i="97" s="1"/>
  <c r="L63" i="97"/>
  <c r="M63" i="97" s="1"/>
  <c r="L61" i="97"/>
  <c r="M61" i="97" s="1"/>
  <c r="L59" i="97"/>
  <c r="M59" i="97" s="1"/>
  <c r="L65" i="97"/>
  <c r="M65" i="97" s="1"/>
  <c r="L47" i="97"/>
  <c r="M47" i="97" s="1"/>
  <c r="L51" i="97"/>
  <c r="M51" i="97" s="1"/>
  <c r="L44" i="97"/>
  <c r="M44" i="97" s="1"/>
  <c r="L31" i="97"/>
  <c r="M31" i="97" s="1"/>
  <c r="L41" i="97"/>
  <c r="M41" i="97" s="1"/>
  <c r="L64" i="97"/>
  <c r="M64" i="97" s="1"/>
  <c r="L33" i="97"/>
  <c r="M33" i="97" s="1"/>
  <c r="L32" i="97"/>
  <c r="M32" i="97" s="1"/>
  <c r="L43" i="97"/>
  <c r="M43" i="97" s="1"/>
  <c r="L29" i="97"/>
  <c r="M29" i="97" s="1"/>
  <c r="L25" i="97"/>
  <c r="M25" i="97" s="1"/>
  <c r="L30" i="97"/>
  <c r="M30" i="97" s="1"/>
  <c r="L40" i="97"/>
  <c r="M40" i="97" s="1"/>
  <c r="L90" i="94"/>
  <c r="M90" i="94" s="1"/>
  <c r="L78" i="94"/>
  <c r="M78" i="94" s="1"/>
  <c r="L89" i="94"/>
  <c r="M89" i="94" s="1"/>
  <c r="L77" i="94"/>
  <c r="M77" i="94" s="1"/>
  <c r="L86" i="94"/>
  <c r="M86" i="94" s="1"/>
  <c r="L73" i="94"/>
  <c r="M73" i="94" s="1"/>
  <c r="L88" i="94"/>
  <c r="L76" i="94"/>
  <c r="M76" i="94" s="1"/>
  <c r="L87" i="94"/>
  <c r="M87" i="94" s="1"/>
  <c r="L75" i="94"/>
  <c r="M75" i="94" s="1"/>
  <c r="L74" i="94"/>
  <c r="M74" i="94" s="1"/>
  <c r="L85" i="94"/>
  <c r="M85" i="94" s="1"/>
  <c r="L84" i="94"/>
  <c r="M84" i="94" s="1"/>
  <c r="L72" i="94"/>
  <c r="M72" i="94" s="1"/>
  <c r="L83" i="94"/>
  <c r="L71" i="94"/>
  <c r="M71" i="94" s="1"/>
  <c r="L92" i="94"/>
  <c r="M92" i="94" s="1"/>
  <c r="L91" i="94"/>
  <c r="M91" i="94" s="1"/>
  <c r="L79" i="94"/>
  <c r="L82" i="94"/>
  <c r="M82" i="94" s="1"/>
  <c r="L70" i="94"/>
  <c r="M70" i="94" s="1"/>
  <c r="L81" i="94"/>
  <c r="M81" i="94" s="1"/>
  <c r="L80" i="94"/>
  <c r="M80" i="94" s="1"/>
  <c r="L69" i="94"/>
  <c r="O19" i="99" l="1"/>
  <c r="O20" i="99" s="1"/>
  <c r="O21" i="99" s="1"/>
  <c r="O22" i="99" s="1"/>
  <c r="O23" i="99" s="1"/>
  <c r="O24" i="99" s="1"/>
  <c r="O25" i="99" s="1"/>
  <c r="O26" i="99" s="1"/>
  <c r="O27" i="99" s="1"/>
  <c r="O28" i="99" s="1"/>
  <c r="O29" i="99" s="1"/>
  <c r="O30" i="99" s="1"/>
  <c r="O31" i="99" s="1"/>
  <c r="O32" i="99" s="1"/>
  <c r="O33" i="99" s="1"/>
  <c r="O34" i="99" s="1"/>
  <c r="O35" i="99" s="1"/>
  <c r="O36" i="99" s="1"/>
  <c r="O37" i="99" s="1"/>
  <c r="O38" i="99" s="1"/>
  <c r="O39" i="99" s="1"/>
  <c r="O40" i="99" s="1"/>
  <c r="O41" i="99" s="1"/>
  <c r="O42" i="99" s="1"/>
  <c r="O43" i="99" s="1"/>
  <c r="O44" i="99" s="1"/>
  <c r="O45" i="99" s="1"/>
  <c r="O46" i="99" s="1"/>
  <c r="O47" i="99" s="1"/>
  <c r="O48" i="99" s="1"/>
  <c r="O49" i="99" s="1"/>
  <c r="O50" i="99" s="1"/>
  <c r="O51" i="99" s="1"/>
  <c r="O52" i="99" s="1"/>
  <c r="O53" i="99" s="1"/>
  <c r="O54" i="99" s="1"/>
  <c r="O55" i="99" s="1"/>
  <c r="O56" i="99" s="1"/>
  <c r="O57" i="99" s="1"/>
  <c r="O58" i="99" s="1"/>
  <c r="O59" i="99" s="1"/>
  <c r="O60" i="99" s="1"/>
  <c r="O61" i="99" s="1"/>
  <c r="O62" i="99" s="1"/>
  <c r="O63" i="99" s="1"/>
  <c r="O64" i="99" s="1"/>
  <c r="O65" i="99" s="1"/>
  <c r="O66" i="99" s="1"/>
  <c r="O67" i="99" s="1"/>
  <c r="O68" i="99" s="1"/>
  <c r="O69" i="99" s="1"/>
  <c r="O70" i="99" s="1"/>
  <c r="O71" i="99" s="1"/>
  <c r="O72" i="99" s="1"/>
  <c r="O73" i="99" s="1"/>
  <c r="O74" i="99" s="1"/>
  <c r="O75" i="99" s="1"/>
  <c r="O76" i="99" s="1"/>
  <c r="O77" i="99" s="1"/>
  <c r="O78" i="99" s="1"/>
  <c r="O79" i="99" s="1"/>
  <c r="O80" i="99" s="1"/>
  <c r="O81" i="99" s="1"/>
  <c r="O82" i="99" s="1"/>
  <c r="O83" i="99" s="1"/>
  <c r="O84" i="99" s="1"/>
  <c r="O85" i="99" s="1"/>
  <c r="O86" i="99" s="1"/>
  <c r="O87" i="99" s="1"/>
  <c r="O88" i="99" s="1"/>
  <c r="O89" i="99" s="1"/>
  <c r="O90" i="99" s="1"/>
  <c r="O91" i="99" s="1"/>
  <c r="O92" i="99" s="1"/>
  <c r="O93" i="99" s="1"/>
  <c r="K15" i="99"/>
  <c r="S19" i="99"/>
  <c r="S22" i="99" s="1"/>
  <c r="S23" i="99" s="1"/>
  <c r="S24" i="99" s="1"/>
  <c r="S25" i="99" s="1"/>
  <c r="S26" i="99" s="1"/>
  <c r="S27" i="99" s="1"/>
  <c r="M15" i="99"/>
  <c r="M14" i="99" s="1"/>
  <c r="O21" i="97"/>
  <c r="O22" i="97" s="1"/>
  <c r="O23" i="97" s="1"/>
  <c r="O24" i="97" s="1"/>
  <c r="S21" i="97"/>
  <c r="S22" i="97" s="1"/>
  <c r="S23" i="97" s="1"/>
  <c r="S24" i="97" s="1"/>
  <c r="L12" i="94"/>
  <c r="F12" i="94"/>
  <c r="F11" i="94"/>
  <c r="L9" i="94"/>
  <c r="L8" i="94"/>
  <c r="L7" i="94"/>
  <c r="F7" i="94"/>
  <c r="L6" i="94"/>
  <c r="L5" i="94"/>
  <c r="M13" i="92"/>
  <c r="M12" i="92"/>
  <c r="M11" i="92"/>
  <c r="M10" i="92"/>
  <c r="M9" i="92"/>
  <c r="M8" i="92"/>
  <c r="M7" i="92"/>
  <c r="M6" i="92"/>
  <c r="M5" i="92"/>
  <c r="N6" i="92"/>
  <c r="S25" i="97" l="1"/>
  <c r="S26" i="97" s="1"/>
  <c r="S27" i="97" s="1"/>
  <c r="S28" i="97" s="1"/>
  <c r="S29" i="97" s="1"/>
  <c r="S30" i="97" s="1"/>
  <c r="S31" i="97" s="1"/>
  <c r="S32" i="97" s="1"/>
  <c r="S33" i="97" s="1"/>
  <c r="S34" i="97" s="1"/>
  <c r="S35" i="97" s="1"/>
  <c r="S36" i="97" s="1"/>
  <c r="S37" i="97" s="1"/>
  <c r="S38" i="97" s="1"/>
  <c r="S39" i="97" s="1"/>
  <c r="S40" i="97" s="1"/>
  <c r="S41" i="97" s="1"/>
  <c r="S42" i="97" s="1"/>
  <c r="S43" i="97" s="1"/>
  <c r="S44" i="97" s="1"/>
  <c r="S45" i="97" s="1"/>
  <c r="S46" i="97" s="1"/>
  <c r="S47" i="97" s="1"/>
  <c r="S48" i="97" s="1"/>
  <c r="S49" i="97" s="1"/>
  <c r="S50" i="97" s="1"/>
  <c r="S51" i="97" s="1"/>
  <c r="S52" i="97" s="1"/>
  <c r="S53" i="97" s="1"/>
  <c r="S54" i="97" s="1"/>
  <c r="S55" i="97" s="1"/>
  <c r="S56" i="97" s="1"/>
  <c r="S57" i="97" s="1"/>
  <c r="S58" i="97" s="1"/>
  <c r="S59" i="97" s="1"/>
  <c r="S60" i="97" s="1"/>
  <c r="S61" i="97" s="1"/>
  <c r="S62" i="97" s="1"/>
  <c r="S63" i="97" s="1"/>
  <c r="S64" i="97" s="1"/>
  <c r="S65" i="97" s="1"/>
  <c r="S66" i="97" s="1"/>
  <c r="S67" i="97" s="1"/>
  <c r="S68" i="97" s="1"/>
  <c r="O25" i="97"/>
  <c r="O26" i="97" s="1"/>
  <c r="O27" i="97" s="1"/>
  <c r="O28" i="97" s="1"/>
  <c r="O29" i="97" s="1"/>
  <c r="O30" i="97" s="1"/>
  <c r="O31" i="97" s="1"/>
  <c r="O32" i="97" s="1"/>
  <c r="O33" i="97" s="1"/>
  <c r="O34" i="97" s="1"/>
  <c r="O35" i="97" s="1"/>
  <c r="O36" i="97" s="1"/>
  <c r="O37" i="97" s="1"/>
  <c r="O38" i="97" s="1"/>
  <c r="O39" i="97" s="1"/>
  <c r="O40" i="97" s="1"/>
  <c r="O41" i="97" s="1"/>
  <c r="O42" i="97" s="1"/>
  <c r="O43" i="97" s="1"/>
  <c r="O44" i="97" s="1"/>
  <c r="O45" i="97" s="1"/>
  <c r="O46" i="97" s="1"/>
  <c r="O47" i="97" s="1"/>
  <c r="O48" i="97" s="1"/>
  <c r="O49" i="97" s="1"/>
  <c r="O50" i="97" s="1"/>
  <c r="O51" i="97" s="1"/>
  <c r="O52" i="97" s="1"/>
  <c r="O53" i="97" s="1"/>
  <c r="O54" i="97" s="1"/>
  <c r="O55" i="97" s="1"/>
  <c r="O56" i="97" s="1"/>
  <c r="O57" i="97" s="1"/>
  <c r="O58" i="97" s="1"/>
  <c r="O59" i="97" s="1"/>
  <c r="O60" i="97" s="1"/>
  <c r="O61" i="97" s="1"/>
  <c r="O62" i="97" s="1"/>
  <c r="O63" i="97" s="1"/>
  <c r="O64" i="97" s="1"/>
  <c r="O65" i="97" s="1"/>
  <c r="O66" i="97" s="1"/>
  <c r="O67" i="97" s="1"/>
  <c r="O68" i="97" s="1"/>
  <c r="O69" i="97" s="1"/>
  <c r="M12" i="94"/>
  <c r="M7" i="94"/>
  <c r="M11" i="94"/>
  <c r="L28" i="92"/>
  <c r="M28" i="92" s="1"/>
  <c r="L29" i="92" l="1"/>
  <c r="M29" i="92" s="1"/>
  <c r="L22" i="92"/>
  <c r="M22" i="92" s="1"/>
  <c r="L23" i="92"/>
  <c r="M23" i="92" s="1"/>
  <c r="L31" i="92"/>
  <c r="M31" i="92" s="1"/>
  <c r="L24" i="92"/>
  <c r="M24" i="92" s="1"/>
  <c r="L19" i="92"/>
  <c r="L25" i="92"/>
  <c r="M25" i="92" s="1"/>
  <c r="L30" i="92"/>
  <c r="M30" i="92" s="1"/>
  <c r="L26" i="92"/>
  <c r="M26" i="92" s="1"/>
  <c r="L27" i="92"/>
  <c r="M27" i="92" s="1"/>
  <c r="N19" i="92" l="1"/>
  <c r="N20" i="92" s="1"/>
  <c r="N21" i="92" s="1"/>
  <c r="N22" i="92" s="1"/>
  <c r="N23" i="92" s="1"/>
  <c r="K113" i="89" l="1"/>
  <c r="D14" i="92" l="1"/>
  <c r="I112" i="89"/>
  <c r="K112" i="89" s="1"/>
  <c r="L112" i="89" s="1"/>
  <c r="F9" i="92"/>
  <c r="F8" i="92"/>
  <c r="F7" i="92"/>
  <c r="F6" i="92"/>
  <c r="L9" i="92"/>
  <c r="L8" i="92"/>
  <c r="L7" i="92"/>
  <c r="L6" i="92"/>
  <c r="L65" i="94" l="1"/>
  <c r="M65" i="94" s="1"/>
  <c r="L53" i="94"/>
  <c r="M53" i="94" s="1"/>
  <c r="L41" i="94"/>
  <c r="L29" i="94"/>
  <c r="M29" i="94" s="1"/>
  <c r="L64" i="94"/>
  <c r="M64" i="94" s="1"/>
  <c r="L52" i="94"/>
  <c r="M52" i="94" s="1"/>
  <c r="L40" i="94"/>
  <c r="M40" i="94" s="1"/>
  <c r="L28" i="94"/>
  <c r="M28" i="94" s="1"/>
  <c r="L61" i="94"/>
  <c r="M61" i="94" s="1"/>
  <c r="L37" i="94"/>
  <c r="M37" i="94" s="1"/>
  <c r="L24" i="94"/>
  <c r="M24" i="94" s="1"/>
  <c r="L63" i="94"/>
  <c r="M63" i="94" s="1"/>
  <c r="L51" i="94"/>
  <c r="M51" i="94" s="1"/>
  <c r="L39" i="94"/>
  <c r="M39" i="94" s="1"/>
  <c r="L27" i="94"/>
  <c r="M27" i="94" s="1"/>
  <c r="L62" i="94"/>
  <c r="M62" i="94" s="1"/>
  <c r="L50" i="94"/>
  <c r="M50" i="94" s="1"/>
  <c r="L38" i="94"/>
  <c r="M38" i="94" s="1"/>
  <c r="L26" i="94"/>
  <c r="M26" i="94" s="1"/>
  <c r="L49" i="94"/>
  <c r="M49" i="94" s="1"/>
  <c r="L25" i="94"/>
  <c r="M25" i="94" s="1"/>
  <c r="L59" i="94"/>
  <c r="M59" i="94" s="1"/>
  <c r="L47" i="94"/>
  <c r="M47" i="94" s="1"/>
  <c r="L35" i="94"/>
  <c r="M35" i="94" s="1"/>
  <c r="L23" i="94"/>
  <c r="M23" i="94" s="1"/>
  <c r="L56" i="94"/>
  <c r="M56" i="94" s="1"/>
  <c r="L66" i="94"/>
  <c r="L30" i="94"/>
  <c r="M30" i="94" s="1"/>
  <c r="L36" i="94"/>
  <c r="M36" i="94" s="1"/>
  <c r="L58" i="94"/>
  <c r="M58" i="94" s="1"/>
  <c r="L46" i="94"/>
  <c r="M46" i="94" s="1"/>
  <c r="L34" i="94"/>
  <c r="M34" i="94" s="1"/>
  <c r="L22" i="94"/>
  <c r="M22" i="94" s="1"/>
  <c r="L68" i="94"/>
  <c r="K68" i="94" s="1"/>
  <c r="L44" i="94"/>
  <c r="M44" i="94" s="1"/>
  <c r="L67" i="94"/>
  <c r="M67" i="94" s="1"/>
  <c r="L55" i="94"/>
  <c r="M55" i="94" s="1"/>
  <c r="L31" i="94"/>
  <c r="M31" i="94" s="1"/>
  <c r="L54" i="94"/>
  <c r="M54" i="94" s="1"/>
  <c r="L42" i="94"/>
  <c r="M42" i="94" s="1"/>
  <c r="L60" i="94"/>
  <c r="M60" i="94" s="1"/>
  <c r="L57" i="94"/>
  <c r="M57" i="94" s="1"/>
  <c r="L45" i="94"/>
  <c r="M45" i="94" s="1"/>
  <c r="L33" i="94"/>
  <c r="M33" i="94" s="1"/>
  <c r="L32" i="94"/>
  <c r="M32" i="94" s="1"/>
  <c r="L43" i="94"/>
  <c r="M43" i="94" s="1"/>
  <c r="L48" i="94"/>
  <c r="M48" i="94" s="1"/>
  <c r="L21" i="94"/>
  <c r="M21" i="94" s="1"/>
  <c r="M66" i="94"/>
  <c r="M41" i="94"/>
  <c r="L98" i="92"/>
  <c r="M98" i="92" s="1"/>
  <c r="L86" i="92"/>
  <c r="M86" i="92" s="1"/>
  <c r="L74" i="92"/>
  <c r="M74" i="92" s="1"/>
  <c r="L62" i="92"/>
  <c r="M62" i="92" s="1"/>
  <c r="L50" i="92"/>
  <c r="M50" i="92" s="1"/>
  <c r="L38" i="92"/>
  <c r="M38" i="92" s="1"/>
  <c r="L52" i="92"/>
  <c r="M52" i="92" s="1"/>
  <c r="L97" i="92"/>
  <c r="M97" i="92" s="1"/>
  <c r="L85" i="92"/>
  <c r="M85" i="92" s="1"/>
  <c r="L73" i="92"/>
  <c r="M73" i="92" s="1"/>
  <c r="L61" i="92"/>
  <c r="M61" i="92" s="1"/>
  <c r="L49" i="92"/>
  <c r="M49" i="92" s="1"/>
  <c r="L37" i="92"/>
  <c r="M37" i="92" s="1"/>
  <c r="L76" i="92"/>
  <c r="M76" i="92" s="1"/>
  <c r="L96" i="92"/>
  <c r="M96" i="92" s="1"/>
  <c r="L84" i="92"/>
  <c r="M84" i="92" s="1"/>
  <c r="L72" i="92"/>
  <c r="M72" i="92" s="1"/>
  <c r="L60" i="92"/>
  <c r="M60" i="92" s="1"/>
  <c r="L48" i="92"/>
  <c r="M48" i="92" s="1"/>
  <c r="L36" i="92"/>
  <c r="M36" i="92" s="1"/>
  <c r="L45" i="92"/>
  <c r="M45" i="92" s="1"/>
  <c r="L95" i="92"/>
  <c r="M95" i="92" s="1"/>
  <c r="L83" i="92"/>
  <c r="M83" i="92" s="1"/>
  <c r="L71" i="92"/>
  <c r="M71" i="92" s="1"/>
  <c r="L59" i="92"/>
  <c r="M59" i="92" s="1"/>
  <c r="L47" i="92"/>
  <c r="M47" i="92" s="1"/>
  <c r="L35" i="92"/>
  <c r="M35" i="92" s="1"/>
  <c r="L57" i="92"/>
  <c r="M57" i="92" s="1"/>
  <c r="L94" i="92"/>
  <c r="M94" i="92" s="1"/>
  <c r="L82" i="92"/>
  <c r="M82" i="92" s="1"/>
  <c r="L70" i="92"/>
  <c r="M70" i="92" s="1"/>
  <c r="L58" i="92"/>
  <c r="M58" i="92" s="1"/>
  <c r="L46" i="92"/>
  <c r="M46" i="92" s="1"/>
  <c r="L34" i="92"/>
  <c r="M34" i="92" s="1"/>
  <c r="L51" i="92"/>
  <c r="M51" i="92" s="1"/>
  <c r="L93" i="92"/>
  <c r="M93" i="92" s="1"/>
  <c r="L81" i="92"/>
  <c r="M81" i="92" s="1"/>
  <c r="L69" i="92"/>
  <c r="M69" i="92" s="1"/>
  <c r="L33" i="92"/>
  <c r="L104" i="92"/>
  <c r="M104" i="92" s="1"/>
  <c r="L92" i="92"/>
  <c r="M92" i="92" s="1"/>
  <c r="L80" i="92"/>
  <c r="M80" i="92" s="1"/>
  <c r="L68" i="92"/>
  <c r="M68" i="92" s="1"/>
  <c r="L56" i="92"/>
  <c r="M56" i="92" s="1"/>
  <c r="L44" i="92"/>
  <c r="M44" i="92" s="1"/>
  <c r="L88" i="92"/>
  <c r="M88" i="92" s="1"/>
  <c r="L103" i="92"/>
  <c r="M103" i="92" s="1"/>
  <c r="L91" i="92"/>
  <c r="M91" i="92" s="1"/>
  <c r="L79" i="92"/>
  <c r="M79" i="92" s="1"/>
  <c r="L67" i="92"/>
  <c r="M67" i="92" s="1"/>
  <c r="L55" i="92"/>
  <c r="M55" i="92" s="1"/>
  <c r="L43" i="92"/>
  <c r="M43" i="92" s="1"/>
  <c r="L41" i="92"/>
  <c r="M41" i="92" s="1"/>
  <c r="L40" i="92"/>
  <c r="M40" i="92" s="1"/>
  <c r="L102" i="92"/>
  <c r="M102" i="92" s="1"/>
  <c r="L90" i="92"/>
  <c r="M90" i="92" s="1"/>
  <c r="L78" i="92"/>
  <c r="M78" i="92" s="1"/>
  <c r="L66" i="92"/>
  <c r="M66" i="92" s="1"/>
  <c r="L54" i="92"/>
  <c r="M54" i="92" s="1"/>
  <c r="L42" i="92"/>
  <c r="M42" i="92" s="1"/>
  <c r="L53" i="92"/>
  <c r="M53" i="92" s="1"/>
  <c r="L39" i="92"/>
  <c r="M39" i="92" s="1"/>
  <c r="L101" i="92"/>
  <c r="M101" i="92" s="1"/>
  <c r="L89" i="92"/>
  <c r="M89" i="92" s="1"/>
  <c r="L77" i="92"/>
  <c r="M77" i="92" s="1"/>
  <c r="L65" i="92"/>
  <c r="M65" i="92" s="1"/>
  <c r="L63" i="92"/>
  <c r="M63" i="92" s="1"/>
  <c r="L100" i="92"/>
  <c r="M100" i="92" s="1"/>
  <c r="L64" i="92"/>
  <c r="M64" i="92" s="1"/>
  <c r="L99" i="92"/>
  <c r="M99" i="92" s="1"/>
  <c r="L87" i="92"/>
  <c r="M87" i="92" s="1"/>
  <c r="L75" i="92"/>
  <c r="M75" i="92" s="1"/>
  <c r="N24" i="92"/>
  <c r="N25" i="92" s="1"/>
  <c r="N26" i="92" s="1"/>
  <c r="N27" i="92" s="1"/>
  <c r="N28" i="92" s="1"/>
  <c r="N29" i="92" s="1"/>
  <c r="N30" i="92" s="1"/>
  <c r="L12" i="92"/>
  <c r="F12" i="92"/>
  <c r="L11" i="92"/>
  <c r="F11" i="92"/>
  <c r="F5" i="92"/>
  <c r="K69" i="94" l="1"/>
  <c r="M69" i="94" s="1"/>
  <c r="S69" i="94" s="1"/>
  <c r="S70" i="94" s="1"/>
  <c r="S71" i="94" s="1"/>
  <c r="S72" i="94" s="1"/>
  <c r="S73" i="94" s="1"/>
  <c r="S74" i="94" s="1"/>
  <c r="S75" i="94" s="1"/>
  <c r="S76" i="94" s="1"/>
  <c r="S77" i="94" s="1"/>
  <c r="S78" i="94" s="1"/>
  <c r="S79" i="94" s="1"/>
  <c r="S80" i="94" s="1"/>
  <c r="S81" i="94" s="1"/>
  <c r="S82" i="94" s="1"/>
  <c r="S83" i="94" s="1"/>
  <c r="S84" i="94" s="1"/>
  <c r="S85" i="94" s="1"/>
  <c r="S86" i="94" s="1"/>
  <c r="S87" i="94" s="1"/>
  <c r="S88" i="94" s="1"/>
  <c r="S89" i="94" s="1"/>
  <c r="S90" i="94" s="1"/>
  <c r="S91" i="94" s="1"/>
  <c r="S92" i="94" s="1"/>
  <c r="N68" i="94"/>
  <c r="K15" i="94"/>
  <c r="S21" i="94"/>
  <c r="S22" i="94" s="1"/>
  <c r="S23" i="94" s="1"/>
  <c r="S24" i="94" s="1"/>
  <c r="S25" i="94" s="1"/>
  <c r="S26" i="94" s="1"/>
  <c r="S27" i="94" s="1"/>
  <c r="S28" i="94" s="1"/>
  <c r="S29" i="94" s="1"/>
  <c r="S30" i="94" s="1"/>
  <c r="S31" i="94" s="1"/>
  <c r="S32" i="94" s="1"/>
  <c r="S33" i="94" s="1"/>
  <c r="S34" i="94" s="1"/>
  <c r="S35" i="94" s="1"/>
  <c r="S36" i="94" s="1"/>
  <c r="S37" i="94" s="1"/>
  <c r="S38" i="94" s="1"/>
  <c r="S39" i="94" s="1"/>
  <c r="S40" i="94" s="1"/>
  <c r="S41" i="94" s="1"/>
  <c r="S42" i="94" s="1"/>
  <c r="S43" i="94" s="1"/>
  <c r="S44" i="94" s="1"/>
  <c r="S45" i="94" s="1"/>
  <c r="S46" i="94" s="1"/>
  <c r="S47" i="94" s="1"/>
  <c r="S48" i="94" s="1"/>
  <c r="S49" i="94" s="1"/>
  <c r="S50" i="94" s="1"/>
  <c r="S51" i="94" s="1"/>
  <c r="S52" i="94" s="1"/>
  <c r="S53" i="94" s="1"/>
  <c r="S54" i="94" s="1"/>
  <c r="S55" i="94" s="1"/>
  <c r="S56" i="94" s="1"/>
  <c r="S57" i="94" s="1"/>
  <c r="S58" i="94" s="1"/>
  <c r="S59" i="94" s="1"/>
  <c r="S60" i="94" s="1"/>
  <c r="S61" i="94" s="1"/>
  <c r="S62" i="94" s="1"/>
  <c r="S63" i="94" s="1"/>
  <c r="S64" i="94" s="1"/>
  <c r="S65" i="94" s="1"/>
  <c r="S66" i="94" s="1"/>
  <c r="S67" i="94" s="1"/>
  <c r="S68" i="94" s="1"/>
  <c r="O21" i="94"/>
  <c r="O22" i="94" s="1"/>
  <c r="O23" i="94" s="1"/>
  <c r="O24" i="94" s="1"/>
  <c r="O25" i="94" s="1"/>
  <c r="O26" i="94" s="1"/>
  <c r="O27" i="94" s="1"/>
  <c r="O28" i="94" s="1"/>
  <c r="O29" i="94" s="1"/>
  <c r="O30" i="94" s="1"/>
  <c r="O31" i="94" s="1"/>
  <c r="O32" i="94" s="1"/>
  <c r="O33" i="94" s="1"/>
  <c r="O34" i="94" s="1"/>
  <c r="O35" i="94" s="1"/>
  <c r="O36" i="94" s="1"/>
  <c r="O37" i="94" s="1"/>
  <c r="O38" i="94" s="1"/>
  <c r="O39" i="94" s="1"/>
  <c r="O40" i="94" s="1"/>
  <c r="O41" i="94" s="1"/>
  <c r="O42" i="94" s="1"/>
  <c r="O43" i="94" s="1"/>
  <c r="O44" i="94" s="1"/>
  <c r="O45" i="94" s="1"/>
  <c r="O46" i="94" s="1"/>
  <c r="O47" i="94" s="1"/>
  <c r="O48" i="94" s="1"/>
  <c r="O49" i="94" s="1"/>
  <c r="O50" i="94" s="1"/>
  <c r="O51" i="94" s="1"/>
  <c r="O52" i="94" s="1"/>
  <c r="O53" i="94" s="1"/>
  <c r="O54" i="94" s="1"/>
  <c r="O55" i="94" s="1"/>
  <c r="O56" i="94" s="1"/>
  <c r="O57" i="94" s="1"/>
  <c r="O58" i="94" s="1"/>
  <c r="O59" i="94" s="1"/>
  <c r="O60" i="94" s="1"/>
  <c r="O61" i="94" s="1"/>
  <c r="O62" i="94" s="1"/>
  <c r="O63" i="94" s="1"/>
  <c r="O64" i="94" s="1"/>
  <c r="O65" i="94" s="1"/>
  <c r="O66" i="94" s="1"/>
  <c r="O67" i="94" s="1"/>
  <c r="O68" i="94" s="1"/>
  <c r="O69" i="94" s="1"/>
  <c r="O70" i="94" s="1"/>
  <c r="O71" i="94" s="1"/>
  <c r="O72" i="94" s="1"/>
  <c r="O73" i="94" s="1"/>
  <c r="O74" i="94" s="1"/>
  <c r="O75" i="94" s="1"/>
  <c r="O76" i="94" s="1"/>
  <c r="O77" i="94" s="1"/>
  <c r="O78" i="94" s="1"/>
  <c r="O79" i="94" s="1"/>
  <c r="O80" i="94" s="1"/>
  <c r="O81" i="94" s="1"/>
  <c r="O82" i="94" s="1"/>
  <c r="O83" i="94" s="1"/>
  <c r="O84" i="94" s="1"/>
  <c r="O85" i="94" s="1"/>
  <c r="O86" i="94" s="1"/>
  <c r="O87" i="94" s="1"/>
  <c r="O88" i="94" s="1"/>
  <c r="O89" i="94" s="1"/>
  <c r="O90" i="94" s="1"/>
  <c r="O91" i="94" s="1"/>
  <c r="M15" i="94"/>
  <c r="L5" i="89"/>
  <c r="N69" i="94" l="1"/>
  <c r="N70" i="94" s="1"/>
  <c r="N71" i="94" s="1"/>
  <c r="N72" i="94" s="1"/>
  <c r="N73" i="94" s="1"/>
  <c r="N74" i="94" s="1"/>
  <c r="N75" i="94" s="1"/>
  <c r="N76" i="94" s="1"/>
  <c r="N77" i="94" s="1"/>
  <c r="N78" i="94" s="1"/>
  <c r="N79" i="94" s="1"/>
  <c r="N80" i="94" s="1"/>
  <c r="N81" i="94" s="1"/>
  <c r="N82" i="94" s="1"/>
  <c r="N83" i="94" s="1"/>
  <c r="N84" i="94" s="1"/>
  <c r="N85" i="94" s="1"/>
  <c r="N86" i="94" s="1"/>
  <c r="N87" i="94" s="1"/>
  <c r="N88" i="94" s="1"/>
  <c r="N89" i="94" s="1"/>
  <c r="N90" i="94" s="1"/>
  <c r="N91" i="94" s="1"/>
  <c r="N92" i="94" s="1"/>
  <c r="O92" i="94"/>
  <c r="L10" i="89"/>
  <c r="L9" i="89"/>
  <c r="L7" i="89"/>
  <c r="L6" i="89"/>
  <c r="L8" i="89"/>
  <c r="E14" i="89"/>
  <c r="D14" i="89"/>
  <c r="G31" i="91"/>
  <c r="I15" i="91"/>
  <c r="I14" i="91"/>
  <c r="I13" i="91"/>
  <c r="I12" i="91"/>
  <c r="I11" i="91"/>
  <c r="I10" i="91"/>
  <c r="I9" i="91"/>
  <c r="I8" i="91"/>
  <c r="I7" i="91"/>
  <c r="I6" i="91"/>
  <c r="L38" i="89" l="1"/>
  <c r="K13" i="89"/>
  <c r="L12" i="89"/>
  <c r="L11" i="89"/>
  <c r="X5" i="89"/>
  <c r="L39" i="89" l="1"/>
  <c r="L107" i="89"/>
  <c r="M107" i="89" s="1"/>
  <c r="L33" i="89"/>
  <c r="L31" i="89"/>
  <c r="L32" i="89"/>
  <c r="L34" i="89"/>
  <c r="L35" i="89"/>
  <c r="L36" i="89"/>
  <c r="L37" i="89"/>
  <c r="L13" i="89"/>
  <c r="O19" i="89"/>
  <c r="N19" i="89"/>
  <c r="M19" i="92" l="1"/>
  <c r="R12" i="89"/>
  <c r="R11" i="89"/>
  <c r="R10" i="89"/>
  <c r="R9" i="89"/>
  <c r="R8" i="89"/>
  <c r="R7" i="89"/>
  <c r="R6" i="89"/>
  <c r="R5" i="89"/>
  <c r="F12" i="89"/>
  <c r="F11" i="89"/>
  <c r="F10" i="89"/>
  <c r="F9" i="89"/>
  <c r="F8" i="89"/>
  <c r="F7" i="89"/>
  <c r="F6" i="89"/>
  <c r="F5" i="89"/>
  <c r="O19" i="92" l="1"/>
  <c r="O20" i="92" s="1"/>
  <c r="O21" i="92" s="1"/>
  <c r="O22" i="92" s="1"/>
  <c r="O23" i="92" s="1"/>
  <c r="O24" i="92" s="1"/>
  <c r="O25" i="92" s="1"/>
  <c r="O26" i="92" s="1"/>
  <c r="O27" i="92" s="1"/>
  <c r="O28" i="92" s="1"/>
  <c r="O29" i="92" s="1"/>
  <c r="S19" i="92"/>
  <c r="S22" i="92" s="1"/>
  <c r="S23" i="92" s="1"/>
  <c r="S24" i="92" s="1"/>
  <c r="S25" i="92" s="1"/>
  <c r="S26" i="92" s="1"/>
  <c r="S27" i="92" s="1"/>
  <c r="S28" i="92" s="1"/>
  <c r="S29" i="92" s="1"/>
  <c r="S30" i="92" s="1"/>
  <c r="S31" i="92" s="1"/>
  <c r="F14" i="89"/>
  <c r="X6" i="89"/>
  <c r="X12" i="89"/>
  <c r="X7" i="89"/>
  <c r="L103" i="89" l="1"/>
  <c r="M103" i="89" s="1"/>
  <c r="L91" i="89"/>
  <c r="M91" i="89" s="1"/>
  <c r="L79" i="89"/>
  <c r="M79" i="89" s="1"/>
  <c r="L67" i="89"/>
  <c r="M67" i="89" s="1"/>
  <c r="L55" i="89"/>
  <c r="M55" i="89" s="1"/>
  <c r="L43" i="89"/>
  <c r="M43" i="89" s="1"/>
  <c r="L93" i="89"/>
  <c r="M93" i="89" s="1"/>
  <c r="L56" i="89"/>
  <c r="M56" i="89" s="1"/>
  <c r="L102" i="89"/>
  <c r="M102" i="89" s="1"/>
  <c r="L90" i="89"/>
  <c r="M90" i="89" s="1"/>
  <c r="L78" i="89"/>
  <c r="M78" i="89" s="1"/>
  <c r="L66" i="89"/>
  <c r="M66" i="89" s="1"/>
  <c r="L54" i="89"/>
  <c r="M54" i="89" s="1"/>
  <c r="L42" i="89"/>
  <c r="M42" i="89" s="1"/>
  <c r="L45" i="89"/>
  <c r="M45" i="89" s="1"/>
  <c r="L92" i="89"/>
  <c r="M92" i="89" s="1"/>
  <c r="L101" i="89"/>
  <c r="M101" i="89" s="1"/>
  <c r="L89" i="89"/>
  <c r="M89" i="89" s="1"/>
  <c r="L77" i="89"/>
  <c r="M77" i="89" s="1"/>
  <c r="L65" i="89"/>
  <c r="M65" i="89" s="1"/>
  <c r="L53" i="89"/>
  <c r="M53" i="89" s="1"/>
  <c r="L41" i="89"/>
  <c r="M41" i="89" s="1"/>
  <c r="L44" i="89"/>
  <c r="M44" i="89" s="1"/>
  <c r="L100" i="89"/>
  <c r="M100" i="89" s="1"/>
  <c r="L88" i="89"/>
  <c r="M88" i="89" s="1"/>
  <c r="L76" i="89"/>
  <c r="M76" i="89" s="1"/>
  <c r="L64" i="89"/>
  <c r="M64" i="89" s="1"/>
  <c r="L52" i="89"/>
  <c r="M52" i="89" s="1"/>
  <c r="L40" i="89"/>
  <c r="M40" i="89" s="1"/>
  <c r="L105" i="89"/>
  <c r="L99" i="89"/>
  <c r="M99" i="89" s="1"/>
  <c r="L87" i="89"/>
  <c r="M87" i="89" s="1"/>
  <c r="L75" i="89"/>
  <c r="M75" i="89" s="1"/>
  <c r="L63" i="89"/>
  <c r="M63" i="89" s="1"/>
  <c r="L51" i="89"/>
  <c r="M51" i="89" s="1"/>
  <c r="L98" i="89"/>
  <c r="M98" i="89" s="1"/>
  <c r="L86" i="89"/>
  <c r="M86" i="89" s="1"/>
  <c r="L74" i="89"/>
  <c r="M74" i="89" s="1"/>
  <c r="L62" i="89"/>
  <c r="M62" i="89" s="1"/>
  <c r="L50" i="89"/>
  <c r="M50" i="89" s="1"/>
  <c r="M37" i="89"/>
  <c r="L81" i="89"/>
  <c r="M81" i="89" s="1"/>
  <c r="L80" i="89"/>
  <c r="M80" i="89" s="1"/>
  <c r="L97" i="89"/>
  <c r="M97" i="89" s="1"/>
  <c r="L85" i="89"/>
  <c r="M85" i="89" s="1"/>
  <c r="L73" i="89"/>
  <c r="M73" i="89" s="1"/>
  <c r="L61" i="89"/>
  <c r="M61" i="89" s="1"/>
  <c r="L49" i="89"/>
  <c r="M49" i="89" s="1"/>
  <c r="M36" i="89"/>
  <c r="M32" i="89"/>
  <c r="L68" i="89"/>
  <c r="M68" i="89" s="1"/>
  <c r="L96" i="89"/>
  <c r="M96" i="89" s="1"/>
  <c r="L84" i="89"/>
  <c r="M84" i="89" s="1"/>
  <c r="L72" i="89"/>
  <c r="M72" i="89" s="1"/>
  <c r="L60" i="89"/>
  <c r="M60" i="89" s="1"/>
  <c r="L48" i="89"/>
  <c r="M48" i="89" s="1"/>
  <c r="M35" i="89"/>
  <c r="L95" i="89"/>
  <c r="M95" i="89" s="1"/>
  <c r="L83" i="89"/>
  <c r="M83" i="89" s="1"/>
  <c r="L71" i="89"/>
  <c r="M71" i="89" s="1"/>
  <c r="L59" i="89"/>
  <c r="M59" i="89" s="1"/>
  <c r="L47" i="89"/>
  <c r="M47" i="89" s="1"/>
  <c r="M34" i="89"/>
  <c r="L69" i="89"/>
  <c r="M69" i="89" s="1"/>
  <c r="L104" i="89"/>
  <c r="M104" i="89" s="1"/>
  <c r="L106" i="89"/>
  <c r="M106" i="89" s="1"/>
  <c r="L94" i="89"/>
  <c r="M94" i="89" s="1"/>
  <c r="L82" i="89"/>
  <c r="M82" i="89" s="1"/>
  <c r="L70" i="89"/>
  <c r="M70" i="89" s="1"/>
  <c r="L58" i="89"/>
  <c r="M58" i="89" s="1"/>
  <c r="L46" i="89"/>
  <c r="M46" i="89" s="1"/>
  <c r="M33" i="89"/>
  <c r="L57" i="89"/>
  <c r="M57" i="89" s="1"/>
  <c r="L30" i="89" l="1"/>
  <c r="K30" i="89" s="1"/>
  <c r="L90" i="86"/>
  <c r="L78" i="86"/>
  <c r="L66" i="86"/>
  <c r="L54" i="86"/>
  <c r="L42" i="86"/>
  <c r="L30" i="86"/>
  <c r="L61" i="86"/>
  <c r="L27" i="89"/>
  <c r="M27" i="89" s="1"/>
  <c r="L89" i="86"/>
  <c r="L77" i="86"/>
  <c r="L65" i="86"/>
  <c r="L53" i="86"/>
  <c r="L41" i="86"/>
  <c r="L29" i="86"/>
  <c r="L85" i="86"/>
  <c r="L44" i="86"/>
  <c r="L26" i="89"/>
  <c r="M26" i="89" s="1"/>
  <c r="L88" i="86"/>
  <c r="L76" i="86"/>
  <c r="L64" i="86"/>
  <c r="L52" i="86"/>
  <c r="L40" i="86"/>
  <c r="L28" i="86"/>
  <c r="L26" i="86"/>
  <c r="L37" i="86"/>
  <c r="L36" i="86"/>
  <c r="L80" i="86"/>
  <c r="L43" i="86"/>
  <c r="L25" i="89"/>
  <c r="M25" i="89" s="1"/>
  <c r="L87" i="86"/>
  <c r="L75" i="86"/>
  <c r="L63" i="86"/>
  <c r="L51" i="86"/>
  <c r="L39" i="86"/>
  <c r="L27" i="86"/>
  <c r="L38" i="86"/>
  <c r="L49" i="86"/>
  <c r="L32" i="86"/>
  <c r="L91" i="86"/>
  <c r="L67" i="86"/>
  <c r="L24" i="89"/>
  <c r="M24" i="89" s="1"/>
  <c r="L86" i="86"/>
  <c r="L74" i="86"/>
  <c r="L62" i="86"/>
  <c r="L50" i="86"/>
  <c r="L60" i="86"/>
  <c r="L92" i="86"/>
  <c r="L56" i="86"/>
  <c r="L79" i="86"/>
  <c r="L23" i="89"/>
  <c r="M23" i="89" s="1"/>
  <c r="L73" i="86"/>
  <c r="L22" i="89"/>
  <c r="M22" i="89" s="1"/>
  <c r="L84" i="86"/>
  <c r="L72" i="86"/>
  <c r="L48" i="86"/>
  <c r="L21" i="89"/>
  <c r="M21" i="89" s="1"/>
  <c r="L83" i="86"/>
  <c r="L71" i="86"/>
  <c r="L59" i="86"/>
  <c r="L47" i="86"/>
  <c r="L35" i="86"/>
  <c r="L70" i="86"/>
  <c r="L34" i="86"/>
  <c r="L68" i="86"/>
  <c r="I29" i="89"/>
  <c r="L94" i="86"/>
  <c r="L82" i="86"/>
  <c r="L58" i="86"/>
  <c r="L46" i="86"/>
  <c r="L31" i="86"/>
  <c r="L93" i="86"/>
  <c r="L81" i="86"/>
  <c r="L69" i="86"/>
  <c r="L57" i="86"/>
  <c r="L45" i="86"/>
  <c r="L33" i="86"/>
  <c r="L55" i="86"/>
  <c r="S19" i="89"/>
  <c r="Q13" i="89"/>
  <c r="E13" i="89"/>
  <c r="D13" i="89"/>
  <c r="L5" i="82"/>
  <c r="L11" i="86"/>
  <c r="L10" i="86"/>
  <c r="L9" i="86"/>
  <c r="L8" i="86"/>
  <c r="L7" i="86"/>
  <c r="L6" i="86"/>
  <c r="L5" i="86"/>
  <c r="K88" i="86"/>
  <c r="Q14" i="89" l="1"/>
  <c r="S21" i="89"/>
  <c r="S22" i="89" s="1"/>
  <c r="S23" i="89" s="1"/>
  <c r="S24" i="89" s="1"/>
  <c r="S25" i="89" s="1"/>
  <c r="S26" i="89" s="1"/>
  <c r="S27" i="89" s="1"/>
  <c r="S28" i="89" s="1"/>
  <c r="S29" i="89" s="1"/>
  <c r="S30" i="89" s="1"/>
  <c r="K31" i="89"/>
  <c r="M31" i="89" s="1"/>
  <c r="G12" i="89"/>
  <c r="F13" i="89"/>
  <c r="R13" i="89"/>
  <c r="F12" i="86"/>
  <c r="F11" i="86"/>
  <c r="F9" i="86"/>
  <c r="F8" i="86"/>
  <c r="F7" i="86"/>
  <c r="F6" i="86"/>
  <c r="F5" i="86"/>
  <c r="S19" i="86"/>
  <c r="K49" i="86"/>
  <c r="R14" i="89" l="1"/>
  <c r="O20" i="89"/>
  <c r="S31" i="89"/>
  <c r="S32" i="89" s="1"/>
  <c r="S33" i="89" s="1"/>
  <c r="S34" i="89" s="1"/>
  <c r="S35" i="89" s="1"/>
  <c r="S36" i="89" s="1"/>
  <c r="S37" i="89" s="1"/>
  <c r="X13" i="89"/>
  <c r="G13" i="89"/>
  <c r="G11" i="89" s="1"/>
  <c r="O21" i="89" l="1"/>
  <c r="O22" i="89" s="1"/>
  <c r="O23" i="89" s="1"/>
  <c r="O24" i="89" s="1"/>
  <c r="O25" i="89" s="1"/>
  <c r="O26" i="89" s="1"/>
  <c r="O27" i="89" s="1"/>
  <c r="O28" i="89" s="1"/>
  <c r="O29" i="89" s="1"/>
  <c r="O30" i="89" s="1"/>
  <c r="O31" i="89" s="1"/>
  <c r="O32" i="89" s="1"/>
  <c r="O33" i="89" s="1"/>
  <c r="O34" i="89" s="1"/>
  <c r="O35" i="89" s="1"/>
  <c r="O36" i="89" s="1"/>
  <c r="O37" i="89" s="1"/>
  <c r="M87" i="86"/>
  <c r="M75" i="86"/>
  <c r="M63" i="86"/>
  <c r="M51" i="86"/>
  <c r="M39" i="86"/>
  <c r="M27" i="86"/>
  <c r="M31" i="86"/>
  <c r="M74" i="86"/>
  <c r="M50" i="86"/>
  <c r="M38" i="86"/>
  <c r="M55" i="86"/>
  <c r="M30" i="86"/>
  <c r="M85" i="86"/>
  <c r="M73" i="86"/>
  <c r="M61" i="86"/>
  <c r="M37" i="86"/>
  <c r="M54" i="86"/>
  <c r="M88" i="86"/>
  <c r="M84" i="86"/>
  <c r="M72" i="86"/>
  <c r="M60" i="86"/>
  <c r="M48" i="86"/>
  <c r="M36" i="86"/>
  <c r="M47" i="86"/>
  <c r="M83" i="86"/>
  <c r="M71" i="86"/>
  <c r="M59" i="86"/>
  <c r="M35" i="86"/>
  <c r="M66" i="86"/>
  <c r="M40" i="86"/>
  <c r="M94" i="86"/>
  <c r="M82" i="86"/>
  <c r="M70" i="86"/>
  <c r="M58" i="86"/>
  <c r="M46" i="86"/>
  <c r="M34" i="86"/>
  <c r="M42" i="86"/>
  <c r="M64" i="86"/>
  <c r="M81" i="86"/>
  <c r="M69" i="86"/>
  <c r="M57" i="86"/>
  <c r="M45" i="86"/>
  <c r="M33" i="86"/>
  <c r="M67" i="86"/>
  <c r="M29" i="86"/>
  <c r="M52" i="86"/>
  <c r="M92" i="86"/>
  <c r="M80" i="86"/>
  <c r="M68" i="86"/>
  <c r="M56" i="86"/>
  <c r="M44" i="86"/>
  <c r="M32" i="86"/>
  <c r="L20" i="86"/>
  <c r="M28" i="86"/>
  <c r="M91" i="86"/>
  <c r="M79" i="86"/>
  <c r="M43" i="86"/>
  <c r="M89" i="86"/>
  <c r="M77" i="86"/>
  <c r="M65" i="86"/>
  <c r="M41" i="86"/>
  <c r="O19" i="86"/>
  <c r="O20" i="86" s="1"/>
  <c r="N19" i="86"/>
  <c r="N20" i="86" s="1"/>
  <c r="N21" i="86" s="1"/>
  <c r="N22" i="86" s="1"/>
  <c r="N23" i="86" s="1"/>
  <c r="N24" i="86" s="1"/>
  <c r="L12" i="86"/>
  <c r="J14" i="82" l="1"/>
  <c r="O38" i="89" l="1"/>
  <c r="S38" i="89"/>
  <c r="K38" i="89" l="1"/>
  <c r="K82" i="82"/>
  <c r="K93" i="82"/>
  <c r="L7" i="82"/>
  <c r="L8" i="82"/>
  <c r="L9" i="82"/>
  <c r="L6" i="82"/>
  <c r="O19" i="82"/>
  <c r="O20" i="82" s="1"/>
  <c r="N19" i="82"/>
  <c r="N20" i="82" s="1"/>
  <c r="N21" i="82" s="1"/>
  <c r="N22" i="82" s="1"/>
  <c r="N23" i="82" s="1"/>
  <c r="N24" i="82" s="1"/>
  <c r="N25" i="82" s="1"/>
  <c r="K39" i="89" l="1"/>
  <c r="M39" i="89" s="1"/>
  <c r="S39" i="89" s="1"/>
  <c r="S40" i="89" s="1"/>
  <c r="S41" i="89" s="1"/>
  <c r="S42" i="89" s="1"/>
  <c r="S43" i="89" s="1"/>
  <c r="S44" i="89" s="1"/>
  <c r="S45" i="89" s="1"/>
  <c r="S46" i="89" s="1"/>
  <c r="S47" i="89" s="1"/>
  <c r="S48" i="89" s="1"/>
  <c r="S49" i="89" s="1"/>
  <c r="S50" i="89" s="1"/>
  <c r="S51" i="89" s="1"/>
  <c r="S52" i="89" s="1"/>
  <c r="S53" i="89" s="1"/>
  <c r="S54" i="89" s="1"/>
  <c r="S55" i="89" s="1"/>
  <c r="S56" i="89" s="1"/>
  <c r="S57" i="89" s="1"/>
  <c r="S58" i="89" s="1"/>
  <c r="S59" i="89" s="1"/>
  <c r="S60" i="89" s="1"/>
  <c r="S61" i="89" s="1"/>
  <c r="S62" i="89" s="1"/>
  <c r="S63" i="89" s="1"/>
  <c r="S64" i="89" s="1"/>
  <c r="S65" i="89" s="1"/>
  <c r="S66" i="89" s="1"/>
  <c r="S67" i="89" s="1"/>
  <c r="S68" i="89" s="1"/>
  <c r="S69" i="89" s="1"/>
  <c r="S70" i="89" s="1"/>
  <c r="S71" i="89" s="1"/>
  <c r="S72" i="89" s="1"/>
  <c r="S73" i="89" s="1"/>
  <c r="S74" i="89" s="1"/>
  <c r="S75" i="89" s="1"/>
  <c r="S76" i="89" s="1"/>
  <c r="S77" i="89" s="1"/>
  <c r="S78" i="89" s="1"/>
  <c r="S79" i="89" s="1"/>
  <c r="S80" i="89" s="1"/>
  <c r="S81" i="89" s="1"/>
  <c r="S82" i="89" s="1"/>
  <c r="S83" i="89" s="1"/>
  <c r="S84" i="89" s="1"/>
  <c r="S85" i="89" s="1"/>
  <c r="S86" i="89" s="1"/>
  <c r="S87" i="89" s="1"/>
  <c r="S88" i="89" s="1"/>
  <c r="S89" i="89" s="1"/>
  <c r="S90" i="89" s="1"/>
  <c r="S91" i="89" s="1"/>
  <c r="S92" i="89" s="1"/>
  <c r="S93" i="89" s="1"/>
  <c r="S94" i="89" s="1"/>
  <c r="S95" i="89" s="1"/>
  <c r="S96" i="89" s="1"/>
  <c r="S97" i="89" s="1"/>
  <c r="S98" i="89" s="1"/>
  <c r="S99" i="89" s="1"/>
  <c r="S100" i="89" s="1"/>
  <c r="S101" i="89" s="1"/>
  <c r="S102" i="89" s="1"/>
  <c r="S103" i="89" s="1"/>
  <c r="S104" i="89" s="1"/>
  <c r="S105" i="89" s="1"/>
  <c r="S106" i="89" s="1"/>
  <c r="K84" i="82"/>
  <c r="K15" i="89" l="1"/>
  <c r="O39" i="89"/>
  <c r="O40" i="89" s="1"/>
  <c r="O41" i="89" s="1"/>
  <c r="O42" i="89" s="1"/>
  <c r="O43" i="89" s="1"/>
  <c r="O44" i="89" s="1"/>
  <c r="O45" i="89" s="1"/>
  <c r="O46" i="89" s="1"/>
  <c r="O47" i="89" s="1"/>
  <c r="O48" i="89" s="1"/>
  <c r="O49" i="89" s="1"/>
  <c r="O50" i="89" s="1"/>
  <c r="O51" i="89" s="1"/>
  <c r="O52" i="89" s="1"/>
  <c r="O53" i="89" s="1"/>
  <c r="O54" i="89" s="1"/>
  <c r="O55" i="89" s="1"/>
  <c r="O56" i="89" s="1"/>
  <c r="O57" i="89" s="1"/>
  <c r="O58" i="89" s="1"/>
  <c r="O59" i="89" s="1"/>
  <c r="O60" i="89" s="1"/>
  <c r="O61" i="89" s="1"/>
  <c r="O62" i="89" s="1"/>
  <c r="O63" i="89" s="1"/>
  <c r="O64" i="89" s="1"/>
  <c r="O65" i="89" s="1"/>
  <c r="O66" i="89" s="1"/>
  <c r="O67" i="89" s="1"/>
  <c r="O68" i="89" s="1"/>
  <c r="O69" i="89" s="1"/>
  <c r="O70" i="89" s="1"/>
  <c r="O71" i="89" s="1"/>
  <c r="O72" i="89" s="1"/>
  <c r="O73" i="89" s="1"/>
  <c r="O74" i="89" s="1"/>
  <c r="O75" i="89" s="1"/>
  <c r="O76" i="89" s="1"/>
  <c r="O77" i="89" s="1"/>
  <c r="O78" i="89" s="1"/>
  <c r="O79" i="89" s="1"/>
  <c r="O80" i="89" s="1"/>
  <c r="O81" i="89" s="1"/>
  <c r="O82" i="89" s="1"/>
  <c r="O83" i="89" s="1"/>
  <c r="O84" i="89" s="1"/>
  <c r="O85" i="89" s="1"/>
  <c r="O86" i="89" s="1"/>
  <c r="O87" i="89" s="1"/>
  <c r="O88" i="89" s="1"/>
  <c r="O89" i="89" s="1"/>
  <c r="O90" i="89" s="1"/>
  <c r="O91" i="89" s="1"/>
  <c r="O92" i="89" s="1"/>
  <c r="O93" i="89" s="1"/>
  <c r="O94" i="89" s="1"/>
  <c r="O95" i="89" s="1"/>
  <c r="L24" i="86"/>
  <c r="M24" i="86" s="1"/>
  <c r="L25" i="86"/>
  <c r="L23" i="86"/>
  <c r="M23" i="86" s="1"/>
  <c r="L21" i="86"/>
  <c r="M21" i="86" s="1"/>
  <c r="S21" i="86" s="1"/>
  <c r="L22" i="86"/>
  <c r="M22" i="86" s="1"/>
  <c r="L86" i="82"/>
  <c r="M86" i="82" s="1"/>
  <c r="L74" i="82"/>
  <c r="M74" i="82" s="1"/>
  <c r="L62" i="82"/>
  <c r="M62" i="82" s="1"/>
  <c r="L50" i="82"/>
  <c r="M50" i="82" s="1"/>
  <c r="L38" i="82"/>
  <c r="M38" i="82" s="1"/>
  <c r="L77" i="82"/>
  <c r="M77" i="82" s="1"/>
  <c r="L85" i="82"/>
  <c r="M85" i="82" s="1"/>
  <c r="L73" i="82"/>
  <c r="M73" i="82" s="1"/>
  <c r="L61" i="82"/>
  <c r="M61" i="82" s="1"/>
  <c r="L49" i="82"/>
  <c r="M49" i="82" s="1"/>
  <c r="L37" i="82"/>
  <c r="M37" i="82" s="1"/>
  <c r="L27" i="82"/>
  <c r="L20" i="82"/>
  <c r="L84" i="82"/>
  <c r="M84" i="82" s="1"/>
  <c r="L72" i="82"/>
  <c r="M72" i="82" s="1"/>
  <c r="L60" i="82"/>
  <c r="M60" i="82" s="1"/>
  <c r="L48" i="82"/>
  <c r="M48" i="82" s="1"/>
  <c r="L36" i="82"/>
  <c r="M36" i="82" s="1"/>
  <c r="L89" i="82"/>
  <c r="M89" i="82" s="1"/>
  <c r="L52" i="82"/>
  <c r="M52" i="82" s="1"/>
  <c r="L95" i="82"/>
  <c r="M95" i="82" s="1"/>
  <c r="L83" i="82"/>
  <c r="M83" i="82" s="1"/>
  <c r="L71" i="82"/>
  <c r="M71" i="82" s="1"/>
  <c r="L59" i="82"/>
  <c r="M59" i="82" s="1"/>
  <c r="L47" i="82"/>
  <c r="M47" i="82" s="1"/>
  <c r="L35" i="82"/>
  <c r="M35" i="82" s="1"/>
  <c r="L31" i="82"/>
  <c r="M31" i="82" s="1"/>
  <c r="L88" i="82"/>
  <c r="M88" i="82" s="1"/>
  <c r="L94" i="82"/>
  <c r="M94" i="82" s="1"/>
  <c r="L82" i="82"/>
  <c r="M82" i="82" s="1"/>
  <c r="L70" i="82"/>
  <c r="M70" i="82" s="1"/>
  <c r="L58" i="82"/>
  <c r="M58" i="82" s="1"/>
  <c r="L46" i="82"/>
  <c r="M46" i="82" s="1"/>
  <c r="L34" i="82"/>
  <c r="M34" i="82" s="1"/>
  <c r="L43" i="82"/>
  <c r="M43" i="82" s="1"/>
  <c r="L53" i="82"/>
  <c r="M53" i="82" s="1"/>
  <c r="L40" i="82"/>
  <c r="M40" i="82" s="1"/>
  <c r="L39" i="82"/>
  <c r="M39" i="82" s="1"/>
  <c r="L93" i="82"/>
  <c r="M93" i="82" s="1"/>
  <c r="L81" i="82"/>
  <c r="L69" i="82"/>
  <c r="M69" i="82" s="1"/>
  <c r="L57" i="82"/>
  <c r="M57" i="82" s="1"/>
  <c r="L45" i="82"/>
  <c r="M45" i="82" s="1"/>
  <c r="L33" i="82"/>
  <c r="M33" i="82" s="1"/>
  <c r="L55" i="82"/>
  <c r="M55" i="82" s="1"/>
  <c r="L29" i="82"/>
  <c r="M29" i="82" s="1"/>
  <c r="L76" i="82"/>
  <c r="M76" i="82" s="1"/>
  <c r="L87" i="82"/>
  <c r="M87" i="82" s="1"/>
  <c r="L92" i="82"/>
  <c r="M92" i="82" s="1"/>
  <c r="L80" i="82"/>
  <c r="M80" i="82" s="1"/>
  <c r="L68" i="82"/>
  <c r="M68" i="82" s="1"/>
  <c r="L56" i="82"/>
  <c r="M56" i="82" s="1"/>
  <c r="L44" i="82"/>
  <c r="M44" i="82" s="1"/>
  <c r="L32" i="82"/>
  <c r="M32" i="82" s="1"/>
  <c r="L79" i="82"/>
  <c r="M79" i="82" s="1"/>
  <c r="L41" i="82"/>
  <c r="M41" i="82" s="1"/>
  <c r="L64" i="82"/>
  <c r="M64" i="82" s="1"/>
  <c r="L75" i="82"/>
  <c r="M75" i="82" s="1"/>
  <c r="L91" i="82"/>
  <c r="M91" i="82" s="1"/>
  <c r="L67" i="82"/>
  <c r="M67" i="82" s="1"/>
  <c r="L63" i="82"/>
  <c r="M63" i="82" s="1"/>
  <c r="L90" i="82"/>
  <c r="M90" i="82" s="1"/>
  <c r="L78" i="82"/>
  <c r="M78" i="82" s="1"/>
  <c r="L66" i="82"/>
  <c r="M66" i="82" s="1"/>
  <c r="L54" i="82"/>
  <c r="M54" i="82" s="1"/>
  <c r="L42" i="82"/>
  <c r="M42" i="82" s="1"/>
  <c r="L30" i="82"/>
  <c r="M30" i="82" s="1"/>
  <c r="L65" i="82"/>
  <c r="M65" i="82" s="1"/>
  <c r="L28" i="82"/>
  <c r="M28" i="82" s="1"/>
  <c r="L51" i="82"/>
  <c r="M51" i="82" s="1"/>
  <c r="K81" i="82"/>
  <c r="S107" i="89" l="1"/>
  <c r="M81" i="82"/>
  <c r="J100" i="83"/>
  <c r="J99" i="83"/>
  <c r="J98" i="83"/>
  <c r="J97" i="83"/>
  <c r="J96" i="83"/>
  <c r="J95" i="83"/>
  <c r="J94" i="83"/>
  <c r="H94" i="83"/>
  <c r="J93" i="83"/>
  <c r="J92" i="83"/>
  <c r="J91" i="83"/>
  <c r="J90" i="83"/>
  <c r="J89" i="83"/>
  <c r="J88" i="83"/>
  <c r="J87" i="83"/>
  <c r="J86" i="83"/>
  <c r="J85" i="83"/>
  <c r="J84" i="83"/>
  <c r="J83" i="83"/>
  <c r="J82" i="83"/>
  <c r="J81" i="83"/>
  <c r="J80" i="83"/>
  <c r="J79" i="83"/>
  <c r="J78" i="83"/>
  <c r="J77" i="83"/>
  <c r="J76" i="83"/>
  <c r="J75" i="83"/>
  <c r="J74" i="83"/>
  <c r="J73" i="83"/>
  <c r="J72" i="83"/>
  <c r="J71" i="83"/>
  <c r="J70" i="83"/>
  <c r="J69" i="83"/>
  <c r="J68" i="83"/>
  <c r="J67" i="83"/>
  <c r="J66" i="83"/>
  <c r="J65" i="83"/>
  <c r="J64" i="83"/>
  <c r="J63" i="83"/>
  <c r="J62" i="83"/>
  <c r="J61" i="83"/>
  <c r="J60" i="83"/>
  <c r="J59" i="83"/>
  <c r="J58" i="83"/>
  <c r="J57" i="83"/>
  <c r="J56" i="83"/>
  <c r="J55" i="83"/>
  <c r="J54" i="83"/>
  <c r="J53" i="83"/>
  <c r="J52" i="83"/>
  <c r="J51" i="83"/>
  <c r="J50" i="83"/>
  <c r="J49" i="83"/>
  <c r="J48" i="83"/>
  <c r="J47" i="83"/>
  <c r="J46" i="83"/>
  <c r="J45" i="83"/>
  <c r="J44" i="83"/>
  <c r="J43" i="83"/>
  <c r="J42" i="83"/>
  <c r="J41" i="83"/>
  <c r="J40" i="83"/>
  <c r="J39" i="83"/>
  <c r="J38" i="83"/>
  <c r="J37" i="83"/>
  <c r="I35" i="83"/>
  <c r="I36" i="83" s="1"/>
  <c r="I16" i="83" s="1"/>
  <c r="I15" i="83" s="1"/>
  <c r="J34" i="83"/>
  <c r="J33" i="83"/>
  <c r="J32" i="83"/>
  <c r="J31" i="83"/>
  <c r="J30" i="83"/>
  <c r="J29" i="83"/>
  <c r="J28" i="83"/>
  <c r="J27" i="83"/>
  <c r="J26" i="83"/>
  <c r="J25" i="83"/>
  <c r="J24" i="83"/>
  <c r="H24" i="83"/>
  <c r="J22" i="83"/>
  <c r="J21" i="83"/>
  <c r="K20" i="83"/>
  <c r="K21" i="83" s="1"/>
  <c r="K22" i="83" s="1"/>
  <c r="K23" i="83" s="1"/>
  <c r="K24" i="83" s="1"/>
  <c r="K25" i="83" s="1"/>
  <c r="K26" i="83" s="1"/>
  <c r="K27" i="83" s="1"/>
  <c r="K28" i="83" s="1"/>
  <c r="K29" i="83" s="1"/>
  <c r="K30" i="83" s="1"/>
  <c r="K31" i="83" s="1"/>
  <c r="K32" i="83" s="1"/>
  <c r="K33" i="83" s="1"/>
  <c r="K34" i="83" s="1"/>
  <c r="J20" i="83"/>
  <c r="N20" i="83" s="1"/>
  <c r="M14" i="83"/>
  <c r="D13" i="83"/>
  <c r="D15" i="83" s="1"/>
  <c r="K12" i="83"/>
  <c r="E13" i="83" s="1"/>
  <c r="E15" i="83" s="1"/>
  <c r="J12" i="83"/>
  <c r="I12" i="83"/>
  <c r="E12" i="83"/>
  <c r="D12" i="83"/>
  <c r="C12" i="83"/>
  <c r="C13" i="83" s="1"/>
  <c r="C15" i="83" s="1"/>
  <c r="L11" i="83"/>
  <c r="L10" i="83"/>
  <c r="L9" i="83"/>
  <c r="L8" i="83"/>
  <c r="L7" i="83"/>
  <c r="L6" i="83"/>
  <c r="L5" i="83"/>
  <c r="L4" i="83"/>
  <c r="K35" i="83" l="1"/>
  <c r="L20" i="83"/>
  <c r="L21" i="83" s="1"/>
  <c r="L22" i="83" s="1"/>
  <c r="L23" i="83" s="1"/>
  <c r="L24" i="83" s="1"/>
  <c r="L25" i="83" s="1"/>
  <c r="L26" i="83" s="1"/>
  <c r="L27" i="83" s="1"/>
  <c r="L28" i="83" s="1"/>
  <c r="L29" i="83" s="1"/>
  <c r="L30" i="83" s="1"/>
  <c r="L31" i="83" s="1"/>
  <c r="L32" i="83" s="1"/>
  <c r="L33" i="83" s="1"/>
  <c r="L34" i="83" s="1"/>
  <c r="L35" i="83" s="1"/>
  <c r="N21" i="83"/>
  <c r="N24" i="83" s="1"/>
  <c r="N25" i="83" s="1"/>
  <c r="N26" i="83" s="1"/>
  <c r="N27" i="83" s="1"/>
  <c r="N28" i="83" s="1"/>
  <c r="N29" i="83" s="1"/>
  <c r="N30" i="83" s="1"/>
  <c r="N31" i="83" s="1"/>
  <c r="N32" i="83" s="1"/>
  <c r="N33" i="83" s="1"/>
  <c r="N34" i="83" s="1"/>
  <c r="N35" i="83" s="1"/>
  <c r="K36" i="83"/>
  <c r="K37" i="83" s="1"/>
  <c r="K38" i="83" s="1"/>
  <c r="K39" i="83" s="1"/>
  <c r="K40" i="83" s="1"/>
  <c r="K41" i="83" s="1"/>
  <c r="K42" i="83" s="1"/>
  <c r="K43" i="83" s="1"/>
  <c r="K44" i="83" s="1"/>
  <c r="K45" i="83" s="1"/>
  <c r="K46" i="83" s="1"/>
  <c r="K47" i="83" s="1"/>
  <c r="K48" i="83" s="1"/>
  <c r="K49" i="83" s="1"/>
  <c r="K50" i="83" s="1"/>
  <c r="K51" i="83" s="1"/>
  <c r="K52" i="83" s="1"/>
  <c r="K53" i="83" s="1"/>
  <c r="K54" i="83" s="1"/>
  <c r="K55" i="83" s="1"/>
  <c r="K56" i="83" s="1"/>
  <c r="K57" i="83" s="1"/>
  <c r="K58" i="83" s="1"/>
  <c r="K59" i="83" s="1"/>
  <c r="K60" i="83" s="1"/>
  <c r="K61" i="83" s="1"/>
  <c r="K62" i="83" s="1"/>
  <c r="K63" i="83" s="1"/>
  <c r="K64" i="83" s="1"/>
  <c r="K65" i="83" s="1"/>
  <c r="K66" i="83" s="1"/>
  <c r="K67" i="83" s="1"/>
  <c r="K68" i="83" s="1"/>
  <c r="K69" i="83" s="1"/>
  <c r="K70" i="83" s="1"/>
  <c r="K71" i="83" s="1"/>
  <c r="K72" i="83" s="1"/>
  <c r="K73" i="83" s="1"/>
  <c r="K74" i="83" s="1"/>
  <c r="K75" i="83" s="1"/>
  <c r="K76" i="83" s="1"/>
  <c r="K77" i="83" s="1"/>
  <c r="K78" i="83" s="1"/>
  <c r="K79" i="83" s="1"/>
  <c r="K80" i="83" s="1"/>
  <c r="K81" i="83" s="1"/>
  <c r="K82" i="83" s="1"/>
  <c r="K83" i="83" s="1"/>
  <c r="K84" i="83" s="1"/>
  <c r="K85" i="83" s="1"/>
  <c r="K86" i="83" s="1"/>
  <c r="K87" i="83" s="1"/>
  <c r="K88" i="83" s="1"/>
  <c r="K89" i="83" s="1"/>
  <c r="K90" i="83" s="1"/>
  <c r="K91" i="83" s="1"/>
  <c r="K92" i="83" s="1"/>
  <c r="K93" i="83" s="1"/>
  <c r="K94" i="83" s="1"/>
  <c r="K95" i="83" s="1"/>
  <c r="K96" i="83" s="1"/>
  <c r="K97" i="83" s="1"/>
  <c r="K98" i="83" s="1"/>
  <c r="K99" i="83" s="1"/>
  <c r="K100" i="83" s="1"/>
  <c r="L12" i="83"/>
  <c r="J36" i="83"/>
  <c r="N36" i="83" s="1"/>
  <c r="N37" i="83" s="1"/>
  <c r="N38" i="83" s="1"/>
  <c r="N39" i="83" s="1"/>
  <c r="N40" i="83" s="1"/>
  <c r="N41" i="83" s="1"/>
  <c r="N42" i="83" s="1"/>
  <c r="N43" i="83" s="1"/>
  <c r="N44" i="83" s="1"/>
  <c r="N45" i="83" s="1"/>
  <c r="N46" i="83" s="1"/>
  <c r="N47" i="83" s="1"/>
  <c r="N48" i="83" s="1"/>
  <c r="N49" i="83" s="1"/>
  <c r="N50" i="83" s="1"/>
  <c r="N51" i="83" s="1"/>
  <c r="N52" i="83" s="1"/>
  <c r="N53" i="83" s="1"/>
  <c r="N54" i="83" s="1"/>
  <c r="N55" i="83" s="1"/>
  <c r="N56" i="83" s="1"/>
  <c r="N57" i="83" s="1"/>
  <c r="N58" i="83" s="1"/>
  <c r="N59" i="83" s="1"/>
  <c r="N60" i="83" s="1"/>
  <c r="N61" i="83" s="1"/>
  <c r="N62" i="83" s="1"/>
  <c r="N63" i="83" s="1"/>
  <c r="N64" i="83" s="1"/>
  <c r="N65" i="83" s="1"/>
  <c r="N66" i="83" s="1"/>
  <c r="N67" i="83" s="1"/>
  <c r="N68" i="83" s="1"/>
  <c r="N69" i="83" s="1"/>
  <c r="N70" i="83" s="1"/>
  <c r="N71" i="83" s="1"/>
  <c r="N72" i="83" s="1"/>
  <c r="N73" i="83" s="1"/>
  <c r="N74" i="83" s="1"/>
  <c r="N75" i="83" s="1"/>
  <c r="N76" i="83" s="1"/>
  <c r="N77" i="83" s="1"/>
  <c r="N78" i="83" s="1"/>
  <c r="N79" i="83" s="1"/>
  <c r="N80" i="83" s="1"/>
  <c r="N81" i="83" s="1"/>
  <c r="N82" i="83" s="1"/>
  <c r="N83" i="83" s="1"/>
  <c r="N84" i="83" s="1"/>
  <c r="N85" i="83" s="1"/>
  <c r="N86" i="83" s="1"/>
  <c r="N87" i="83" s="1"/>
  <c r="N88" i="83" s="1"/>
  <c r="N89" i="83" s="1"/>
  <c r="N90" i="83" s="1"/>
  <c r="N91" i="83" s="1"/>
  <c r="N92" i="83" s="1"/>
  <c r="N93" i="83" s="1"/>
  <c r="N94" i="83" s="1"/>
  <c r="N95" i="83" s="1"/>
  <c r="N96" i="83" s="1"/>
  <c r="N97" i="83" s="1"/>
  <c r="N98" i="83" s="1"/>
  <c r="N99" i="83" s="1"/>
  <c r="N100" i="83" s="1"/>
  <c r="J16" i="83" l="1"/>
  <c r="J15" i="83" s="1"/>
  <c r="L36" i="83"/>
  <c r="L37" i="83" s="1"/>
  <c r="L38" i="83" s="1"/>
  <c r="L39" i="83" s="1"/>
  <c r="L40" i="83" s="1"/>
  <c r="L41" i="83" s="1"/>
  <c r="L42" i="83" s="1"/>
  <c r="L43" i="83" s="1"/>
  <c r="L44" i="83" s="1"/>
  <c r="L45" i="83" s="1"/>
  <c r="L46" i="83" s="1"/>
  <c r="L47" i="83" s="1"/>
  <c r="L48" i="83" s="1"/>
  <c r="L49" i="83" s="1"/>
  <c r="L50" i="83" s="1"/>
  <c r="L51" i="83" s="1"/>
  <c r="L52" i="83" s="1"/>
  <c r="L53" i="83" s="1"/>
  <c r="L54" i="83" s="1"/>
  <c r="L55" i="83" s="1"/>
  <c r="L56" i="83" s="1"/>
  <c r="L57" i="83" s="1"/>
  <c r="L58" i="83" s="1"/>
  <c r="L59" i="83" s="1"/>
  <c r="L60" i="83" s="1"/>
  <c r="L61" i="83" s="1"/>
  <c r="L62" i="83" s="1"/>
  <c r="L63" i="83" s="1"/>
  <c r="L64" i="83" s="1"/>
  <c r="L65" i="83" s="1"/>
  <c r="L66" i="83" s="1"/>
  <c r="L67" i="83" s="1"/>
  <c r="L68" i="83" s="1"/>
  <c r="L69" i="83" s="1"/>
  <c r="L70" i="83" s="1"/>
  <c r="L71" i="83" s="1"/>
  <c r="L72" i="83" s="1"/>
  <c r="L73" i="83" s="1"/>
  <c r="L74" i="83" s="1"/>
  <c r="L75" i="83" s="1"/>
  <c r="L76" i="83" s="1"/>
  <c r="L77" i="83" s="1"/>
  <c r="L78" i="83" s="1"/>
  <c r="L79" i="83" s="1"/>
  <c r="L80" i="83" s="1"/>
  <c r="L81" i="83" s="1"/>
  <c r="L82" i="83" s="1"/>
  <c r="L83" i="83" s="1"/>
  <c r="L84" i="83" s="1"/>
  <c r="L85" i="83" s="1"/>
  <c r="L86" i="83" s="1"/>
  <c r="L87" i="83" s="1"/>
  <c r="L88" i="83" s="1"/>
  <c r="L89" i="83" s="1"/>
  <c r="L90" i="83" s="1"/>
  <c r="L91" i="83" s="1"/>
  <c r="L92" i="83" s="1"/>
  <c r="L93" i="83" s="1"/>
  <c r="L94" i="83" s="1"/>
  <c r="L95" i="83" s="1"/>
  <c r="L96" i="83" s="1"/>
  <c r="L97" i="83" s="1"/>
  <c r="L98" i="83" s="1"/>
  <c r="L99" i="83" s="1"/>
  <c r="L100" i="83" s="1"/>
  <c r="F12" i="82" l="1"/>
  <c r="F11" i="82"/>
  <c r="F9" i="82"/>
  <c r="M9" i="82" s="1"/>
  <c r="F7" i="82"/>
  <c r="M7" i="82" s="1"/>
  <c r="F5" i="82"/>
  <c r="S19" i="82" l="1"/>
  <c r="L12" i="82"/>
  <c r="M12" i="82" s="1"/>
  <c r="L11" i="82"/>
  <c r="M11" i="82" s="1"/>
  <c r="G22" i="81" l="1"/>
  <c r="N21" i="81"/>
  <c r="G21" i="81"/>
  <c r="N20" i="81"/>
  <c r="G20" i="81"/>
  <c r="N19" i="81"/>
  <c r="G19" i="81"/>
  <c r="N18" i="81"/>
  <c r="G18" i="81"/>
  <c r="N17" i="81"/>
  <c r="G17" i="81"/>
  <c r="N16" i="81"/>
  <c r="G16" i="81"/>
  <c r="N15" i="81"/>
  <c r="G15" i="81"/>
  <c r="N14" i="81"/>
  <c r="G14" i="81"/>
  <c r="N13" i="81"/>
  <c r="G13" i="81"/>
  <c r="N12" i="81"/>
  <c r="G12" i="81"/>
  <c r="N11" i="81"/>
  <c r="G11" i="81"/>
  <c r="N10" i="81"/>
  <c r="G10" i="81"/>
  <c r="N9" i="81"/>
  <c r="G9" i="81"/>
  <c r="N8" i="81"/>
  <c r="G8" i="81"/>
  <c r="N7" i="81"/>
  <c r="G7" i="81"/>
  <c r="N6" i="81"/>
  <c r="G6" i="81"/>
  <c r="N5" i="81"/>
  <c r="G5" i="81"/>
  <c r="G17" i="80"/>
  <c r="L24" i="82" l="1"/>
  <c r="M24" i="82" s="1"/>
  <c r="L26" i="82"/>
  <c r="K26" i="82" s="1"/>
  <c r="L25" i="82"/>
  <c r="M25" i="82" s="1"/>
  <c r="L23" i="82"/>
  <c r="M23" i="82" s="1"/>
  <c r="L22" i="82"/>
  <c r="M22" i="82" s="1"/>
  <c r="L21" i="82"/>
  <c r="M21" i="82" s="1"/>
  <c r="I87" i="74"/>
  <c r="I52" i="74"/>
  <c r="O21" i="86" l="1"/>
  <c r="O22" i="86" s="1"/>
  <c r="O23" i="86" s="1"/>
  <c r="O24" i="86" s="1"/>
  <c r="O21" i="82"/>
  <c r="O22" i="82" s="1"/>
  <c r="O23" i="82" s="1"/>
  <c r="O24" i="82" s="1"/>
  <c r="O25" i="82" s="1"/>
  <c r="O26" i="82" s="1"/>
  <c r="S21" i="82"/>
  <c r="S22" i="82" s="1"/>
  <c r="S23" i="82" s="1"/>
  <c r="S24" i="82" s="1"/>
  <c r="S25" i="82" s="1"/>
  <c r="S26" i="82" s="1"/>
  <c r="K27" i="82"/>
  <c r="M27" i="82" s="1"/>
  <c r="S27" i="82" s="1"/>
  <c r="S28" i="82" s="1"/>
  <c r="S29" i="82" s="1"/>
  <c r="S30" i="82" s="1"/>
  <c r="S31" i="82" s="1"/>
  <c r="S32" i="82" s="1"/>
  <c r="S33" i="82" s="1"/>
  <c r="S34" i="82" s="1"/>
  <c r="S35" i="82" s="1"/>
  <c r="S36" i="82" s="1"/>
  <c r="S37" i="82" s="1"/>
  <c r="S38" i="82" s="1"/>
  <c r="S39" i="82" s="1"/>
  <c r="S40" i="82" s="1"/>
  <c r="S41" i="82" s="1"/>
  <c r="S42" i="82" s="1"/>
  <c r="S43" i="82" s="1"/>
  <c r="S44" i="82" s="1"/>
  <c r="S45" i="82" s="1"/>
  <c r="S46" i="82" s="1"/>
  <c r="S47" i="82" s="1"/>
  <c r="S48" i="82" s="1"/>
  <c r="S49" i="82" s="1"/>
  <c r="S50" i="82" s="1"/>
  <c r="S51" i="82" s="1"/>
  <c r="S52" i="82" s="1"/>
  <c r="S53" i="82" s="1"/>
  <c r="S54" i="82" s="1"/>
  <c r="S55" i="82" s="1"/>
  <c r="S56" i="82" s="1"/>
  <c r="S57" i="82" s="1"/>
  <c r="S58" i="82" s="1"/>
  <c r="S59" i="82" s="1"/>
  <c r="S60" i="82" s="1"/>
  <c r="S61" i="82" s="1"/>
  <c r="S62" i="82" s="1"/>
  <c r="S63" i="82" s="1"/>
  <c r="S64" i="82" s="1"/>
  <c r="S65" i="82" s="1"/>
  <c r="S66" i="82" s="1"/>
  <c r="S67" i="82" s="1"/>
  <c r="S68" i="82" s="1"/>
  <c r="S69" i="82" s="1"/>
  <c r="S70" i="82" s="1"/>
  <c r="S71" i="82" s="1"/>
  <c r="S72" i="82" s="1"/>
  <c r="S73" i="82" s="1"/>
  <c r="S74" i="82" s="1"/>
  <c r="S75" i="82" s="1"/>
  <c r="S76" i="82" s="1"/>
  <c r="S77" i="82" s="1"/>
  <c r="S78" i="82" s="1"/>
  <c r="S79" i="82" s="1"/>
  <c r="S80" i="82" s="1"/>
  <c r="S81" i="82" s="1"/>
  <c r="S82" i="82" s="1"/>
  <c r="S83" i="82" s="1"/>
  <c r="S84" i="82" s="1"/>
  <c r="S85" i="82" s="1"/>
  <c r="S86" i="82" s="1"/>
  <c r="S87" i="82" s="1"/>
  <c r="S88" i="82" s="1"/>
  <c r="S89" i="82" s="1"/>
  <c r="S90" i="82" s="1"/>
  <c r="S91" i="82" s="1"/>
  <c r="S92" i="82" s="1"/>
  <c r="S93" i="82" s="1"/>
  <c r="S94" i="82" s="1"/>
  <c r="S95" i="82" s="1"/>
  <c r="N26" i="82"/>
  <c r="K15" i="82"/>
  <c r="M15" i="82"/>
  <c r="H30" i="68"/>
  <c r="H29" i="68"/>
  <c r="S22" i="86" l="1"/>
  <c r="S23" i="86" s="1"/>
  <c r="S24" i="86" s="1"/>
  <c r="N27" i="82"/>
  <c r="N28" i="82" s="1"/>
  <c r="N29" i="82" s="1"/>
  <c r="N30" i="82" s="1"/>
  <c r="N31" i="82" s="1"/>
  <c r="N32" i="82" s="1"/>
  <c r="N33" i="82" s="1"/>
  <c r="N34" i="82" s="1"/>
  <c r="N35" i="82" s="1"/>
  <c r="N36" i="82" s="1"/>
  <c r="N37" i="82" s="1"/>
  <c r="N38" i="82" s="1"/>
  <c r="N39" i="82" s="1"/>
  <c r="N40" i="82" s="1"/>
  <c r="N41" i="82" s="1"/>
  <c r="N42" i="82" s="1"/>
  <c r="N43" i="82" s="1"/>
  <c r="N44" i="82" s="1"/>
  <c r="N45" i="82" s="1"/>
  <c r="N46" i="82" s="1"/>
  <c r="N47" i="82" s="1"/>
  <c r="N48" i="82" s="1"/>
  <c r="N49" i="82" s="1"/>
  <c r="N50" i="82" s="1"/>
  <c r="N51" i="82" s="1"/>
  <c r="N52" i="82" s="1"/>
  <c r="N53" i="82" s="1"/>
  <c r="N54" i="82" s="1"/>
  <c r="N55" i="82" s="1"/>
  <c r="N56" i="82" s="1"/>
  <c r="N57" i="82" s="1"/>
  <c r="N58" i="82" s="1"/>
  <c r="N59" i="82" s="1"/>
  <c r="N60" i="82" s="1"/>
  <c r="N61" i="82" s="1"/>
  <c r="N62" i="82" s="1"/>
  <c r="N63" i="82" s="1"/>
  <c r="N64" i="82" s="1"/>
  <c r="N65" i="82" s="1"/>
  <c r="N66" i="82" s="1"/>
  <c r="N67" i="82" s="1"/>
  <c r="N68" i="82" s="1"/>
  <c r="N69" i="82" s="1"/>
  <c r="N70" i="82" s="1"/>
  <c r="N71" i="82" s="1"/>
  <c r="N72" i="82" s="1"/>
  <c r="N73" i="82" s="1"/>
  <c r="N74" i="82" s="1"/>
  <c r="N75" i="82" s="1"/>
  <c r="N76" i="82" s="1"/>
  <c r="N77" i="82" s="1"/>
  <c r="N78" i="82" s="1"/>
  <c r="N79" i="82" s="1"/>
  <c r="N80" i="82" s="1"/>
  <c r="N81" i="82" s="1"/>
  <c r="N82" i="82" s="1"/>
  <c r="N83" i="82" s="1"/>
  <c r="N84" i="82" s="1"/>
  <c r="N85" i="82" s="1"/>
  <c r="N86" i="82" s="1"/>
  <c r="N87" i="82" s="1"/>
  <c r="N88" i="82" s="1"/>
  <c r="N89" i="82" s="1"/>
  <c r="N90" i="82" s="1"/>
  <c r="N91" i="82" s="1"/>
  <c r="N92" i="82" s="1"/>
  <c r="N93" i="82" s="1"/>
  <c r="N94" i="82" s="1"/>
  <c r="N95" i="82" s="1"/>
  <c r="S96" i="82"/>
  <c r="O27" i="82"/>
  <c r="O28" i="82" s="1"/>
  <c r="O29" i="82" s="1"/>
  <c r="O30" i="82" s="1"/>
  <c r="O31" i="82" s="1"/>
  <c r="O32" i="82" s="1"/>
  <c r="O33" i="82" s="1"/>
  <c r="O34" i="82" s="1"/>
  <c r="O35" i="82" s="1"/>
  <c r="O36" i="82" s="1"/>
  <c r="O37" i="82" s="1"/>
  <c r="O38" i="82" s="1"/>
  <c r="O39" i="82" s="1"/>
  <c r="O40" i="82" s="1"/>
  <c r="O41" i="82" s="1"/>
  <c r="O42" i="82" s="1"/>
  <c r="O43" i="82" s="1"/>
  <c r="O44" i="82" s="1"/>
  <c r="O45" i="82" s="1"/>
  <c r="O46" i="82" s="1"/>
  <c r="O47" i="82" s="1"/>
  <c r="O48" i="82" s="1"/>
  <c r="O49" i="82" s="1"/>
  <c r="O50" i="82" s="1"/>
  <c r="O51" i="82" s="1"/>
  <c r="O52" i="82" s="1"/>
  <c r="O53" i="82" s="1"/>
  <c r="O54" i="82" s="1"/>
  <c r="O55" i="82" s="1"/>
  <c r="O56" i="82" s="1"/>
  <c r="O57" i="82" s="1"/>
  <c r="O58" i="82" s="1"/>
  <c r="O59" i="82" s="1"/>
  <c r="O60" i="82" s="1"/>
  <c r="O61" i="82" s="1"/>
  <c r="O62" i="82" s="1"/>
  <c r="O63" i="82" s="1"/>
  <c r="O64" i="82" s="1"/>
  <c r="O65" i="82" s="1"/>
  <c r="O66" i="82" s="1"/>
  <c r="O67" i="82" s="1"/>
  <c r="O68" i="82" s="1"/>
  <c r="O69" i="82" s="1"/>
  <c r="O70" i="82" s="1"/>
  <c r="O71" i="82" s="1"/>
  <c r="O72" i="82" s="1"/>
  <c r="O73" i="82" s="1"/>
  <c r="O74" i="82" s="1"/>
  <c r="O75" i="82" s="1"/>
  <c r="O76" i="82" s="1"/>
  <c r="O77" i="82" s="1"/>
  <c r="O78" i="82" s="1"/>
  <c r="O79" i="82" s="1"/>
  <c r="O80" i="82" s="1"/>
  <c r="O81" i="82" s="1"/>
  <c r="O82" i="82" s="1"/>
  <c r="O83" i="82" s="1"/>
  <c r="O84" i="82" s="1"/>
  <c r="O85" i="82" s="1"/>
  <c r="O86" i="82" s="1"/>
  <c r="O87" i="82" s="1"/>
  <c r="O88" i="82" s="1"/>
  <c r="O89" i="82" s="1"/>
  <c r="O90" i="82" s="1"/>
  <c r="O91" i="82" s="1"/>
  <c r="O92" i="82" s="1"/>
  <c r="O93" i="82" s="1"/>
  <c r="O94" i="82" s="1"/>
  <c r="O95" i="82" s="1"/>
  <c r="K20" i="74"/>
  <c r="K21" i="74" s="1"/>
  <c r="K22" i="74" s="1"/>
  <c r="K23" i="74" s="1"/>
  <c r="K24" i="74" s="1"/>
  <c r="K25" i="74" s="1"/>
  <c r="K26" i="74" s="1"/>
  <c r="K27" i="74" s="1"/>
  <c r="K28" i="74" s="1"/>
  <c r="K29" i="74" s="1"/>
  <c r="K30" i="74" s="1"/>
  <c r="K31" i="74" s="1"/>
  <c r="K32" i="74" s="1"/>
  <c r="K33" i="74" s="1"/>
  <c r="K34" i="74" s="1"/>
  <c r="K35" i="74" s="1"/>
  <c r="K36" i="74" s="1"/>
  <c r="K37" i="74" s="1"/>
  <c r="K38" i="74" s="1"/>
  <c r="K39" i="74" s="1"/>
  <c r="K40" i="74" s="1"/>
  <c r="K41" i="74" s="1"/>
  <c r="K42" i="74" s="1"/>
  <c r="K43" i="74" s="1"/>
  <c r="K44" i="74" s="1"/>
  <c r="K45" i="74" s="1"/>
  <c r="K46" i="74" s="1"/>
  <c r="K47" i="74" s="1"/>
  <c r="K48" i="74" s="1"/>
  <c r="K49" i="74" s="1"/>
  <c r="K50" i="74" s="1"/>
  <c r="K51" i="74" s="1"/>
  <c r="K52" i="74" s="1"/>
  <c r="K53" i="74" s="1"/>
  <c r="K54" i="74" s="1"/>
  <c r="K55" i="74" s="1"/>
  <c r="K56" i="74" s="1"/>
  <c r="K57" i="74" s="1"/>
  <c r="K58" i="74" s="1"/>
  <c r="K59" i="74" s="1"/>
  <c r="K60" i="74" s="1"/>
  <c r="K61" i="74" s="1"/>
  <c r="K62" i="74" s="1"/>
  <c r="K63" i="74" s="1"/>
  <c r="K64" i="74" s="1"/>
  <c r="K65" i="74" s="1"/>
  <c r="K66" i="74" s="1"/>
  <c r="K67" i="74" s="1"/>
  <c r="K68" i="74" s="1"/>
  <c r="K69" i="74" s="1"/>
  <c r="K70" i="74" s="1"/>
  <c r="K71" i="74" s="1"/>
  <c r="K72" i="74" s="1"/>
  <c r="K73" i="74" s="1"/>
  <c r="K74" i="74" s="1"/>
  <c r="K75" i="74" s="1"/>
  <c r="K76" i="74" s="1"/>
  <c r="K77" i="74" s="1"/>
  <c r="K78" i="74" s="1"/>
  <c r="K79" i="74" s="1"/>
  <c r="K80" i="74" s="1"/>
  <c r="K81" i="74" s="1"/>
  <c r="K82" i="74" s="1"/>
  <c r="K83" i="74" s="1"/>
  <c r="K84" i="74" s="1"/>
  <c r="K85" i="74" s="1"/>
  <c r="K86" i="74" s="1"/>
  <c r="K87" i="74" s="1"/>
  <c r="K88" i="74" s="1"/>
  <c r="K89" i="74" s="1"/>
  <c r="K90" i="74" s="1"/>
  <c r="K91" i="74" s="1"/>
  <c r="K92" i="74" s="1"/>
  <c r="K93" i="74" s="1"/>
  <c r="K94" i="74" s="1"/>
  <c r="K95" i="74" s="1"/>
  <c r="K96" i="74" s="1"/>
  <c r="K97" i="74" s="1"/>
  <c r="M14" i="74"/>
  <c r="K12" i="74"/>
  <c r="E12" i="74"/>
  <c r="L11" i="74"/>
  <c r="R10" i="74"/>
  <c r="L10" i="74"/>
  <c r="R9" i="74"/>
  <c r="L9" i="74"/>
  <c r="R8" i="74"/>
  <c r="L8" i="74"/>
  <c r="R7" i="74"/>
  <c r="L7" i="74"/>
  <c r="R6" i="74"/>
  <c r="L6" i="74"/>
  <c r="R5" i="74"/>
  <c r="L5" i="74"/>
  <c r="L4" i="74"/>
  <c r="K22" i="68"/>
  <c r="L11" i="70"/>
  <c r="L10" i="70"/>
  <c r="L9" i="70"/>
  <c r="L8" i="70"/>
  <c r="L7" i="70"/>
  <c r="L6" i="70"/>
  <c r="L5" i="70"/>
  <c r="L4" i="70"/>
  <c r="E12" i="70"/>
  <c r="L12" i="70" s="1"/>
  <c r="C12" i="70"/>
  <c r="K20" i="70"/>
  <c r="K21" i="70" s="1"/>
  <c r="K22" i="70" s="1"/>
  <c r="K23" i="70" s="1"/>
  <c r="K24" i="70" s="1"/>
  <c r="K25" i="70" s="1"/>
  <c r="K26" i="70" s="1"/>
  <c r="K27" i="70" s="1"/>
  <c r="K28" i="70" s="1"/>
  <c r="K29" i="70" s="1"/>
  <c r="K30" i="70" s="1"/>
  <c r="K31" i="70" s="1"/>
  <c r="K32" i="70" s="1"/>
  <c r="K33" i="70" s="1"/>
  <c r="K34" i="70" s="1"/>
  <c r="K35" i="70" s="1"/>
  <c r="K36" i="70" s="1"/>
  <c r="K37" i="70" s="1"/>
  <c r="K38" i="70" s="1"/>
  <c r="K39" i="70" s="1"/>
  <c r="K40" i="70" s="1"/>
  <c r="K41" i="70" s="1"/>
  <c r="K42" i="70" s="1"/>
  <c r="K43" i="70" s="1"/>
  <c r="K44" i="70" s="1"/>
  <c r="K45" i="70" s="1"/>
  <c r="K46" i="70" s="1"/>
  <c r="K47" i="70" s="1"/>
  <c r="K48" i="70" s="1"/>
  <c r="K49" i="70" s="1"/>
  <c r="K50" i="70" s="1"/>
  <c r="K51" i="70" s="1"/>
  <c r="K52" i="70" s="1"/>
  <c r="K53" i="70" s="1"/>
  <c r="K54" i="70" s="1"/>
  <c r="K55" i="70" s="1"/>
  <c r="K56" i="70" s="1"/>
  <c r="K57" i="70" s="1"/>
  <c r="K58" i="70" s="1"/>
  <c r="K59" i="70" s="1"/>
  <c r="K60" i="70" s="1"/>
  <c r="K61" i="70" s="1"/>
  <c r="K62" i="70" s="1"/>
  <c r="K63" i="70" s="1"/>
  <c r="K64" i="70" s="1"/>
  <c r="K65" i="70" s="1"/>
  <c r="K66" i="70" s="1"/>
  <c r="K67" i="70" s="1"/>
  <c r="K68" i="70" s="1"/>
  <c r="K69" i="70" s="1"/>
  <c r="K70" i="70" s="1"/>
  <c r="K71" i="70" s="1"/>
  <c r="K72" i="70" s="1"/>
  <c r="K73" i="70" s="1"/>
  <c r="K74" i="70" s="1"/>
  <c r="K75" i="70" s="1"/>
  <c r="K76" i="70" s="1"/>
  <c r="K77" i="70" s="1"/>
  <c r="K78" i="70" s="1"/>
  <c r="K79" i="70" s="1"/>
  <c r="F19" i="73"/>
  <c r="G20" i="72"/>
  <c r="G19" i="72"/>
  <c r="G18" i="72"/>
  <c r="G17" i="72"/>
  <c r="G16" i="72"/>
  <c r="G15" i="72"/>
  <c r="G14" i="72"/>
  <c r="G13" i="72"/>
  <c r="G12" i="72"/>
  <c r="G11" i="72"/>
  <c r="G10" i="72"/>
  <c r="G9" i="72"/>
  <c r="G8" i="72"/>
  <c r="G7" i="72"/>
  <c r="G6" i="72"/>
  <c r="G5" i="72"/>
  <c r="G21" i="72" s="1"/>
  <c r="J112" i="74" l="1"/>
  <c r="J100" i="74"/>
  <c r="J111" i="74"/>
  <c r="J110" i="74"/>
  <c r="J107" i="74"/>
  <c r="J109" i="74"/>
  <c r="J106" i="74"/>
  <c r="J108" i="74"/>
  <c r="J119" i="74"/>
  <c r="J113" i="74"/>
  <c r="J101" i="74"/>
  <c r="J118" i="74"/>
  <c r="J105" i="74"/>
  <c r="J117" i="74"/>
  <c r="J104" i="74"/>
  <c r="J115" i="74"/>
  <c r="J103" i="74"/>
  <c r="J114" i="74"/>
  <c r="J102" i="74"/>
  <c r="J89" i="70"/>
  <c r="I98" i="74"/>
  <c r="J97" i="74"/>
  <c r="J85" i="74"/>
  <c r="J73" i="74"/>
  <c r="J61" i="74"/>
  <c r="J48" i="74"/>
  <c r="J36" i="74"/>
  <c r="J96" i="74"/>
  <c r="J84" i="74"/>
  <c r="J72" i="74"/>
  <c r="J60" i="74"/>
  <c r="J47" i="74"/>
  <c r="J95" i="74"/>
  <c r="J83" i="74"/>
  <c r="J71" i="74"/>
  <c r="J59" i="74"/>
  <c r="J46" i="74"/>
  <c r="J79" i="74"/>
  <c r="J51" i="74"/>
  <c r="J86" i="74"/>
  <c r="J94" i="74"/>
  <c r="J82" i="74"/>
  <c r="J70" i="74"/>
  <c r="J58" i="74"/>
  <c r="J45" i="74"/>
  <c r="J44" i="74"/>
  <c r="J42" i="74"/>
  <c r="J40" i="74"/>
  <c r="J50" i="74"/>
  <c r="J93" i="74"/>
  <c r="J81" i="74"/>
  <c r="J69" i="74"/>
  <c r="J57" i="74"/>
  <c r="J67" i="74"/>
  <c r="J64" i="74"/>
  <c r="J92" i="74"/>
  <c r="J80" i="74"/>
  <c r="J68" i="74"/>
  <c r="J56" i="74"/>
  <c r="J43" i="74"/>
  <c r="J91" i="74"/>
  <c r="J55" i="74"/>
  <c r="J39" i="74"/>
  <c r="J52" i="74"/>
  <c r="J49" i="74"/>
  <c r="J90" i="74"/>
  <c r="J78" i="74"/>
  <c r="J66" i="74"/>
  <c r="J54" i="74"/>
  <c r="J41" i="74"/>
  <c r="J77" i="74"/>
  <c r="J65" i="74"/>
  <c r="J53" i="74"/>
  <c r="J38" i="74"/>
  <c r="J37" i="74"/>
  <c r="J89" i="74"/>
  <c r="J62" i="74"/>
  <c r="J88" i="74"/>
  <c r="J76" i="74"/>
  <c r="J74" i="74"/>
  <c r="J87" i="74"/>
  <c r="J75" i="74"/>
  <c r="J63" i="74"/>
  <c r="J34" i="74"/>
  <c r="J22" i="74"/>
  <c r="J33" i="74"/>
  <c r="J29" i="74"/>
  <c r="J25" i="74"/>
  <c r="J32" i="74"/>
  <c r="J30" i="74"/>
  <c r="J28" i="74"/>
  <c r="J26" i="74"/>
  <c r="J31" i="74"/>
  <c r="J23" i="74"/>
  <c r="J27" i="74"/>
  <c r="J24" i="74"/>
  <c r="J35" i="74"/>
  <c r="E13" i="74"/>
  <c r="E14" i="74" s="1"/>
  <c r="L12" i="74"/>
  <c r="J90" i="70"/>
  <c r="J91" i="70"/>
  <c r="J96" i="70"/>
  <c r="J84" i="70"/>
  <c r="J92" i="70"/>
  <c r="J93" i="70"/>
  <c r="J82" i="70"/>
  <c r="J94" i="70"/>
  <c r="J83" i="70"/>
  <c r="J95" i="70"/>
  <c r="J97" i="70"/>
  <c r="J86" i="70"/>
  <c r="J98" i="70"/>
  <c r="J85" i="70"/>
  <c r="J87" i="70"/>
  <c r="J99" i="70"/>
  <c r="J88" i="70"/>
  <c r="I99" i="74" l="1"/>
  <c r="J99" i="74" s="1"/>
  <c r="N99" i="74" s="1"/>
  <c r="N100" i="74" s="1"/>
  <c r="N101" i="74" s="1"/>
  <c r="N102" i="74" s="1"/>
  <c r="N103" i="74" s="1"/>
  <c r="N104" i="74" s="1"/>
  <c r="N105" i="74" s="1"/>
  <c r="N106" i="74" s="1"/>
  <c r="N107" i="74" s="1"/>
  <c r="N108" i="74" s="1"/>
  <c r="N109" i="74" s="1"/>
  <c r="N110" i="74" s="1"/>
  <c r="N111" i="74" s="1"/>
  <c r="N112" i="74" s="1"/>
  <c r="N113" i="74" s="1"/>
  <c r="N114" i="74" s="1"/>
  <c r="N115" i="74" s="1"/>
  <c r="N116" i="74" s="1"/>
  <c r="N117" i="74" s="1"/>
  <c r="I16" i="74"/>
  <c r="K98" i="74"/>
  <c r="M14" i="70"/>
  <c r="K12" i="70"/>
  <c r="R10" i="70"/>
  <c r="R9" i="70"/>
  <c r="R8" i="70"/>
  <c r="R7" i="70"/>
  <c r="R6" i="70"/>
  <c r="R5" i="70"/>
  <c r="E12" i="68"/>
  <c r="D12" i="68"/>
  <c r="C12" i="68"/>
  <c r="K99" i="74" l="1"/>
  <c r="K100" i="74" s="1"/>
  <c r="K101" i="74" s="1"/>
  <c r="K102" i="74" s="1"/>
  <c r="K103" i="74" s="1"/>
  <c r="K104" i="74" s="1"/>
  <c r="K105" i="74" s="1"/>
  <c r="K106" i="74" s="1"/>
  <c r="K107" i="74" s="1"/>
  <c r="K108" i="74" s="1"/>
  <c r="K109" i="74" s="1"/>
  <c r="K110" i="74" s="1"/>
  <c r="K111" i="74" s="1"/>
  <c r="K112" i="74" s="1"/>
  <c r="K113" i="74" s="1"/>
  <c r="K114" i="74" s="1"/>
  <c r="K115" i="74" s="1"/>
  <c r="K116" i="74" s="1"/>
  <c r="K117" i="74" s="1"/>
  <c r="K118" i="74" s="1"/>
  <c r="K119" i="74" s="1"/>
  <c r="E13" i="70"/>
  <c r="G19" i="64" l="1"/>
  <c r="G18" i="64"/>
  <c r="G17" i="64"/>
  <c r="G16" i="64"/>
  <c r="G15" i="64"/>
  <c r="G14" i="64"/>
  <c r="G13" i="64"/>
  <c r="G12" i="64"/>
  <c r="G11" i="64"/>
  <c r="G10" i="64"/>
  <c r="G9" i="64"/>
  <c r="G8" i="64"/>
  <c r="G7" i="64"/>
  <c r="G6" i="64"/>
  <c r="J20" i="74" l="1"/>
  <c r="J16" i="74" s="1"/>
  <c r="N22" i="74"/>
  <c r="N23" i="74" s="1"/>
  <c r="N24" i="74" s="1"/>
  <c r="N25" i="74" s="1"/>
  <c r="N26" i="74" s="1"/>
  <c r="N27" i="74" s="1"/>
  <c r="N28" i="74" s="1"/>
  <c r="N29" i="74" s="1"/>
  <c r="N30" i="74" s="1"/>
  <c r="N31" i="74" s="1"/>
  <c r="N32" i="74" s="1"/>
  <c r="N33" i="74" s="1"/>
  <c r="N34" i="74" s="1"/>
  <c r="N35" i="74" s="1"/>
  <c r="N36" i="74" s="1"/>
  <c r="N37" i="74" s="1"/>
  <c r="N38" i="74" s="1"/>
  <c r="N39" i="74" s="1"/>
  <c r="N40" i="74" s="1"/>
  <c r="N41" i="74" s="1"/>
  <c r="N42" i="74" s="1"/>
  <c r="N43" i="74" s="1"/>
  <c r="N44" i="74" s="1"/>
  <c r="N45" i="74" s="1"/>
  <c r="N46" i="74" s="1"/>
  <c r="N47" i="74" s="1"/>
  <c r="N48" i="74" s="1"/>
  <c r="N49" i="74" s="1"/>
  <c r="N50" i="74" s="1"/>
  <c r="N51" i="74" s="1"/>
  <c r="N52" i="74" s="1"/>
  <c r="N53" i="74" s="1"/>
  <c r="N54" i="74" s="1"/>
  <c r="N55" i="74" s="1"/>
  <c r="N56" i="74" s="1"/>
  <c r="N57" i="74" s="1"/>
  <c r="N58" i="74" s="1"/>
  <c r="N59" i="74" s="1"/>
  <c r="N60" i="74" s="1"/>
  <c r="N61" i="74" s="1"/>
  <c r="N62" i="74" s="1"/>
  <c r="N63" i="74" s="1"/>
  <c r="N64" i="74" s="1"/>
  <c r="N65" i="74" s="1"/>
  <c r="N66" i="74" s="1"/>
  <c r="N67" i="74" s="1"/>
  <c r="N68" i="74" s="1"/>
  <c r="N69" i="74" s="1"/>
  <c r="N70" i="74" s="1"/>
  <c r="N71" i="74" s="1"/>
  <c r="N72" i="74" s="1"/>
  <c r="N73" i="74" s="1"/>
  <c r="N74" i="74" s="1"/>
  <c r="N75" i="74" s="1"/>
  <c r="N76" i="74" s="1"/>
  <c r="N77" i="74" s="1"/>
  <c r="N78" i="74" s="1"/>
  <c r="N79" i="74" s="1"/>
  <c r="N80" i="74" s="1"/>
  <c r="N81" i="74" s="1"/>
  <c r="N82" i="74" s="1"/>
  <c r="N83" i="74" s="1"/>
  <c r="N84" i="74" s="1"/>
  <c r="N85" i="74" s="1"/>
  <c r="N86" i="74" s="1"/>
  <c r="N87" i="74" s="1"/>
  <c r="N88" i="74" s="1"/>
  <c r="N89" i="74" s="1"/>
  <c r="N90" i="74" s="1"/>
  <c r="N91" i="74" s="1"/>
  <c r="N92" i="74" s="1"/>
  <c r="N93" i="74" s="1"/>
  <c r="N94" i="74" s="1"/>
  <c r="N95" i="74" s="1"/>
  <c r="N96" i="74" s="1"/>
  <c r="N97" i="74" s="1"/>
  <c r="N98" i="74" s="1"/>
  <c r="J75" i="70"/>
  <c r="J63" i="70"/>
  <c r="J51" i="70"/>
  <c r="J39" i="70"/>
  <c r="J27" i="70"/>
  <c r="J59" i="70"/>
  <c r="J23" i="70"/>
  <c r="J58" i="70"/>
  <c r="J65" i="70"/>
  <c r="J64" i="70"/>
  <c r="J74" i="70"/>
  <c r="J62" i="70"/>
  <c r="J50" i="70"/>
  <c r="J38" i="70"/>
  <c r="J26" i="70"/>
  <c r="J71" i="70"/>
  <c r="J35" i="70"/>
  <c r="J28" i="70"/>
  <c r="J73" i="70"/>
  <c r="J61" i="70"/>
  <c r="J49" i="70"/>
  <c r="J37" i="70"/>
  <c r="J25" i="70"/>
  <c r="J47" i="70"/>
  <c r="J70" i="70"/>
  <c r="J46" i="70"/>
  <c r="J34" i="70"/>
  <c r="J53" i="70"/>
  <c r="J76" i="70"/>
  <c r="J72" i="70"/>
  <c r="J60" i="70"/>
  <c r="J48" i="70"/>
  <c r="J36" i="70"/>
  <c r="J24" i="70"/>
  <c r="J29" i="70"/>
  <c r="J69" i="70"/>
  <c r="J57" i="70"/>
  <c r="J45" i="70"/>
  <c r="J33" i="70"/>
  <c r="J66" i="70"/>
  <c r="J41" i="70"/>
  <c r="J52" i="70"/>
  <c r="J68" i="70"/>
  <c r="J56" i="70"/>
  <c r="J44" i="70"/>
  <c r="J32" i="70"/>
  <c r="J42" i="70"/>
  <c r="J77" i="70"/>
  <c r="J40" i="70"/>
  <c r="J79" i="70"/>
  <c r="J67" i="70"/>
  <c r="J43" i="70"/>
  <c r="J31" i="70"/>
  <c r="J78" i="70"/>
  <c r="J54" i="70"/>
  <c r="J30" i="70"/>
  <c r="J42" i="68"/>
  <c r="J22" i="70"/>
  <c r="N22" i="70" s="1"/>
  <c r="J20" i="70"/>
  <c r="L20" i="70" s="1"/>
  <c r="L21" i="70" s="1"/>
  <c r="J66" i="68"/>
  <c r="J91" i="68"/>
  <c r="J55" i="68"/>
  <c r="J79" i="68"/>
  <c r="J44" i="68"/>
  <c r="J56" i="68"/>
  <c r="J68" i="68"/>
  <c r="J80" i="68"/>
  <c r="J54" i="68"/>
  <c r="J78" i="68"/>
  <c r="J43" i="68"/>
  <c r="J67" i="68"/>
  <c r="J92" i="68"/>
  <c r="J45" i="68"/>
  <c r="J57" i="68"/>
  <c r="J69" i="68"/>
  <c r="J81" i="68"/>
  <c r="J47" i="68"/>
  <c r="J59" i="68"/>
  <c r="J71" i="68"/>
  <c r="J84" i="68"/>
  <c r="J36" i="68"/>
  <c r="J48" i="68"/>
  <c r="J60" i="68"/>
  <c r="J72" i="68"/>
  <c r="J85" i="68"/>
  <c r="J58" i="68"/>
  <c r="J49" i="68"/>
  <c r="J61" i="68"/>
  <c r="J73" i="68"/>
  <c r="J86" i="68"/>
  <c r="J46" i="68"/>
  <c r="J35" i="68"/>
  <c r="J38" i="68"/>
  <c r="J87" i="68"/>
  <c r="J39" i="68"/>
  <c r="J51" i="68"/>
  <c r="J63" i="68"/>
  <c r="J75" i="68"/>
  <c r="J88" i="68"/>
  <c r="J83" i="68"/>
  <c r="J74" i="68"/>
  <c r="J40" i="68"/>
  <c r="J52" i="68"/>
  <c r="J64" i="68"/>
  <c r="J76" i="68"/>
  <c r="J89" i="68"/>
  <c r="J70" i="68"/>
  <c r="J37" i="68"/>
  <c r="J50" i="68"/>
  <c r="J62" i="68"/>
  <c r="J41" i="68"/>
  <c r="J53" i="68"/>
  <c r="J65" i="68"/>
  <c r="J77" i="68"/>
  <c r="J90" i="68"/>
  <c r="I82" i="68" a="1"/>
  <c r="I82" i="68" s="1"/>
  <c r="J82" i="68" s="1"/>
  <c r="L20" i="74" l="1"/>
  <c r="L21" i="74" s="1"/>
  <c r="L22" i="74" s="1"/>
  <c r="L23" i="74" s="1"/>
  <c r="L24" i="74" s="1"/>
  <c r="L25" i="74" s="1"/>
  <c r="L26" i="74" s="1"/>
  <c r="L27" i="74" s="1"/>
  <c r="L28" i="74" s="1"/>
  <c r="L29" i="74" s="1"/>
  <c r="L30" i="74" s="1"/>
  <c r="L31" i="74" s="1"/>
  <c r="L32" i="74" s="1"/>
  <c r="L33" i="74" s="1"/>
  <c r="L34" i="74" s="1"/>
  <c r="L35" i="74" s="1"/>
  <c r="L36" i="74" s="1"/>
  <c r="L37" i="74" s="1"/>
  <c r="L38" i="74" s="1"/>
  <c r="L39" i="74" s="1"/>
  <c r="L40" i="74" s="1"/>
  <c r="L41" i="74" s="1"/>
  <c r="L42" i="74" s="1"/>
  <c r="L43" i="74" s="1"/>
  <c r="L44" i="74" s="1"/>
  <c r="L45" i="74" s="1"/>
  <c r="L46" i="74" s="1"/>
  <c r="L47" i="74" s="1"/>
  <c r="L48" i="74" s="1"/>
  <c r="L49" i="74" s="1"/>
  <c r="L50" i="74" s="1"/>
  <c r="L51" i="74" s="1"/>
  <c r="L52" i="74" s="1"/>
  <c r="L53" i="74" s="1"/>
  <c r="L54" i="74" s="1"/>
  <c r="L55" i="74" s="1"/>
  <c r="L56" i="74" s="1"/>
  <c r="L57" i="74" s="1"/>
  <c r="L58" i="74" s="1"/>
  <c r="L59" i="74" s="1"/>
  <c r="L60" i="74" s="1"/>
  <c r="L61" i="74" s="1"/>
  <c r="L62" i="74" s="1"/>
  <c r="L63" i="74" s="1"/>
  <c r="L64" i="74" s="1"/>
  <c r="L65" i="74" s="1"/>
  <c r="L66" i="74" s="1"/>
  <c r="L67" i="74" s="1"/>
  <c r="L68" i="74" s="1"/>
  <c r="L69" i="74" s="1"/>
  <c r="L70" i="74" s="1"/>
  <c r="L71" i="74" s="1"/>
  <c r="L72" i="74" s="1"/>
  <c r="L73" i="74" s="1"/>
  <c r="L74" i="74" s="1"/>
  <c r="L75" i="74" s="1"/>
  <c r="L76" i="74" s="1"/>
  <c r="L77" i="74" s="1"/>
  <c r="L78" i="74" s="1"/>
  <c r="L79" i="74" s="1"/>
  <c r="L80" i="74" s="1"/>
  <c r="L81" i="74" s="1"/>
  <c r="L82" i="74" s="1"/>
  <c r="L83" i="74" s="1"/>
  <c r="L84" i="74" s="1"/>
  <c r="L85" i="74" s="1"/>
  <c r="L86" i="74" s="1"/>
  <c r="L87" i="74" s="1"/>
  <c r="L88" i="74" s="1"/>
  <c r="L89" i="74" s="1"/>
  <c r="L90" i="74" s="1"/>
  <c r="L91" i="74" s="1"/>
  <c r="L92" i="74" s="1"/>
  <c r="L93" i="74" s="1"/>
  <c r="L94" i="74" s="1"/>
  <c r="L95" i="74" s="1"/>
  <c r="L96" i="74" s="1"/>
  <c r="L97" i="74" s="1"/>
  <c r="L98" i="74" s="1"/>
  <c r="L99" i="74" s="1"/>
  <c r="L100" i="74" s="1"/>
  <c r="L101" i="74" s="1"/>
  <c r="L102" i="74" s="1"/>
  <c r="L103" i="74" s="1"/>
  <c r="L104" i="74" s="1"/>
  <c r="L105" i="74" s="1"/>
  <c r="L106" i="74" s="1"/>
  <c r="L107" i="74" s="1"/>
  <c r="L108" i="74" s="1"/>
  <c r="L109" i="74" s="1"/>
  <c r="L110" i="74" s="1"/>
  <c r="L111" i="74" s="1"/>
  <c r="L112" i="74" s="1"/>
  <c r="L113" i="74" s="1"/>
  <c r="L114" i="74" s="1"/>
  <c r="L115" i="74" s="1"/>
  <c r="L116" i="74" s="1"/>
  <c r="L117" i="74" s="1"/>
  <c r="L118" i="74" s="1"/>
  <c r="L119" i="74" s="1"/>
  <c r="L22" i="70"/>
  <c r="L23" i="70" s="1"/>
  <c r="L24" i="70" s="1"/>
  <c r="L25" i="70" s="1"/>
  <c r="L26" i="70" s="1"/>
  <c r="L27" i="70" s="1"/>
  <c r="L28" i="70" s="1"/>
  <c r="L29" i="70" s="1"/>
  <c r="L30" i="70" s="1"/>
  <c r="L31" i="70" s="1"/>
  <c r="L32" i="70" s="1"/>
  <c r="L33" i="70" s="1"/>
  <c r="L34" i="70" s="1"/>
  <c r="L35" i="70" s="1"/>
  <c r="L36" i="70" s="1"/>
  <c r="L37" i="70" s="1"/>
  <c r="L38" i="70" s="1"/>
  <c r="L39" i="70" s="1"/>
  <c r="L40" i="70" s="1"/>
  <c r="L41" i="70" s="1"/>
  <c r="L42" i="70" s="1"/>
  <c r="L43" i="70" s="1"/>
  <c r="L44" i="70" s="1"/>
  <c r="L45" i="70" s="1"/>
  <c r="L46" i="70" s="1"/>
  <c r="L47" i="70" s="1"/>
  <c r="L48" i="70" s="1"/>
  <c r="L49" i="70" s="1"/>
  <c r="L50" i="70" s="1"/>
  <c r="L51" i="70" s="1"/>
  <c r="L52" i="70" s="1"/>
  <c r="L53" i="70" s="1"/>
  <c r="L54" i="70" s="1"/>
  <c r="L55" i="70" s="1"/>
  <c r="L56" i="70" s="1"/>
  <c r="L57" i="70" s="1"/>
  <c r="L58" i="70" s="1"/>
  <c r="L59" i="70" s="1"/>
  <c r="L60" i="70" s="1"/>
  <c r="L61" i="70" s="1"/>
  <c r="L62" i="70" s="1"/>
  <c r="L63" i="70" s="1"/>
  <c r="L64" i="70" s="1"/>
  <c r="L65" i="70" s="1"/>
  <c r="L66" i="70" s="1"/>
  <c r="L67" i="70" s="1"/>
  <c r="L68" i="70" s="1"/>
  <c r="L69" i="70" s="1"/>
  <c r="L70" i="70" s="1"/>
  <c r="L71" i="70" s="1"/>
  <c r="L72" i="70" s="1"/>
  <c r="L73" i="70" s="1"/>
  <c r="L74" i="70" s="1"/>
  <c r="L75" i="70" s="1"/>
  <c r="L76" i="70" s="1"/>
  <c r="L77" i="70" s="1"/>
  <c r="L78" i="70" s="1"/>
  <c r="L79" i="70" s="1"/>
  <c r="L80" i="70" s="1"/>
  <c r="N23" i="70"/>
  <c r="N24" i="70" s="1"/>
  <c r="N25" i="70" s="1"/>
  <c r="N26" i="70" s="1"/>
  <c r="N27" i="70" s="1"/>
  <c r="N28" i="70" s="1"/>
  <c r="N29" i="70" s="1"/>
  <c r="N30" i="70" s="1"/>
  <c r="N31" i="70" s="1"/>
  <c r="N32" i="70" s="1"/>
  <c r="N33" i="70" s="1"/>
  <c r="N34" i="70" s="1"/>
  <c r="N35" i="70" s="1"/>
  <c r="N36" i="70" s="1"/>
  <c r="N37" i="70" s="1"/>
  <c r="N38" i="70" s="1"/>
  <c r="N39" i="70" s="1"/>
  <c r="N40" i="70" s="1"/>
  <c r="N41" i="70" s="1"/>
  <c r="N42" i="70" s="1"/>
  <c r="N43" i="70" s="1"/>
  <c r="N44" i="70" s="1"/>
  <c r="N45" i="70" s="1"/>
  <c r="N46" i="70" s="1"/>
  <c r="N47" i="70" s="1"/>
  <c r="N48" i="70" s="1"/>
  <c r="N49" i="70" s="1"/>
  <c r="N50" i="70" s="1"/>
  <c r="N51" i="70" s="1"/>
  <c r="N52" i="70" s="1"/>
  <c r="N53" i="70" s="1"/>
  <c r="N54" i="70" s="1"/>
  <c r="N55" i="70" s="1"/>
  <c r="N56" i="70" s="1"/>
  <c r="N57" i="70" s="1"/>
  <c r="N58" i="70" s="1"/>
  <c r="N59" i="70" s="1"/>
  <c r="N60" i="70" s="1"/>
  <c r="N61" i="70" s="1"/>
  <c r="N62" i="70" s="1"/>
  <c r="N63" i="70" s="1"/>
  <c r="N64" i="70" s="1"/>
  <c r="N65" i="70" s="1"/>
  <c r="N66" i="70" s="1"/>
  <c r="N67" i="70" s="1"/>
  <c r="N68" i="70" s="1"/>
  <c r="N69" i="70" s="1"/>
  <c r="N70" i="70" s="1"/>
  <c r="N71" i="70" s="1"/>
  <c r="N72" i="70" s="1"/>
  <c r="N73" i="70" s="1"/>
  <c r="N74" i="70" s="1"/>
  <c r="N75" i="70" s="1"/>
  <c r="N76" i="70" s="1"/>
  <c r="N77" i="70" s="1"/>
  <c r="N78" i="70" s="1"/>
  <c r="N79" i="70" s="1"/>
  <c r="K20" i="68"/>
  <c r="K21" i="68" s="1"/>
  <c r="K23" i="68" s="1"/>
  <c r="K24" i="68" s="1"/>
  <c r="K25" i="68" s="1"/>
  <c r="K26" i="68" s="1"/>
  <c r="K27" i="68" s="1"/>
  <c r="K28" i="68" s="1"/>
  <c r="K29" i="68" s="1"/>
  <c r="K30" i="68" s="1"/>
  <c r="K31" i="68" s="1"/>
  <c r="K32" i="68" s="1"/>
  <c r="M14" i="68"/>
  <c r="K12" i="68"/>
  <c r="L11" i="68"/>
  <c r="R10" i="68"/>
  <c r="L10" i="68"/>
  <c r="R9" i="68"/>
  <c r="L9" i="68"/>
  <c r="R8" i="68"/>
  <c r="L8" i="68"/>
  <c r="R7" i="68"/>
  <c r="L7" i="68"/>
  <c r="R6" i="68"/>
  <c r="L6" i="68"/>
  <c r="R5" i="68"/>
  <c r="R10" i="63"/>
  <c r="R9" i="63"/>
  <c r="R8" i="63"/>
  <c r="R7" i="63"/>
  <c r="R6" i="63"/>
  <c r="R5" i="63"/>
  <c r="E13" i="68" l="1"/>
  <c r="I50" i="63" l="1"/>
  <c r="I51" i="63" s="1"/>
  <c r="Q12" i="63"/>
  <c r="E14" i="66"/>
  <c r="E13" i="66"/>
  <c r="E12" i="66"/>
  <c r="E11" i="66"/>
  <c r="E10" i="66"/>
  <c r="E9" i="66"/>
  <c r="E8" i="66"/>
  <c r="E7" i="66"/>
  <c r="E6" i="66"/>
  <c r="E5" i="66"/>
  <c r="E4" i="66"/>
  <c r="E3" i="66"/>
  <c r="E2" i="66"/>
  <c r="E15" i="66" s="1"/>
  <c r="F19" i="64"/>
  <c r="E12" i="63"/>
  <c r="K20" i="63"/>
  <c r="K21" i="63" s="1"/>
  <c r="K22" i="63" s="1"/>
  <c r="K23" i="63" s="1"/>
  <c r="K24" i="63" s="1"/>
  <c r="K25" i="63" s="1"/>
  <c r="K26" i="63" s="1"/>
  <c r="K27" i="63" s="1"/>
  <c r="K28" i="63" s="1"/>
  <c r="K29" i="63" s="1"/>
  <c r="K30" i="63" s="1"/>
  <c r="K31" i="63" s="1"/>
  <c r="K32" i="63" s="1"/>
  <c r="K33" i="63" s="1"/>
  <c r="K34" i="63" s="1"/>
  <c r="K35" i="63" s="1"/>
  <c r="K36" i="63" s="1"/>
  <c r="K37" i="63" s="1"/>
  <c r="K38" i="63" s="1"/>
  <c r="K39" i="63" s="1"/>
  <c r="J51" i="63" l="1"/>
  <c r="N51" i="63" s="1"/>
  <c r="J89" i="63"/>
  <c r="J32" i="68"/>
  <c r="J23" i="68"/>
  <c r="J31" i="68"/>
  <c r="J30" i="68"/>
  <c r="J29" i="68"/>
  <c r="J28" i="68"/>
  <c r="J27" i="68"/>
  <c r="J26" i="68"/>
  <c r="J25" i="68"/>
  <c r="J24" i="68"/>
  <c r="J22" i="68"/>
  <c r="H22" i="68"/>
  <c r="J20" i="68"/>
  <c r="L20" i="68" s="1"/>
  <c r="L21" i="68" s="1"/>
  <c r="J121" i="63"/>
  <c r="J109" i="63"/>
  <c r="J97" i="63"/>
  <c r="J120" i="63"/>
  <c r="J108" i="63"/>
  <c r="J100" i="63"/>
  <c r="J119" i="63"/>
  <c r="J107" i="63"/>
  <c r="J98" i="63"/>
  <c r="J118" i="63"/>
  <c r="J106" i="63"/>
  <c r="J110" i="63"/>
  <c r="J117" i="63"/>
  <c r="J105" i="63"/>
  <c r="J116" i="63"/>
  <c r="J104" i="63"/>
  <c r="J112" i="63"/>
  <c r="J115" i="63"/>
  <c r="J103" i="63"/>
  <c r="J101" i="63"/>
  <c r="J114" i="63"/>
  <c r="J102" i="63"/>
  <c r="J113" i="63"/>
  <c r="J111" i="63"/>
  <c r="J99" i="63"/>
  <c r="J42" i="63"/>
  <c r="J43" i="63"/>
  <c r="J44" i="63"/>
  <c r="J83" i="63"/>
  <c r="J81" i="63"/>
  <c r="J68" i="63"/>
  <c r="J85" i="63"/>
  <c r="J45" i="63"/>
  <c r="J49" i="63"/>
  <c r="J69" i="63"/>
  <c r="J87" i="63"/>
  <c r="J54" i="63"/>
  <c r="J70" i="63"/>
  <c r="J90" i="63"/>
  <c r="J61" i="63"/>
  <c r="J82" i="63"/>
  <c r="J55" i="63"/>
  <c r="J71" i="63"/>
  <c r="J91" i="63"/>
  <c r="J63" i="63"/>
  <c r="J66" i="63"/>
  <c r="J56" i="63"/>
  <c r="J73" i="63"/>
  <c r="J92" i="63"/>
  <c r="J67" i="63"/>
  <c r="J57" i="63"/>
  <c r="J75" i="63"/>
  <c r="J93" i="63"/>
  <c r="J80" i="63"/>
  <c r="J58" i="63"/>
  <c r="J78" i="63"/>
  <c r="J95" i="63"/>
  <c r="J59" i="63"/>
  <c r="J79" i="63"/>
  <c r="J94" i="63"/>
  <c r="J48" i="63"/>
  <c r="J60" i="63"/>
  <c r="J72" i="63"/>
  <c r="J84" i="63"/>
  <c r="J96" i="63"/>
  <c r="J62" i="63"/>
  <c r="J74" i="63"/>
  <c r="J86" i="63"/>
  <c r="J52" i="63"/>
  <c r="J64" i="63"/>
  <c r="J76" i="63"/>
  <c r="J88" i="63"/>
  <c r="J53" i="63"/>
  <c r="J65" i="63"/>
  <c r="J77" i="63"/>
  <c r="M14" i="63"/>
  <c r="K12" i="63"/>
  <c r="J12" i="63"/>
  <c r="I12" i="63"/>
  <c r="L11" i="63"/>
  <c r="L10" i="63"/>
  <c r="L9" i="63"/>
  <c r="L8" i="63"/>
  <c r="L7" i="63"/>
  <c r="L6" i="63"/>
  <c r="N22" i="68" l="1"/>
  <c r="N23" i="68" s="1"/>
  <c r="N24" i="68" s="1"/>
  <c r="N25" i="68" s="1"/>
  <c r="N26" i="68" s="1"/>
  <c r="N27" i="68" s="1"/>
  <c r="N28" i="68" s="1"/>
  <c r="N29" i="68" s="1"/>
  <c r="N30" i="68" s="1"/>
  <c r="N31" i="68" s="1"/>
  <c r="N32" i="68" s="1"/>
  <c r="N52" i="63"/>
  <c r="N53" i="63" s="1"/>
  <c r="N54" i="63" s="1"/>
  <c r="N55" i="63" s="1"/>
  <c r="N56" i="63" s="1"/>
  <c r="N57" i="63" s="1"/>
  <c r="N58" i="63" s="1"/>
  <c r="N59" i="63" s="1"/>
  <c r="N60" i="63" s="1"/>
  <c r="N61" i="63" s="1"/>
  <c r="N62" i="63" s="1"/>
  <c r="N63" i="63" s="1"/>
  <c r="N64" i="63" s="1"/>
  <c r="N65" i="63" s="1"/>
  <c r="N66" i="63" s="1"/>
  <c r="N67" i="63" s="1"/>
  <c r="N68" i="63" s="1"/>
  <c r="N69" i="63" s="1"/>
  <c r="N70" i="63" s="1"/>
  <c r="N71" i="63" s="1"/>
  <c r="N72" i="63" s="1"/>
  <c r="N73" i="63" s="1"/>
  <c r="N74" i="63" s="1"/>
  <c r="N75" i="63" s="1"/>
  <c r="N76" i="63" s="1"/>
  <c r="N77" i="63" s="1"/>
  <c r="N78" i="63" s="1"/>
  <c r="N79" i="63" s="1"/>
  <c r="N80" i="63" s="1"/>
  <c r="N81" i="63" s="1"/>
  <c r="N82" i="63" s="1"/>
  <c r="N83" i="63" s="1"/>
  <c r="N84" i="63" s="1"/>
  <c r="N85" i="63" s="1"/>
  <c r="N86" i="63" s="1"/>
  <c r="N87" i="63" s="1"/>
  <c r="N88" i="63" s="1"/>
  <c r="N89" i="63" s="1"/>
  <c r="N90" i="63" s="1"/>
  <c r="N91" i="63" s="1"/>
  <c r="N92" i="63" s="1"/>
  <c r="N93" i="63" s="1"/>
  <c r="N94" i="63" s="1"/>
  <c r="N95" i="63" s="1"/>
  <c r="N96" i="63" s="1"/>
  <c r="N97" i="63" s="1"/>
  <c r="N98" i="63" s="1"/>
  <c r="N99" i="63" s="1"/>
  <c r="N100" i="63" s="1"/>
  <c r="N101" i="63" s="1"/>
  <c r="N102" i="63" s="1"/>
  <c r="N103" i="63" s="1"/>
  <c r="N104" i="63" s="1"/>
  <c r="N105" i="63" s="1"/>
  <c r="N106" i="63" s="1"/>
  <c r="N107" i="63" s="1"/>
  <c r="N108" i="63" s="1"/>
  <c r="N109" i="63" s="1"/>
  <c r="N110" i="63" s="1"/>
  <c r="N111" i="63" s="1"/>
  <c r="N112" i="63" s="1"/>
  <c r="N113" i="63" s="1"/>
  <c r="N114" i="63" s="1"/>
  <c r="N115" i="63" s="1"/>
  <c r="N116" i="63" s="1"/>
  <c r="N117" i="63" s="1"/>
  <c r="N118" i="63" s="1"/>
  <c r="N119" i="63" s="1"/>
  <c r="N120" i="63" s="1"/>
  <c r="N121" i="63" s="1"/>
  <c r="L22" i="68"/>
  <c r="L23" i="68" s="1"/>
  <c r="L24" i="68" s="1"/>
  <c r="L25" i="68" s="1"/>
  <c r="L26" i="68" s="1"/>
  <c r="L27" i="68" s="1"/>
  <c r="L28" i="68" s="1"/>
  <c r="L29" i="68" s="1"/>
  <c r="L30" i="68" s="1"/>
  <c r="L31" i="68" s="1"/>
  <c r="L32" i="68" s="1"/>
  <c r="E13" i="63"/>
  <c r="K20" i="60"/>
  <c r="K21" i="60" s="1"/>
  <c r="K22" i="60" s="1"/>
  <c r="K23" i="60" s="1"/>
  <c r="K24" i="60" s="1"/>
  <c r="K25" i="60" s="1"/>
  <c r="K26" i="60" s="1"/>
  <c r="K27" i="60" s="1"/>
  <c r="K29" i="60" s="1"/>
  <c r="K28" i="60" s="1"/>
  <c r="K30" i="60" s="1"/>
  <c r="K31" i="60" s="1"/>
  <c r="K32" i="60" s="1"/>
  <c r="K33" i="60" s="1"/>
  <c r="K34" i="60" s="1"/>
  <c r="K35" i="60" s="1"/>
  <c r="K36" i="60" s="1"/>
  <c r="K37" i="60" s="1"/>
  <c r="K38" i="60" s="1"/>
  <c r="K39" i="60" s="1"/>
  <c r="K40" i="60" s="1"/>
  <c r="K41" i="60" s="1"/>
  <c r="K42" i="60" s="1"/>
  <c r="K43" i="60" s="1"/>
  <c r="K44" i="60" s="1"/>
  <c r="K45" i="60" s="1"/>
  <c r="K46" i="60" s="1"/>
  <c r="K47" i="60" s="1"/>
  <c r="K48" i="60" s="1"/>
  <c r="K49" i="60" s="1"/>
  <c r="K50" i="60" s="1"/>
  <c r="K51" i="60" s="1"/>
  <c r="K52" i="60" s="1"/>
  <c r="K53" i="60" s="1"/>
  <c r="K54" i="60" s="1"/>
  <c r="K55" i="60" s="1"/>
  <c r="K56" i="60" s="1"/>
  <c r="K57" i="60" s="1"/>
  <c r="J28" i="63" l="1"/>
  <c r="J37" i="63"/>
  <c r="J27" i="63"/>
  <c r="J26" i="63"/>
  <c r="J24" i="63"/>
  <c r="J29" i="63"/>
  <c r="I40" i="63"/>
  <c r="K40" i="63" s="1"/>
  <c r="J36" i="63"/>
  <c r="J25" i="63"/>
  <c r="J35" i="63"/>
  <c r="J30" i="63"/>
  <c r="J34" i="63"/>
  <c r="J23" i="63"/>
  <c r="J33" i="63"/>
  <c r="J31" i="63"/>
  <c r="J32" i="63"/>
  <c r="J22" i="63"/>
  <c r="N22" i="63" s="1"/>
  <c r="K12" i="60"/>
  <c r="E12" i="60"/>
  <c r="L11" i="60"/>
  <c r="L10" i="60"/>
  <c r="N10" i="60" s="1"/>
  <c r="L9" i="60"/>
  <c r="N9" i="60" s="1"/>
  <c r="L8" i="60"/>
  <c r="N8" i="60" s="1"/>
  <c r="L7" i="60"/>
  <c r="N7" i="60" s="1"/>
  <c r="L6" i="60"/>
  <c r="L5" i="56"/>
  <c r="J30" i="56"/>
  <c r="N23" i="63" l="1"/>
  <c r="N24" i="63" s="1"/>
  <c r="N25" i="63" s="1"/>
  <c r="N26" i="63" s="1"/>
  <c r="N27" i="63" s="1"/>
  <c r="N28" i="63" s="1"/>
  <c r="N29" i="63" s="1"/>
  <c r="N30" i="63" s="1"/>
  <c r="N31" i="63" s="1"/>
  <c r="N32" i="63" s="1"/>
  <c r="N33" i="63" s="1"/>
  <c r="N34" i="63" s="1"/>
  <c r="N35" i="63" s="1"/>
  <c r="N36" i="63" s="1"/>
  <c r="N37" i="63" s="1"/>
  <c r="N40" i="63" s="1"/>
  <c r="I41" i="63"/>
  <c r="J41" i="63" s="1"/>
  <c r="N41" i="63" s="1"/>
  <c r="N42" i="63" s="1"/>
  <c r="N43" i="63" s="1"/>
  <c r="N44" i="63" s="1"/>
  <c r="N45" i="63" s="1"/>
  <c r="N48" i="63" s="1"/>
  <c r="N49" i="63" s="1"/>
  <c r="N50" i="63" s="1"/>
  <c r="I16" i="63"/>
  <c r="E13" i="60"/>
  <c r="L11" i="56"/>
  <c r="L10" i="56"/>
  <c r="N10" i="56" s="1"/>
  <c r="L9" i="56"/>
  <c r="N9" i="56" s="1"/>
  <c r="L8" i="56"/>
  <c r="N8" i="56" s="1"/>
  <c r="L7" i="56"/>
  <c r="N7" i="56" s="1"/>
  <c r="L6" i="56"/>
  <c r="N6" i="56" s="1"/>
  <c r="N5" i="56"/>
  <c r="K41" i="63" l="1"/>
  <c r="K42" i="63" s="1"/>
  <c r="K43" i="63" s="1"/>
  <c r="K44" i="63" s="1"/>
  <c r="K45" i="63" s="1"/>
  <c r="K46" i="63" s="1"/>
  <c r="K47" i="63" s="1"/>
  <c r="K48" i="63" s="1"/>
  <c r="K49" i="63" s="1"/>
  <c r="K50" i="63" s="1"/>
  <c r="K51" i="63" s="1"/>
  <c r="K52" i="63" s="1"/>
  <c r="K53" i="63" s="1"/>
  <c r="K54" i="63" s="1"/>
  <c r="K55" i="63" s="1"/>
  <c r="K56" i="63" s="1"/>
  <c r="K57" i="63" s="1"/>
  <c r="K58" i="63" s="1"/>
  <c r="K59" i="63" s="1"/>
  <c r="K60" i="63" s="1"/>
  <c r="K61" i="63" s="1"/>
  <c r="K62" i="63" s="1"/>
  <c r="K63" i="63" s="1"/>
  <c r="K64" i="63" s="1"/>
  <c r="K65" i="63" s="1"/>
  <c r="K66" i="63" s="1"/>
  <c r="K67" i="63" s="1"/>
  <c r="K68" i="63" s="1"/>
  <c r="K69" i="63" s="1"/>
  <c r="K70" i="63" s="1"/>
  <c r="K71" i="63" s="1"/>
  <c r="K72" i="63" s="1"/>
  <c r="K73" i="63" s="1"/>
  <c r="K74" i="63" s="1"/>
  <c r="K75" i="63" s="1"/>
  <c r="K76" i="63" s="1"/>
  <c r="K77" i="63" s="1"/>
  <c r="K78" i="63" s="1"/>
  <c r="K79" i="63" s="1"/>
  <c r="K80" i="63" s="1"/>
  <c r="K81" i="63" s="1"/>
  <c r="K82" i="63" s="1"/>
  <c r="K83" i="63" s="1"/>
  <c r="K84" i="63" s="1"/>
  <c r="K85" i="63" s="1"/>
  <c r="K86" i="63" s="1"/>
  <c r="K87" i="63" s="1"/>
  <c r="K88" i="63" s="1"/>
  <c r="K89" i="63" s="1"/>
  <c r="K90" i="63" s="1"/>
  <c r="K91" i="63" s="1"/>
  <c r="K92" i="63" s="1"/>
  <c r="K93" i="63" s="1"/>
  <c r="K94" i="63" s="1"/>
  <c r="K95" i="63" s="1"/>
  <c r="K96" i="63" s="1"/>
  <c r="K97" i="63" s="1"/>
  <c r="K98" i="63" s="1"/>
  <c r="K99" i="63" s="1"/>
  <c r="K100" i="63" s="1"/>
  <c r="K101" i="63" s="1"/>
  <c r="K102" i="63" s="1"/>
  <c r="K103" i="63" s="1"/>
  <c r="K104" i="63" s="1"/>
  <c r="K105" i="63" s="1"/>
  <c r="K106" i="63" s="1"/>
  <c r="K107" i="63" s="1"/>
  <c r="K108" i="63" s="1"/>
  <c r="K109" i="63" s="1"/>
  <c r="K110" i="63" s="1"/>
  <c r="K111" i="63" s="1"/>
  <c r="K112" i="63" s="1"/>
  <c r="K113" i="63" s="1"/>
  <c r="K114" i="63" s="1"/>
  <c r="K115" i="63" s="1"/>
  <c r="K116" i="63" s="1"/>
  <c r="K117" i="63" s="1"/>
  <c r="K118" i="63" s="1"/>
  <c r="K119" i="63" s="1"/>
  <c r="K120" i="63" s="1"/>
  <c r="K121" i="63" s="1"/>
  <c r="M14" i="60"/>
  <c r="K12" i="56"/>
  <c r="F29" i="58" l="1"/>
  <c r="K20" i="56"/>
  <c r="K21" i="56" s="1"/>
  <c r="K22" i="56" s="1"/>
  <c r="K23" i="56" s="1"/>
  <c r="K24" i="56" s="1"/>
  <c r="K25" i="56" s="1"/>
  <c r="K26" i="56" s="1"/>
  <c r="K27" i="56" s="1"/>
  <c r="K28" i="56" s="1"/>
  <c r="K29" i="56" s="1"/>
  <c r="E12" i="56"/>
  <c r="E13" i="56" s="1"/>
  <c r="F5" i="52"/>
  <c r="L5" i="48"/>
  <c r="L5" i="46"/>
  <c r="L5" i="43"/>
  <c r="L5" i="41"/>
  <c r="K20" i="52"/>
  <c r="K21" i="52" s="1"/>
  <c r="K22" i="52" s="1"/>
  <c r="K23" i="52" s="1"/>
  <c r="K24" i="52" s="1"/>
  <c r="K25" i="52" s="1"/>
  <c r="K26" i="52" s="1"/>
  <c r="K27" i="52" s="1"/>
  <c r="K28" i="52" s="1"/>
  <c r="K29" i="52" s="1"/>
  <c r="K30" i="52" s="1"/>
  <c r="K31" i="52" s="1"/>
  <c r="K32" i="52" s="1"/>
  <c r="K33" i="52" s="1"/>
  <c r="K34" i="52" s="1"/>
  <c r="K35" i="52" s="1"/>
  <c r="K36" i="52" s="1"/>
  <c r="K37" i="52" s="1"/>
  <c r="K38" i="52" s="1"/>
  <c r="K39" i="52" s="1"/>
  <c r="K40" i="52" s="1"/>
  <c r="K41" i="52" s="1"/>
  <c r="K42" i="52" s="1"/>
  <c r="K43" i="52" s="1"/>
  <c r="K44" i="52" s="1"/>
  <c r="K45" i="52" s="1"/>
  <c r="K46" i="52" s="1"/>
  <c r="K47" i="52" s="1"/>
  <c r="K48" i="52" s="1"/>
  <c r="K49" i="52" s="1"/>
  <c r="K50" i="52" s="1"/>
  <c r="K51" i="52" s="1"/>
  <c r="K52" i="52" s="1"/>
  <c r="K53" i="52" s="1"/>
  <c r="K54" i="52" s="1"/>
  <c r="K55" i="52" s="1"/>
  <c r="K56" i="52" s="1"/>
  <c r="K57" i="52" s="1"/>
  <c r="K58" i="52" s="1"/>
  <c r="K59" i="52" s="1"/>
  <c r="K60" i="52" s="1"/>
  <c r="K61" i="52" s="1"/>
  <c r="K62" i="52" s="1"/>
  <c r="K63" i="52" s="1"/>
  <c r="K64" i="52" s="1"/>
  <c r="K65" i="52" s="1"/>
  <c r="K66" i="52" s="1"/>
  <c r="K67" i="52" s="1"/>
  <c r="K68" i="52" s="1"/>
  <c r="K69" i="52" s="1"/>
  <c r="K70" i="52" s="1"/>
  <c r="K71" i="52" s="1"/>
  <c r="K72" i="52" s="1"/>
  <c r="K73" i="52" s="1"/>
  <c r="K74" i="52" s="1"/>
  <c r="K75" i="52" s="1"/>
  <c r="K76" i="52" s="1"/>
  <c r="K77" i="52" s="1"/>
  <c r="K78" i="52" s="1"/>
  <c r="K79" i="52" s="1"/>
  <c r="K80" i="52" s="1"/>
  <c r="K81" i="52" s="1"/>
  <c r="K82" i="52" s="1"/>
  <c r="J46" i="60" l="1"/>
  <c r="J34" i="60"/>
  <c r="J22" i="60"/>
  <c r="J21" i="60"/>
  <c r="J45" i="60"/>
  <c r="J33" i="60"/>
  <c r="J36" i="60"/>
  <c r="J57" i="60"/>
  <c r="J44" i="60"/>
  <c r="J32" i="60"/>
  <c r="J20" i="60"/>
  <c r="J48" i="60"/>
  <c r="J55" i="60"/>
  <c r="J43" i="60"/>
  <c r="J31" i="60"/>
  <c r="J26" i="60"/>
  <c r="J54" i="60"/>
  <c r="J42" i="60"/>
  <c r="J30" i="60"/>
  <c r="J35" i="60"/>
  <c r="J53" i="60"/>
  <c r="J41" i="60"/>
  <c r="J28" i="60"/>
  <c r="J29" i="60"/>
  <c r="J23" i="60"/>
  <c r="J52" i="60"/>
  <c r="J40" i="60"/>
  <c r="J24" i="60"/>
  <c r="J51" i="60"/>
  <c r="J39" i="60"/>
  <c r="J27" i="60"/>
  <c r="J50" i="60"/>
  <c r="J38" i="60"/>
  <c r="J47" i="60"/>
  <c r="J49" i="60"/>
  <c r="J37" i="60"/>
  <c r="J25" i="60"/>
  <c r="J51" i="56"/>
  <c r="J40" i="56"/>
  <c r="J82" i="56"/>
  <c r="J78" i="56"/>
  <c r="J66" i="56"/>
  <c r="J54" i="56"/>
  <c r="J42" i="56"/>
  <c r="J45" i="56"/>
  <c r="J43" i="56"/>
  <c r="J77" i="56"/>
  <c r="J65" i="56"/>
  <c r="J53" i="56"/>
  <c r="J41" i="56"/>
  <c r="J57" i="56"/>
  <c r="J79" i="56"/>
  <c r="J88" i="56"/>
  <c r="J76" i="56"/>
  <c r="J64" i="56"/>
  <c r="J52" i="56"/>
  <c r="J69" i="56"/>
  <c r="J55" i="56"/>
  <c r="J87" i="56"/>
  <c r="J75" i="56"/>
  <c r="J63" i="56"/>
  <c r="J39" i="56"/>
  <c r="J34" i="56"/>
  <c r="J86" i="56"/>
  <c r="J74" i="56"/>
  <c r="J62" i="56"/>
  <c r="J50" i="56"/>
  <c r="J38" i="56"/>
  <c r="J36" i="56"/>
  <c r="J67" i="56"/>
  <c r="J85" i="56"/>
  <c r="J73" i="56"/>
  <c r="J61" i="56"/>
  <c r="J49" i="56"/>
  <c r="J37" i="56"/>
  <c r="J47" i="56"/>
  <c r="J84" i="56"/>
  <c r="J72" i="56"/>
  <c r="J60" i="56"/>
  <c r="J48" i="56"/>
  <c r="J59" i="56"/>
  <c r="J83" i="56"/>
  <c r="J71" i="56"/>
  <c r="J56" i="56"/>
  <c r="J70" i="56"/>
  <c r="J58" i="56"/>
  <c r="J46" i="56"/>
  <c r="J35" i="56"/>
  <c r="J81" i="56"/>
  <c r="J80" i="56"/>
  <c r="J68" i="56"/>
  <c r="J33" i="56"/>
  <c r="I52" i="52"/>
  <c r="N20" i="60" l="1"/>
  <c r="N21" i="60" s="1"/>
  <c r="N22" i="60" s="1"/>
  <c r="N23" i="60" s="1"/>
  <c r="N24" i="60" s="1"/>
  <c r="N25" i="60" s="1"/>
  <c r="N26" i="60" s="1"/>
  <c r="N27" i="60" s="1"/>
  <c r="N29" i="60" s="1"/>
  <c r="N28" i="60" s="1"/>
  <c r="N30" i="60" s="1"/>
  <c r="N31" i="60" s="1"/>
  <c r="N32" i="60" s="1"/>
  <c r="N33" i="60" s="1"/>
  <c r="N34" i="60" s="1"/>
  <c r="N35" i="60" s="1"/>
  <c r="N36" i="60" s="1"/>
  <c r="N37" i="60" s="1"/>
  <c r="N38" i="60" s="1"/>
  <c r="N39" i="60" s="1"/>
  <c r="N40" i="60" s="1"/>
  <c r="N41" i="60" s="1"/>
  <c r="N42" i="60" s="1"/>
  <c r="N43" i="60" s="1"/>
  <c r="N44" i="60" s="1"/>
  <c r="N45" i="60" s="1"/>
  <c r="N46" i="60" s="1"/>
  <c r="N47" i="60" s="1"/>
  <c r="N48" i="60" s="1"/>
  <c r="N49" i="60" s="1"/>
  <c r="N50" i="60" s="1"/>
  <c r="N51" i="60" s="1"/>
  <c r="N52" i="60" s="1"/>
  <c r="N53" i="60" s="1"/>
  <c r="N54" i="60" s="1"/>
  <c r="N55" i="60" s="1"/>
  <c r="N57" i="60" s="1"/>
  <c r="L20" i="60"/>
  <c r="L21" i="60" s="1"/>
  <c r="L22" i="60" s="1"/>
  <c r="L23" i="60" s="1"/>
  <c r="L24" i="60" s="1"/>
  <c r="L25" i="60" s="1"/>
  <c r="L26" i="60" s="1"/>
  <c r="L27" i="60" s="1"/>
  <c r="L29" i="60" s="1"/>
  <c r="L28" i="60" s="1"/>
  <c r="L30" i="60" s="1"/>
  <c r="L31" i="60" s="1"/>
  <c r="L32" i="60" s="1"/>
  <c r="L33" i="60" s="1"/>
  <c r="L34" i="60" s="1"/>
  <c r="L35" i="60" s="1"/>
  <c r="L36" i="60" s="1"/>
  <c r="L37" i="60" s="1"/>
  <c r="L38" i="60" s="1"/>
  <c r="L39" i="60" s="1"/>
  <c r="L40" i="60" s="1"/>
  <c r="L41" i="60" s="1"/>
  <c r="L42" i="60" s="1"/>
  <c r="L43" i="60" s="1"/>
  <c r="L44" i="60" s="1"/>
  <c r="L45" i="60" s="1"/>
  <c r="L46" i="60" s="1"/>
  <c r="L47" i="60" s="1"/>
  <c r="L48" i="60" s="1"/>
  <c r="L49" i="60" s="1"/>
  <c r="L50" i="60" s="1"/>
  <c r="L51" i="60" s="1"/>
  <c r="L52" i="60" s="1"/>
  <c r="L53" i="60" s="1"/>
  <c r="L54" i="60" s="1"/>
  <c r="L55" i="60" s="1"/>
  <c r="L56" i="60" s="1"/>
  <c r="L57" i="60" s="1"/>
  <c r="E12" i="52"/>
  <c r="L10" i="52"/>
  <c r="L9" i="52"/>
  <c r="L8" i="52"/>
  <c r="L7" i="52"/>
  <c r="L6" i="52"/>
  <c r="L5" i="52"/>
  <c r="E13" i="52" l="1"/>
  <c r="I16" i="52"/>
  <c r="I76" i="48"/>
  <c r="J20" i="63" l="1"/>
  <c r="L20" i="63" l="1"/>
  <c r="L21" i="63" s="1"/>
  <c r="L22" i="63" s="1"/>
  <c r="L23" i="63" s="1"/>
  <c r="L24" i="63" s="1"/>
  <c r="L25" i="63" s="1"/>
  <c r="L26" i="63" s="1"/>
  <c r="L27" i="63" s="1"/>
  <c r="L28" i="63" s="1"/>
  <c r="L29" i="63" s="1"/>
  <c r="L30" i="63" s="1"/>
  <c r="L31" i="63" s="1"/>
  <c r="L32" i="63" s="1"/>
  <c r="L33" i="63" s="1"/>
  <c r="L34" i="63" s="1"/>
  <c r="L35" i="63" s="1"/>
  <c r="L36" i="63" s="1"/>
  <c r="L37" i="63" s="1"/>
  <c r="L38" i="63" s="1"/>
  <c r="L39" i="63" s="1"/>
  <c r="L40" i="63" s="1"/>
  <c r="L41" i="63" s="1"/>
  <c r="L42" i="63" s="1"/>
  <c r="L43" i="63" s="1"/>
  <c r="L44" i="63" s="1"/>
  <c r="L45" i="63" s="1"/>
  <c r="L46" i="63" s="1"/>
  <c r="L47" i="63" s="1"/>
  <c r="L48" i="63" s="1"/>
  <c r="L49" i="63" s="1"/>
  <c r="L50" i="63" s="1"/>
  <c r="L51" i="63" s="1"/>
  <c r="L52" i="63" s="1"/>
  <c r="L53" i="63" s="1"/>
  <c r="L54" i="63" s="1"/>
  <c r="L55" i="63" s="1"/>
  <c r="L56" i="63" s="1"/>
  <c r="L57" i="63" s="1"/>
  <c r="L58" i="63" s="1"/>
  <c r="L59" i="63" s="1"/>
  <c r="L60" i="63" s="1"/>
  <c r="L61" i="63" s="1"/>
  <c r="L62" i="63" s="1"/>
  <c r="L63" i="63" s="1"/>
  <c r="L64" i="63" s="1"/>
  <c r="L65" i="63" s="1"/>
  <c r="L66" i="63" s="1"/>
  <c r="L67" i="63" s="1"/>
  <c r="L68" i="63" s="1"/>
  <c r="L69" i="63" s="1"/>
  <c r="L70" i="63" s="1"/>
  <c r="L71" i="63" s="1"/>
  <c r="L72" i="63" s="1"/>
  <c r="L73" i="63" s="1"/>
  <c r="L74" i="63" s="1"/>
  <c r="L75" i="63" s="1"/>
  <c r="L76" i="63" s="1"/>
  <c r="L77" i="63" s="1"/>
  <c r="L78" i="63" s="1"/>
  <c r="L79" i="63" s="1"/>
  <c r="L80" i="63" s="1"/>
  <c r="L81" i="63" s="1"/>
  <c r="L82" i="63" s="1"/>
  <c r="L83" i="63" s="1"/>
  <c r="L84" i="63" s="1"/>
  <c r="L85" i="63" s="1"/>
  <c r="L86" i="63" s="1"/>
  <c r="L87" i="63" s="1"/>
  <c r="L88" i="63" s="1"/>
  <c r="L89" i="63" s="1"/>
  <c r="L90" i="63" s="1"/>
  <c r="L91" i="63" s="1"/>
  <c r="L92" i="63" s="1"/>
  <c r="L93" i="63" s="1"/>
  <c r="L94" i="63" s="1"/>
  <c r="L95" i="63" s="1"/>
  <c r="L96" i="63" s="1"/>
  <c r="L97" i="63" s="1"/>
  <c r="L98" i="63" s="1"/>
  <c r="L99" i="63" s="1"/>
  <c r="L100" i="63" s="1"/>
  <c r="L101" i="63" s="1"/>
  <c r="L102" i="63" s="1"/>
  <c r="L103" i="63" s="1"/>
  <c r="L104" i="63" s="1"/>
  <c r="L105" i="63" s="1"/>
  <c r="L106" i="63" s="1"/>
  <c r="L107" i="63" s="1"/>
  <c r="L108" i="63" s="1"/>
  <c r="L109" i="63" s="1"/>
  <c r="L110" i="63" s="1"/>
  <c r="L111" i="63" s="1"/>
  <c r="L112" i="63" s="1"/>
  <c r="L113" i="63" s="1"/>
  <c r="L114" i="63" s="1"/>
  <c r="L115" i="63" s="1"/>
  <c r="L116" i="63" s="1"/>
  <c r="L117" i="63" s="1"/>
  <c r="L118" i="63" s="1"/>
  <c r="L119" i="63" s="1"/>
  <c r="L120" i="63" s="1"/>
  <c r="L121" i="63" s="1"/>
  <c r="J16" i="63"/>
  <c r="J16" i="60"/>
  <c r="J29" i="56"/>
  <c r="J28" i="56"/>
  <c r="J27" i="56"/>
  <c r="J23" i="56"/>
  <c r="J26" i="56"/>
  <c r="J25" i="56"/>
  <c r="I30" i="56"/>
  <c r="J24" i="56"/>
  <c r="J22" i="56"/>
  <c r="J20" i="56"/>
  <c r="J76" i="48"/>
  <c r="J72" i="52"/>
  <c r="J60" i="52"/>
  <c r="J47" i="52"/>
  <c r="J35" i="52"/>
  <c r="J24" i="52"/>
  <c r="J21" i="52"/>
  <c r="J28" i="52"/>
  <c r="J74" i="52"/>
  <c r="J71" i="52"/>
  <c r="J59" i="52"/>
  <c r="J46" i="52"/>
  <c r="J34" i="52"/>
  <c r="J23" i="52"/>
  <c r="J44" i="52"/>
  <c r="J39" i="52"/>
  <c r="J27" i="52"/>
  <c r="J48" i="52"/>
  <c r="J82" i="52"/>
  <c r="J70" i="52"/>
  <c r="J58" i="52"/>
  <c r="J45" i="52"/>
  <c r="J22" i="52"/>
  <c r="J57" i="52"/>
  <c r="J51" i="52"/>
  <c r="J62" i="52"/>
  <c r="J25" i="52"/>
  <c r="J81" i="52"/>
  <c r="J69" i="52"/>
  <c r="J33" i="52"/>
  <c r="J63" i="52"/>
  <c r="J36" i="52"/>
  <c r="J80" i="52"/>
  <c r="J68" i="52"/>
  <c r="J56" i="52"/>
  <c r="J43" i="52"/>
  <c r="J32" i="52"/>
  <c r="J30" i="52"/>
  <c r="J40" i="52"/>
  <c r="J50" i="52"/>
  <c r="J26" i="52"/>
  <c r="J79" i="52"/>
  <c r="J67" i="52"/>
  <c r="J55" i="52"/>
  <c r="J42" i="52"/>
  <c r="J31" i="52"/>
  <c r="J41" i="52"/>
  <c r="J53" i="52"/>
  <c r="J75" i="52"/>
  <c r="J61" i="52"/>
  <c r="J78" i="52"/>
  <c r="J66" i="52"/>
  <c r="J54" i="52"/>
  <c r="J29" i="52"/>
  <c r="J38" i="52"/>
  <c r="J73" i="52"/>
  <c r="J77" i="52"/>
  <c r="J65" i="52"/>
  <c r="J37" i="52"/>
  <c r="J76" i="52"/>
  <c r="J64" i="52"/>
  <c r="J49" i="52"/>
  <c r="J20" i="52"/>
  <c r="J52" i="52"/>
  <c r="J77" i="48"/>
  <c r="J72" i="48"/>
  <c r="J68" i="48"/>
  <c r="J64" i="48"/>
  <c r="J60" i="48"/>
  <c r="J56" i="48"/>
  <c r="J52" i="48"/>
  <c r="J48" i="48"/>
  <c r="J44" i="48"/>
  <c r="J40" i="48"/>
  <c r="J36" i="48"/>
  <c r="J33" i="48"/>
  <c r="J29" i="48"/>
  <c r="J25" i="48"/>
  <c r="J75" i="48"/>
  <c r="J71" i="48"/>
  <c r="J67" i="48"/>
  <c r="J63" i="48"/>
  <c r="J59" i="48"/>
  <c r="J55" i="48"/>
  <c r="J51" i="48"/>
  <c r="J47" i="48"/>
  <c r="J43" i="48"/>
  <c r="J39" i="48"/>
  <c r="J35" i="48"/>
  <c r="J32" i="48"/>
  <c r="J28" i="48"/>
  <c r="J24" i="48"/>
  <c r="J79" i="48"/>
  <c r="J74" i="48"/>
  <c r="J70" i="48"/>
  <c r="J66" i="48"/>
  <c r="J62" i="48"/>
  <c r="J58" i="48"/>
  <c r="J54" i="48"/>
  <c r="J50" i="48"/>
  <c r="J46" i="48"/>
  <c r="J42" i="48"/>
  <c r="J38" i="48"/>
  <c r="J31" i="48"/>
  <c r="J27" i="48"/>
  <c r="J78" i="48"/>
  <c r="J73" i="48"/>
  <c r="J69" i="48"/>
  <c r="J65" i="48"/>
  <c r="J61" i="48"/>
  <c r="J57" i="48"/>
  <c r="J53" i="48"/>
  <c r="J49" i="48"/>
  <c r="J45" i="48"/>
  <c r="J41" i="48"/>
  <c r="J37" i="48"/>
  <c r="J34" i="48"/>
  <c r="J30" i="48"/>
  <c r="J26" i="48"/>
  <c r="N22" i="48"/>
  <c r="D10" i="56" l="1"/>
  <c r="C10" i="56"/>
  <c r="I31" i="56"/>
  <c r="L20" i="56"/>
  <c r="L21" i="56" s="1"/>
  <c r="L22" i="56" s="1"/>
  <c r="L23" i="56" s="1"/>
  <c r="L24" i="56" s="1"/>
  <c r="L25" i="56" s="1"/>
  <c r="L26" i="56" s="1"/>
  <c r="L27" i="56" s="1"/>
  <c r="L28" i="56" s="1"/>
  <c r="L29" i="56" s="1"/>
  <c r="L30" i="56" s="1"/>
  <c r="L31" i="56" s="1"/>
  <c r="J32" i="56"/>
  <c r="K30" i="56"/>
  <c r="K31" i="56" s="1"/>
  <c r="K32" i="56" s="1"/>
  <c r="K33" i="56" s="1"/>
  <c r="K34" i="56" s="1"/>
  <c r="K35" i="56" s="1"/>
  <c r="K36" i="56" s="1"/>
  <c r="K37" i="56" s="1"/>
  <c r="K38" i="56" s="1"/>
  <c r="K39" i="56" s="1"/>
  <c r="K40" i="56" s="1"/>
  <c r="K41" i="56" s="1"/>
  <c r="K42" i="56" s="1"/>
  <c r="K43" i="56" s="1"/>
  <c r="K44" i="56" s="1"/>
  <c r="K45" i="56" s="1"/>
  <c r="K46" i="56" s="1"/>
  <c r="K47" i="56" s="1"/>
  <c r="K48" i="56" s="1"/>
  <c r="K49" i="56" s="1"/>
  <c r="K50" i="56" s="1"/>
  <c r="K51" i="56" s="1"/>
  <c r="K52" i="56" s="1"/>
  <c r="K53" i="56" s="1"/>
  <c r="K54" i="56" s="1"/>
  <c r="K55" i="56" s="1"/>
  <c r="K56" i="56" s="1"/>
  <c r="K57" i="56" s="1"/>
  <c r="K58" i="56" s="1"/>
  <c r="K59" i="56" s="1"/>
  <c r="K60" i="56" s="1"/>
  <c r="K61" i="56" s="1"/>
  <c r="K62" i="56" s="1"/>
  <c r="K63" i="56" s="1"/>
  <c r="K64" i="56" s="1"/>
  <c r="K65" i="56" s="1"/>
  <c r="K66" i="56" s="1"/>
  <c r="K67" i="56" s="1"/>
  <c r="K68" i="56" s="1"/>
  <c r="K69" i="56" s="1"/>
  <c r="K70" i="56" s="1"/>
  <c r="K71" i="56" s="1"/>
  <c r="K72" i="56" s="1"/>
  <c r="K73" i="56" s="1"/>
  <c r="K74" i="56" s="1"/>
  <c r="K75" i="56" s="1"/>
  <c r="K76" i="56" s="1"/>
  <c r="K77" i="56" s="1"/>
  <c r="K78" i="56" s="1"/>
  <c r="K79" i="56" s="1"/>
  <c r="K80" i="56" s="1"/>
  <c r="K81" i="56" s="1"/>
  <c r="K82" i="56" s="1"/>
  <c r="K83" i="56" s="1"/>
  <c r="K84" i="56" s="1"/>
  <c r="K85" i="56" s="1"/>
  <c r="K86" i="56" s="1"/>
  <c r="K87" i="56" s="1"/>
  <c r="K88" i="56" s="1"/>
  <c r="L20" i="52"/>
  <c r="L21" i="52" s="1"/>
  <c r="L22" i="52" s="1"/>
  <c r="L23" i="52" s="1"/>
  <c r="L24" i="52" s="1"/>
  <c r="L25" i="52" s="1"/>
  <c r="L26" i="52" s="1"/>
  <c r="L27" i="52" s="1"/>
  <c r="L28" i="52" s="1"/>
  <c r="L29" i="52" s="1"/>
  <c r="L30" i="52" s="1"/>
  <c r="L31" i="52" s="1"/>
  <c r="L32" i="52" s="1"/>
  <c r="L33" i="52" s="1"/>
  <c r="L34" i="52" s="1"/>
  <c r="L35" i="52" s="1"/>
  <c r="L36" i="52" s="1"/>
  <c r="L37" i="52" s="1"/>
  <c r="L38" i="52" s="1"/>
  <c r="L39" i="52" s="1"/>
  <c r="L40" i="52" s="1"/>
  <c r="L41" i="52" s="1"/>
  <c r="L42" i="52" s="1"/>
  <c r="L43" i="52" s="1"/>
  <c r="L44" i="52" s="1"/>
  <c r="L45" i="52" s="1"/>
  <c r="L46" i="52" s="1"/>
  <c r="L47" i="52" s="1"/>
  <c r="L48" i="52" s="1"/>
  <c r="L49" i="52" s="1"/>
  <c r="L50" i="52" s="1"/>
  <c r="L51" i="52" s="1"/>
  <c r="L52" i="52" s="1"/>
  <c r="L53" i="52" s="1"/>
  <c r="L54" i="52" s="1"/>
  <c r="L55" i="52" s="1"/>
  <c r="L56" i="52" s="1"/>
  <c r="L57" i="52" s="1"/>
  <c r="L58" i="52" s="1"/>
  <c r="L59" i="52" s="1"/>
  <c r="L60" i="52" s="1"/>
  <c r="L61" i="52" s="1"/>
  <c r="L62" i="52" s="1"/>
  <c r="L63" i="52" s="1"/>
  <c r="L64" i="52" s="1"/>
  <c r="L65" i="52" s="1"/>
  <c r="L66" i="52" s="1"/>
  <c r="L67" i="52" s="1"/>
  <c r="L68" i="52" s="1"/>
  <c r="L69" i="52" s="1"/>
  <c r="L70" i="52" s="1"/>
  <c r="L71" i="52" s="1"/>
  <c r="L72" i="52" s="1"/>
  <c r="L73" i="52" s="1"/>
  <c r="L74" i="52" s="1"/>
  <c r="L75" i="52" s="1"/>
  <c r="L76" i="52" s="1"/>
  <c r="L77" i="52" s="1"/>
  <c r="L78" i="52" s="1"/>
  <c r="L79" i="52" s="1"/>
  <c r="L80" i="52" s="1"/>
  <c r="L81" i="52" s="1"/>
  <c r="L82" i="52" s="1"/>
  <c r="N20" i="52"/>
  <c r="N21" i="52" s="1"/>
  <c r="N22" i="52" s="1"/>
  <c r="N23" i="52" s="1"/>
  <c r="N24" i="52" s="1"/>
  <c r="N25" i="52" s="1"/>
  <c r="N26" i="52" s="1"/>
  <c r="N27" i="52" s="1"/>
  <c r="N28" i="52" s="1"/>
  <c r="N29" i="52" s="1"/>
  <c r="N30" i="52" s="1"/>
  <c r="N31" i="52" s="1"/>
  <c r="N32" i="52" s="1"/>
  <c r="N33" i="52" s="1"/>
  <c r="N34" i="52" s="1"/>
  <c r="N35" i="52" s="1"/>
  <c r="N36" i="52" s="1"/>
  <c r="N37" i="52" s="1"/>
  <c r="N38" i="52" s="1"/>
  <c r="N39" i="52" s="1"/>
  <c r="N40" i="52" s="1"/>
  <c r="N41" i="52" s="1"/>
  <c r="N42" i="52" s="1"/>
  <c r="N43" i="52" s="1"/>
  <c r="N44" i="52" s="1"/>
  <c r="N45" i="52" s="1"/>
  <c r="N46" i="52" s="1"/>
  <c r="N47" i="52" s="1"/>
  <c r="N48" i="52" s="1"/>
  <c r="N49" i="52" s="1"/>
  <c r="N50" i="52" s="1"/>
  <c r="N51" i="52" s="1"/>
  <c r="N52" i="52" s="1"/>
  <c r="N53" i="52" s="1"/>
  <c r="N54" i="52" s="1"/>
  <c r="N55" i="52" s="1"/>
  <c r="N56" i="52" s="1"/>
  <c r="N57" i="52" s="1"/>
  <c r="N58" i="52" s="1"/>
  <c r="N59" i="52" s="1"/>
  <c r="N60" i="52" s="1"/>
  <c r="N61" i="52" s="1"/>
  <c r="N62" i="52" s="1"/>
  <c r="N63" i="52" s="1"/>
  <c r="N64" i="52" s="1"/>
  <c r="N65" i="52" s="1"/>
  <c r="N66" i="52" s="1"/>
  <c r="N67" i="52" s="1"/>
  <c r="N68" i="52" s="1"/>
  <c r="N69" i="52" s="1"/>
  <c r="N70" i="52" s="1"/>
  <c r="N71" i="52" s="1"/>
  <c r="N72" i="52" s="1"/>
  <c r="N73" i="52" s="1"/>
  <c r="N74" i="52" s="1"/>
  <c r="N75" i="52" s="1"/>
  <c r="N76" i="52" s="1"/>
  <c r="N77" i="52" s="1"/>
  <c r="N78" i="52" s="1"/>
  <c r="N79" i="52" s="1"/>
  <c r="N80" i="52" s="1"/>
  <c r="N81" i="52" s="1"/>
  <c r="N82" i="52" s="1"/>
  <c r="J16" i="52"/>
  <c r="N15" i="48"/>
  <c r="H16" i="48"/>
  <c r="L20" i="48"/>
  <c r="L21" i="48" s="1"/>
  <c r="L22" i="48" s="1"/>
  <c r="K20" i="48"/>
  <c r="K21" i="48" s="1"/>
  <c r="K12" i="48"/>
  <c r="J12" i="48"/>
  <c r="I12" i="48"/>
  <c r="E12" i="48"/>
  <c r="D12" i="48"/>
  <c r="C12" i="48"/>
  <c r="L10" i="48"/>
  <c r="L9" i="48"/>
  <c r="L8" i="48"/>
  <c r="L7" i="48"/>
  <c r="L6" i="48"/>
  <c r="N32" i="56" l="1"/>
  <c r="N33" i="56" s="1"/>
  <c r="N34" i="56" s="1"/>
  <c r="N35" i="56" s="1"/>
  <c r="N36" i="56" s="1"/>
  <c r="L32" i="56"/>
  <c r="L33" i="56" s="1"/>
  <c r="L34" i="56" s="1"/>
  <c r="L35" i="56" s="1"/>
  <c r="L36" i="56" s="1"/>
  <c r="L37" i="56" s="1"/>
  <c r="L38" i="56" s="1"/>
  <c r="L39" i="56" s="1"/>
  <c r="L40" i="56" s="1"/>
  <c r="L41" i="56" s="1"/>
  <c r="L42" i="56" s="1"/>
  <c r="L43" i="56" s="1"/>
  <c r="L44" i="56" s="1"/>
  <c r="L45" i="56" s="1"/>
  <c r="L46" i="56" s="1"/>
  <c r="L47" i="56" s="1"/>
  <c r="L48" i="56" s="1"/>
  <c r="L49" i="56" s="1"/>
  <c r="L50" i="56" s="1"/>
  <c r="L51" i="56" s="1"/>
  <c r="L52" i="56" s="1"/>
  <c r="L53" i="56" s="1"/>
  <c r="L54" i="56" s="1"/>
  <c r="L55" i="56" s="1"/>
  <c r="L56" i="56" s="1"/>
  <c r="L57" i="56" s="1"/>
  <c r="L58" i="56" s="1"/>
  <c r="L59" i="56" s="1"/>
  <c r="L60" i="56" s="1"/>
  <c r="L61" i="56" s="1"/>
  <c r="L62" i="56" s="1"/>
  <c r="L63" i="56" s="1"/>
  <c r="L64" i="56" s="1"/>
  <c r="L65" i="56" s="1"/>
  <c r="L66" i="56" s="1"/>
  <c r="L67" i="56" s="1"/>
  <c r="L68" i="56" s="1"/>
  <c r="L69" i="56" s="1"/>
  <c r="L70" i="56" s="1"/>
  <c r="L71" i="56" s="1"/>
  <c r="L72" i="56" s="1"/>
  <c r="L73" i="56" s="1"/>
  <c r="L74" i="56" s="1"/>
  <c r="L75" i="56" s="1"/>
  <c r="L76" i="56" s="1"/>
  <c r="L77" i="56" s="1"/>
  <c r="L78" i="56" s="1"/>
  <c r="L79" i="56" s="1"/>
  <c r="L80" i="56" s="1"/>
  <c r="L81" i="56" s="1"/>
  <c r="L82" i="56" s="1"/>
  <c r="L83" i="56" s="1"/>
  <c r="L84" i="56" s="1"/>
  <c r="L85" i="56" s="1"/>
  <c r="L86" i="56" s="1"/>
  <c r="L87" i="56" s="1"/>
  <c r="L88" i="56" s="1"/>
  <c r="I16" i="56"/>
  <c r="N22" i="56"/>
  <c r="N23" i="56" s="1"/>
  <c r="N24" i="56" s="1"/>
  <c r="N25" i="56" s="1"/>
  <c r="N26" i="56" s="1"/>
  <c r="N27" i="56" s="1"/>
  <c r="N28" i="56" s="1"/>
  <c r="N29" i="56" s="1"/>
  <c r="N30" i="56" s="1"/>
  <c r="J16" i="56"/>
  <c r="C13" i="48"/>
  <c r="C15" i="48" s="1"/>
  <c r="D13" i="48"/>
  <c r="D15" i="48" s="1"/>
  <c r="E13" i="48"/>
  <c r="K12" i="46"/>
  <c r="J12" i="46"/>
  <c r="N37" i="56" l="1"/>
  <c r="N38" i="56" s="1"/>
  <c r="N39" i="56" s="1"/>
  <c r="N40" i="56" s="1"/>
  <c r="N41" i="56" s="1"/>
  <c r="N42" i="56" s="1"/>
  <c r="N43" i="56" s="1"/>
  <c r="N44" i="56" s="1"/>
  <c r="N45" i="56" s="1"/>
  <c r="N46" i="56" s="1"/>
  <c r="N47" i="56" s="1"/>
  <c r="N48" i="56" s="1"/>
  <c r="N49" i="56" s="1"/>
  <c r="N50" i="56" s="1"/>
  <c r="N51" i="56" s="1"/>
  <c r="N52" i="56" s="1"/>
  <c r="N53" i="56" s="1"/>
  <c r="N54" i="56" s="1"/>
  <c r="N55" i="56" s="1"/>
  <c r="N56" i="56" s="1"/>
  <c r="N57" i="56" s="1"/>
  <c r="N58" i="56" s="1"/>
  <c r="N59" i="56" s="1"/>
  <c r="N60" i="56" s="1"/>
  <c r="N61" i="56" s="1"/>
  <c r="N62" i="56" s="1"/>
  <c r="N63" i="56" s="1"/>
  <c r="N64" i="56" s="1"/>
  <c r="N65" i="56" s="1"/>
  <c r="N66" i="56" s="1"/>
  <c r="N67" i="56" s="1"/>
  <c r="N68" i="56" s="1"/>
  <c r="N69" i="56" s="1"/>
  <c r="N70" i="56" s="1"/>
  <c r="N71" i="56" s="1"/>
  <c r="N72" i="56" s="1"/>
  <c r="N73" i="56" s="1"/>
  <c r="N74" i="56" s="1"/>
  <c r="N75" i="56" s="1"/>
  <c r="N76" i="56" s="1"/>
  <c r="N77" i="56" s="1"/>
  <c r="N78" i="56" s="1"/>
  <c r="N79" i="56" s="1"/>
  <c r="N80" i="56" s="1"/>
  <c r="N81" i="56" s="1"/>
  <c r="N82" i="56" s="1"/>
  <c r="N83" i="56" s="1"/>
  <c r="N84" i="56" s="1"/>
  <c r="N85" i="56" s="1"/>
  <c r="N86" i="56" s="1"/>
  <c r="N87" i="56" s="1"/>
  <c r="N88" i="56" s="1"/>
  <c r="M14" i="56" s="1"/>
  <c r="L20" i="46"/>
  <c r="L21" i="46" s="1"/>
  <c r="K20" i="46"/>
  <c r="K21" i="46" s="1"/>
  <c r="K22" i="46" s="1"/>
  <c r="K23" i="46" s="1"/>
  <c r="K24" i="46" s="1"/>
  <c r="K25" i="46" s="1"/>
  <c r="K26" i="46" s="1"/>
  <c r="K27" i="46" s="1"/>
  <c r="K28" i="46" s="1"/>
  <c r="K29" i="46" s="1"/>
  <c r="K30" i="46" s="1"/>
  <c r="K31" i="46" s="1"/>
  <c r="J50" i="46" l="1"/>
  <c r="I12" i="46"/>
  <c r="E12" i="46"/>
  <c r="D12" i="46"/>
  <c r="C12" i="46"/>
  <c r="L10" i="46"/>
  <c r="L9" i="46"/>
  <c r="L8" i="46"/>
  <c r="L7" i="46"/>
  <c r="L6" i="46"/>
  <c r="I22" i="48" l="1"/>
  <c r="J68" i="46"/>
  <c r="J64" i="46"/>
  <c r="J63" i="46"/>
  <c r="J67" i="46"/>
  <c r="J61" i="46"/>
  <c r="J66" i="46"/>
  <c r="J62" i="46"/>
  <c r="J65" i="46"/>
  <c r="J80" i="46"/>
  <c r="J76" i="46"/>
  <c r="J72" i="46"/>
  <c r="J56" i="46"/>
  <c r="J49" i="46"/>
  <c r="J41" i="46"/>
  <c r="J39" i="46"/>
  <c r="J79" i="46"/>
  <c r="J75" i="46"/>
  <c r="J71" i="46"/>
  <c r="J59" i="46"/>
  <c r="J51" i="46"/>
  <c r="J48" i="46"/>
  <c r="J44" i="46"/>
  <c r="J40" i="46"/>
  <c r="J36" i="46"/>
  <c r="J82" i="46"/>
  <c r="J78" i="46"/>
  <c r="J74" i="46"/>
  <c r="J70" i="46"/>
  <c r="J47" i="46"/>
  <c r="J35" i="46"/>
  <c r="J81" i="46"/>
  <c r="J77" i="46"/>
  <c r="J73" i="46"/>
  <c r="J69" i="46"/>
  <c r="J57" i="46"/>
  <c r="J53" i="46"/>
  <c r="J46" i="46"/>
  <c r="J42" i="46"/>
  <c r="J38" i="46"/>
  <c r="J34" i="46"/>
  <c r="J60" i="46"/>
  <c r="J52" i="46"/>
  <c r="J45" i="46"/>
  <c r="J37" i="46"/>
  <c r="J58" i="46"/>
  <c r="J54" i="46"/>
  <c r="J43" i="46"/>
  <c r="C13" i="46"/>
  <c r="C15" i="46" s="1"/>
  <c r="D13" i="46"/>
  <c r="E13" i="46"/>
  <c r="I23" i="48" l="1"/>
  <c r="J23" i="48" s="1"/>
  <c r="J16" i="48" s="1"/>
  <c r="K22" i="48"/>
  <c r="L20" i="43"/>
  <c r="L21" i="43" s="1"/>
  <c r="K20" i="43"/>
  <c r="K21" i="43" s="1"/>
  <c r="K22" i="43" s="1"/>
  <c r="K23" i="43" s="1"/>
  <c r="K24" i="43" s="1"/>
  <c r="K25" i="43" s="1"/>
  <c r="K26" i="43" s="1"/>
  <c r="K27" i="43" s="1"/>
  <c r="K28" i="43" s="1"/>
  <c r="I16" i="48" l="1"/>
  <c r="K23" i="48"/>
  <c r="K24" i="48" s="1"/>
  <c r="K25" i="48" s="1"/>
  <c r="K26" i="48" s="1"/>
  <c r="K27" i="48" s="1"/>
  <c r="K28" i="48" s="1"/>
  <c r="K29" i="48" s="1"/>
  <c r="K30" i="48" s="1"/>
  <c r="K31" i="48" s="1"/>
  <c r="K32" i="48" s="1"/>
  <c r="K33" i="48" s="1"/>
  <c r="K34" i="48" s="1"/>
  <c r="K35" i="48" s="1"/>
  <c r="K36" i="48" s="1"/>
  <c r="K37" i="48" s="1"/>
  <c r="K38" i="48" s="1"/>
  <c r="K39" i="48" s="1"/>
  <c r="K40" i="48" s="1"/>
  <c r="K41" i="48" s="1"/>
  <c r="K42" i="48" s="1"/>
  <c r="K43" i="48" s="1"/>
  <c r="K44" i="48" s="1"/>
  <c r="K45" i="48" s="1"/>
  <c r="K46" i="48" s="1"/>
  <c r="K47" i="48" s="1"/>
  <c r="K48" i="48" s="1"/>
  <c r="K49" i="48" s="1"/>
  <c r="K50" i="48" s="1"/>
  <c r="K51" i="48" s="1"/>
  <c r="K52" i="48" s="1"/>
  <c r="K53" i="48" s="1"/>
  <c r="K54" i="48" s="1"/>
  <c r="K55" i="48" s="1"/>
  <c r="K56" i="48" s="1"/>
  <c r="K57" i="48" s="1"/>
  <c r="K58" i="48" s="1"/>
  <c r="K59" i="48" s="1"/>
  <c r="K60" i="48" s="1"/>
  <c r="K61" i="48" s="1"/>
  <c r="K62" i="48" s="1"/>
  <c r="K63" i="48" s="1"/>
  <c r="K64" i="48" s="1"/>
  <c r="K65" i="48" s="1"/>
  <c r="K66" i="48" s="1"/>
  <c r="K67" i="48" s="1"/>
  <c r="K68" i="48" s="1"/>
  <c r="K69" i="48" s="1"/>
  <c r="K70" i="48" s="1"/>
  <c r="K71" i="48" s="1"/>
  <c r="K72" i="48" s="1"/>
  <c r="K73" i="48" s="1"/>
  <c r="K74" i="48" s="1"/>
  <c r="K75" i="48" s="1"/>
  <c r="K76" i="48" s="1"/>
  <c r="K77" i="48" s="1"/>
  <c r="K78" i="48" s="1"/>
  <c r="K79" i="48" s="1"/>
  <c r="N23" i="48"/>
  <c r="N24" i="48" s="1"/>
  <c r="N25" i="48" s="1"/>
  <c r="N26" i="48" s="1"/>
  <c r="N27" i="48" s="1"/>
  <c r="N28" i="48" s="1"/>
  <c r="N29" i="48" s="1"/>
  <c r="N30" i="48" s="1"/>
  <c r="N31" i="48" s="1"/>
  <c r="N32" i="48" s="1"/>
  <c r="N33" i="48" s="1"/>
  <c r="N34" i="48" s="1"/>
  <c r="N35" i="48" s="1"/>
  <c r="N36" i="48" s="1"/>
  <c r="N37" i="48" s="1"/>
  <c r="N38" i="48" s="1"/>
  <c r="N39" i="48" s="1"/>
  <c r="N40" i="48" s="1"/>
  <c r="N41" i="48" s="1"/>
  <c r="N42" i="48" s="1"/>
  <c r="N43" i="48" s="1"/>
  <c r="N44" i="48" s="1"/>
  <c r="N45" i="48" s="1"/>
  <c r="N46" i="48" s="1"/>
  <c r="N47" i="48" s="1"/>
  <c r="N48" i="48" s="1"/>
  <c r="N49" i="48" s="1"/>
  <c r="N50" i="48" s="1"/>
  <c r="N51" i="48" s="1"/>
  <c r="N52" i="48" s="1"/>
  <c r="N53" i="48" s="1"/>
  <c r="N54" i="48" s="1"/>
  <c r="N55" i="48" s="1"/>
  <c r="N56" i="48" s="1"/>
  <c r="N57" i="48" s="1"/>
  <c r="N58" i="48" s="1"/>
  <c r="N59" i="48" s="1"/>
  <c r="N60" i="48" s="1"/>
  <c r="N61" i="48" s="1"/>
  <c r="N62" i="48" s="1"/>
  <c r="N63" i="48" s="1"/>
  <c r="N64" i="48" s="1"/>
  <c r="N65" i="48" s="1"/>
  <c r="N66" i="48" s="1"/>
  <c r="N67" i="48" s="1"/>
  <c r="N68" i="48" s="1"/>
  <c r="N69" i="48" s="1"/>
  <c r="N70" i="48" s="1"/>
  <c r="N71" i="48" s="1"/>
  <c r="N72" i="48" s="1"/>
  <c r="N73" i="48" s="1"/>
  <c r="N74" i="48" s="1"/>
  <c r="N75" i="48" s="1"/>
  <c r="N76" i="48" s="1"/>
  <c r="N77" i="48" s="1"/>
  <c r="N78" i="48" s="1"/>
  <c r="N79" i="48" s="1"/>
  <c r="L23" i="48"/>
  <c r="L24" i="48" s="1"/>
  <c r="L25" i="48" s="1"/>
  <c r="L26" i="48" s="1"/>
  <c r="L27" i="48" s="1"/>
  <c r="L28" i="48" s="1"/>
  <c r="L29" i="48" s="1"/>
  <c r="L30" i="48" s="1"/>
  <c r="L31" i="48" s="1"/>
  <c r="L32" i="48" s="1"/>
  <c r="L33" i="48" s="1"/>
  <c r="L34" i="48" s="1"/>
  <c r="L35" i="48" s="1"/>
  <c r="L36" i="48" s="1"/>
  <c r="L37" i="48" s="1"/>
  <c r="L38" i="48" s="1"/>
  <c r="L39" i="48" s="1"/>
  <c r="L40" i="48" s="1"/>
  <c r="L41" i="48" s="1"/>
  <c r="L42" i="48" s="1"/>
  <c r="L43" i="48" s="1"/>
  <c r="L44" i="48" s="1"/>
  <c r="L45" i="48" s="1"/>
  <c r="L46" i="48" s="1"/>
  <c r="L47" i="48" s="1"/>
  <c r="L48" i="48" s="1"/>
  <c r="L49" i="48" s="1"/>
  <c r="L50" i="48" s="1"/>
  <c r="L51" i="48" s="1"/>
  <c r="L52" i="48" s="1"/>
  <c r="L53" i="48" s="1"/>
  <c r="L54" i="48" s="1"/>
  <c r="L55" i="48" s="1"/>
  <c r="L56" i="48" s="1"/>
  <c r="L57" i="48" s="1"/>
  <c r="L58" i="48" s="1"/>
  <c r="L59" i="48" s="1"/>
  <c r="L60" i="48" s="1"/>
  <c r="L61" i="48" s="1"/>
  <c r="L62" i="48" s="1"/>
  <c r="L63" i="48" s="1"/>
  <c r="L64" i="48" s="1"/>
  <c r="L65" i="48" s="1"/>
  <c r="L66" i="48" s="1"/>
  <c r="L67" i="48" s="1"/>
  <c r="L68" i="48" s="1"/>
  <c r="L69" i="48" s="1"/>
  <c r="L70" i="48" s="1"/>
  <c r="L71" i="48" s="1"/>
  <c r="L72" i="48" s="1"/>
  <c r="L73" i="48" s="1"/>
  <c r="L74" i="48" s="1"/>
  <c r="L75" i="48" s="1"/>
  <c r="L76" i="48" s="1"/>
  <c r="L77" i="48" s="1"/>
  <c r="L78" i="48" s="1"/>
  <c r="L79" i="48" s="1"/>
  <c r="D14" i="46"/>
  <c r="D15" i="46" l="1"/>
  <c r="H25" i="46"/>
  <c r="H16" i="46" s="1"/>
  <c r="J31" i="46"/>
  <c r="J23" i="46"/>
  <c r="J25" i="46"/>
  <c r="J30" i="46"/>
  <c r="J26" i="46"/>
  <c r="J22" i="46"/>
  <c r="J28" i="46"/>
  <c r="J24" i="46"/>
  <c r="J27" i="46"/>
  <c r="J29" i="46"/>
  <c r="J77" i="43"/>
  <c r="J73" i="43"/>
  <c r="J69" i="43"/>
  <c r="J78" i="43"/>
  <c r="J70" i="43"/>
  <c r="J80" i="43"/>
  <c r="J76" i="43"/>
  <c r="J72" i="43"/>
  <c r="J68" i="43"/>
  <c r="J74" i="43"/>
  <c r="J79" i="43"/>
  <c r="J75" i="43"/>
  <c r="J71" i="43"/>
  <c r="J64" i="43"/>
  <c r="J60" i="43"/>
  <c r="J56" i="43"/>
  <c r="J52" i="43"/>
  <c r="J48" i="43"/>
  <c r="J44" i="43"/>
  <c r="J40" i="43"/>
  <c r="J81" i="43"/>
  <c r="J58" i="43"/>
  <c r="J46" i="43"/>
  <c r="J38" i="43"/>
  <c r="J67" i="43"/>
  <c r="J63" i="43"/>
  <c r="J59" i="43"/>
  <c r="J55" i="43"/>
  <c r="J51" i="43"/>
  <c r="J47" i="43"/>
  <c r="J43" i="43"/>
  <c r="J39" i="43"/>
  <c r="J36" i="43"/>
  <c r="J33" i="43"/>
  <c r="J66" i="43"/>
  <c r="J62" i="43"/>
  <c r="J54" i="43"/>
  <c r="J35" i="43"/>
  <c r="J65" i="43"/>
  <c r="J61" i="43"/>
  <c r="J57" i="43"/>
  <c r="J53" i="43"/>
  <c r="J49" i="43"/>
  <c r="J45" i="43"/>
  <c r="J41" i="43"/>
  <c r="J37" i="43"/>
  <c r="J34" i="43"/>
  <c r="J31" i="43"/>
  <c r="J50" i="43"/>
  <c r="J42" i="43"/>
  <c r="J32" i="43"/>
  <c r="H16" i="43"/>
  <c r="K12" i="43"/>
  <c r="E12" i="43"/>
  <c r="D12" i="43"/>
  <c r="C12" i="43"/>
  <c r="L10" i="43"/>
  <c r="L9" i="43"/>
  <c r="L8" i="43"/>
  <c r="L7" i="43"/>
  <c r="L6" i="43"/>
  <c r="L22" i="46" l="1"/>
  <c r="L23" i="46" s="1"/>
  <c r="L24" i="46" s="1"/>
  <c r="L25" i="46" s="1"/>
  <c r="L26" i="46" s="1"/>
  <c r="L27" i="46" s="1"/>
  <c r="L28" i="46" s="1"/>
  <c r="L29" i="46" s="1"/>
  <c r="L30" i="46" s="1"/>
  <c r="L31" i="46" s="1"/>
  <c r="L32" i="46" s="1"/>
  <c r="E13" i="43"/>
  <c r="J33" i="41" l="1"/>
  <c r="J26" i="43" l="1"/>
  <c r="J22" i="43"/>
  <c r="J27" i="43"/>
  <c r="J25" i="43"/>
  <c r="J28" i="43"/>
  <c r="J24" i="43"/>
  <c r="J23" i="43"/>
  <c r="J60" i="41"/>
  <c r="J45" i="41"/>
  <c r="J66" i="41"/>
  <c r="J62" i="41"/>
  <c r="J57" i="41"/>
  <c r="J52" i="41"/>
  <c r="J48" i="41"/>
  <c r="J41" i="41"/>
  <c r="J37" i="41"/>
  <c r="J29" i="41"/>
  <c r="J63" i="41"/>
  <c r="J58" i="41"/>
  <c r="J49" i="41"/>
  <c r="J34" i="41"/>
  <c r="J26" i="41"/>
  <c r="J69" i="41"/>
  <c r="J65" i="41"/>
  <c r="J61" i="41"/>
  <c r="J55" i="41"/>
  <c r="J51" i="41"/>
  <c r="J47" i="41"/>
  <c r="J40" i="41"/>
  <c r="J36" i="41"/>
  <c r="J32" i="41"/>
  <c r="J28" i="41"/>
  <c r="J67" i="41"/>
  <c r="J38" i="41"/>
  <c r="J68" i="41"/>
  <c r="J64" i="41"/>
  <c r="J59" i="41"/>
  <c r="J54" i="41"/>
  <c r="J50" i="41"/>
  <c r="J44" i="41"/>
  <c r="J39" i="41"/>
  <c r="J35" i="41"/>
  <c r="J31" i="41"/>
  <c r="J27" i="41"/>
  <c r="J53" i="41"/>
  <c r="J42" i="41"/>
  <c r="J30" i="41"/>
  <c r="H14" i="41"/>
  <c r="K12" i="41"/>
  <c r="E12" i="41"/>
  <c r="D12" i="41"/>
  <c r="C12" i="41"/>
  <c r="L10" i="41"/>
  <c r="L9" i="41"/>
  <c r="L8" i="41"/>
  <c r="L7" i="41"/>
  <c r="L6" i="41"/>
  <c r="N22" i="43" l="1"/>
  <c r="N23" i="43" s="1"/>
  <c r="N24" i="43" s="1"/>
  <c r="N25" i="43" s="1"/>
  <c r="N26" i="43" s="1"/>
  <c r="N27" i="43" s="1"/>
  <c r="N28" i="43" s="1"/>
  <c r="L22" i="43"/>
  <c r="L23" i="43" s="1"/>
  <c r="L24" i="43" s="1"/>
  <c r="L25" i="43" s="1"/>
  <c r="L26" i="43" s="1"/>
  <c r="L27" i="43" s="1"/>
  <c r="L28" i="43" s="1"/>
  <c r="E13" i="41"/>
  <c r="J66" i="37" l="1"/>
  <c r="I24" i="41"/>
  <c r="J26" i="37"/>
  <c r="J34" i="37"/>
  <c r="J42" i="37"/>
  <c r="J51" i="37"/>
  <c r="J62" i="37"/>
  <c r="J27" i="37"/>
  <c r="J35" i="37"/>
  <c r="J43" i="37"/>
  <c r="J54" i="37"/>
  <c r="J63" i="37"/>
  <c r="J30" i="37"/>
  <c r="J38" i="37"/>
  <c r="J46" i="37"/>
  <c r="J55" i="37"/>
  <c r="J69" i="37"/>
  <c r="J22" i="41"/>
  <c r="J21" i="41"/>
  <c r="J23" i="41"/>
  <c r="J18" i="41"/>
  <c r="J19" i="41"/>
  <c r="J58" i="37"/>
  <c r="J31" i="37"/>
  <c r="J39" i="37"/>
  <c r="J50" i="37"/>
  <c r="J59" i="37"/>
  <c r="J67" i="37"/>
  <c r="J28" i="37"/>
  <c r="J32" i="37"/>
  <c r="J36" i="37"/>
  <c r="J40" i="37"/>
  <c r="J44" i="37"/>
  <c r="J48" i="37"/>
  <c r="J52" i="37"/>
  <c r="J56" i="37"/>
  <c r="J64" i="37"/>
  <c r="J68" i="37"/>
  <c r="J29" i="37"/>
  <c r="J33" i="37"/>
  <c r="J37" i="37"/>
  <c r="J41" i="37"/>
  <c r="J45" i="37"/>
  <c r="J49" i="37"/>
  <c r="J53" i="37"/>
  <c r="J57" i="37"/>
  <c r="J61" i="37"/>
  <c r="J65" i="37"/>
  <c r="L18" i="37" l="1"/>
  <c r="K18" i="37"/>
  <c r="K19" i="37" s="1"/>
  <c r="K20" i="37" s="1"/>
  <c r="K21" i="37" s="1"/>
  <c r="K22" i="37" s="1"/>
  <c r="K23" i="37" s="1"/>
  <c r="K12" i="37"/>
  <c r="J12" i="37"/>
  <c r="I12" i="37"/>
  <c r="E12" i="37"/>
  <c r="L10" i="37"/>
  <c r="L9" i="37"/>
  <c r="L8" i="37"/>
  <c r="L7" i="37"/>
  <c r="L6" i="37"/>
  <c r="L5" i="37"/>
  <c r="L19" i="37" l="1"/>
  <c r="E13" i="37"/>
  <c r="I59" i="33"/>
  <c r="J60" i="33" l="1"/>
  <c r="L18" i="33"/>
  <c r="L19" i="33" s="1"/>
  <c r="K18" i="33"/>
  <c r="K19" i="33" s="1"/>
  <c r="K20" i="33" s="1"/>
  <c r="K21" i="33" s="1"/>
  <c r="K22" i="33" s="1"/>
  <c r="K23" i="33" s="1"/>
  <c r="J30" i="33" l="1"/>
  <c r="J38" i="33"/>
  <c r="J46" i="33"/>
  <c r="J58" i="33"/>
  <c r="J40" i="33"/>
  <c r="J48" i="33"/>
  <c r="J61" i="33"/>
  <c r="J23" i="37"/>
  <c r="J20" i="37"/>
  <c r="J22" i="37"/>
  <c r="J21" i="37"/>
  <c r="H20" i="37"/>
  <c r="J63" i="33"/>
  <c r="J32" i="33"/>
  <c r="J26" i="33"/>
  <c r="J34" i="33"/>
  <c r="J42" i="33"/>
  <c r="J52" i="33"/>
  <c r="J62" i="33"/>
  <c r="J28" i="33"/>
  <c r="J36" i="33"/>
  <c r="J44" i="33"/>
  <c r="J54" i="33"/>
  <c r="J64" i="33"/>
  <c r="J27" i="33"/>
  <c r="J31" i="33"/>
  <c r="J35" i="33"/>
  <c r="J39" i="33"/>
  <c r="J43" i="33"/>
  <c r="J47" i="33"/>
  <c r="J51" i="33"/>
  <c r="J55" i="33"/>
  <c r="J59" i="33"/>
  <c r="J29" i="33"/>
  <c r="J33" i="33"/>
  <c r="J37" i="33"/>
  <c r="J41" i="33"/>
  <c r="J45" i="33"/>
  <c r="J49" i="33"/>
  <c r="J57" i="33"/>
  <c r="N20" i="37" l="1"/>
  <c r="N21" i="37" s="1"/>
  <c r="N22" i="37" s="1"/>
  <c r="N23" i="37" s="1"/>
  <c r="H14" i="37"/>
  <c r="L20" i="37"/>
  <c r="L21" i="37" s="1"/>
  <c r="L22" i="37" s="1"/>
  <c r="L23" i="37" s="1"/>
  <c r="I56" i="33"/>
  <c r="J56" i="33" s="1"/>
  <c r="H14" i="33" l="1"/>
  <c r="K12" i="33"/>
  <c r="J12" i="33"/>
  <c r="I12" i="33"/>
  <c r="E12" i="33"/>
  <c r="L10" i="33"/>
  <c r="L9" i="33"/>
  <c r="L8" i="33"/>
  <c r="L7" i="33"/>
  <c r="L6" i="33"/>
  <c r="L5" i="33"/>
  <c r="E13" i="33" l="1"/>
  <c r="I24" i="33" l="1"/>
  <c r="J20" i="33"/>
  <c r="J23" i="33"/>
  <c r="J22" i="33"/>
  <c r="J21" i="33"/>
  <c r="J46" i="29"/>
  <c r="J42" i="29"/>
  <c r="J38" i="29"/>
  <c r="J49" i="29"/>
  <c r="J45" i="29"/>
  <c r="J41" i="29"/>
  <c r="J37" i="29"/>
  <c r="J48" i="29"/>
  <c r="J44" i="29"/>
  <c r="J40" i="29"/>
  <c r="J36" i="29"/>
  <c r="J47" i="29"/>
  <c r="J43" i="29"/>
  <c r="J39" i="29"/>
  <c r="J35" i="29"/>
  <c r="J70" i="29"/>
  <c r="J65" i="29"/>
  <c r="J61" i="29"/>
  <c r="J57" i="29"/>
  <c r="J53" i="29"/>
  <c r="J34" i="29"/>
  <c r="J30" i="29"/>
  <c r="J26" i="29"/>
  <c r="J69" i="29"/>
  <c r="J64" i="29"/>
  <c r="J60" i="29"/>
  <c r="J56" i="29"/>
  <c r="J52" i="29"/>
  <c r="J33" i="29"/>
  <c r="J29" i="29"/>
  <c r="J25" i="29"/>
  <c r="J72" i="29"/>
  <c r="J68" i="29"/>
  <c r="J63" i="29"/>
  <c r="J59" i="29"/>
  <c r="J55" i="29"/>
  <c r="J51" i="29"/>
  <c r="J32" i="29"/>
  <c r="J28" i="29"/>
  <c r="J24" i="29"/>
  <c r="J71" i="29"/>
  <c r="J66" i="29"/>
  <c r="J62" i="29"/>
  <c r="J58" i="29"/>
  <c r="J54" i="29"/>
  <c r="J50" i="29"/>
  <c r="J31" i="29"/>
  <c r="J27" i="29"/>
  <c r="L20" i="33" l="1"/>
  <c r="L21" i="33" s="1"/>
  <c r="L22" i="33" s="1"/>
  <c r="L23" i="33" s="1"/>
  <c r="L24" i="33" s="1"/>
  <c r="I25" i="33"/>
  <c r="J25" i="33" s="1"/>
  <c r="N25" i="33" s="1"/>
  <c r="N26" i="33" s="1"/>
  <c r="N27" i="33" s="1"/>
  <c r="N28" i="33" s="1"/>
  <c r="N29" i="33" s="1"/>
  <c r="N30" i="33" s="1"/>
  <c r="N31" i="33" s="1"/>
  <c r="N32" i="33" s="1"/>
  <c r="N33" i="33" s="1"/>
  <c r="N34" i="33" s="1"/>
  <c r="N35" i="33" s="1"/>
  <c r="N36" i="33" s="1"/>
  <c r="N37" i="33" s="1"/>
  <c r="N38" i="33" s="1"/>
  <c r="N39" i="33" s="1"/>
  <c r="N40" i="33" s="1"/>
  <c r="N41" i="33" s="1"/>
  <c r="N42" i="33" s="1"/>
  <c r="N43" i="33" s="1"/>
  <c r="N44" i="33" s="1"/>
  <c r="N45" i="33" s="1"/>
  <c r="N46" i="33" s="1"/>
  <c r="N47" i="33" s="1"/>
  <c r="N48" i="33" s="1"/>
  <c r="N49" i="33" s="1"/>
  <c r="N50" i="33" s="1"/>
  <c r="N51" i="33" s="1"/>
  <c r="N52" i="33" s="1"/>
  <c r="N53" i="33" s="1"/>
  <c r="N54" i="33" s="1"/>
  <c r="N55" i="33" s="1"/>
  <c r="N56" i="33" s="1"/>
  <c r="N57" i="33" s="1"/>
  <c r="N58" i="33" s="1"/>
  <c r="N59" i="33" s="1"/>
  <c r="N60" i="33" s="1"/>
  <c r="N61" i="33" s="1"/>
  <c r="N62" i="33" s="1"/>
  <c r="N63" i="33" s="1"/>
  <c r="N64" i="33" s="1"/>
  <c r="N20" i="33" s="1"/>
  <c r="N21" i="33" s="1"/>
  <c r="N22" i="33" s="1"/>
  <c r="N23" i="33" s="1"/>
  <c r="N24" i="33" s="1"/>
  <c r="K24" i="33"/>
  <c r="J67" i="29"/>
  <c r="J14" i="33" l="1"/>
  <c r="I14" i="33"/>
  <c r="L25" i="33"/>
  <c r="L26" i="33" s="1"/>
  <c r="L27" i="33" s="1"/>
  <c r="L28" i="33" s="1"/>
  <c r="L29" i="33" s="1"/>
  <c r="L30" i="33" s="1"/>
  <c r="L31" i="33" s="1"/>
  <c r="L32" i="33" s="1"/>
  <c r="L33" i="33" s="1"/>
  <c r="L34" i="33" s="1"/>
  <c r="L35" i="33" s="1"/>
  <c r="L36" i="33" s="1"/>
  <c r="L37" i="33" s="1"/>
  <c r="L38" i="33" s="1"/>
  <c r="L39" i="33" s="1"/>
  <c r="L40" i="33" s="1"/>
  <c r="L41" i="33" s="1"/>
  <c r="L42" i="33" s="1"/>
  <c r="L43" i="33" s="1"/>
  <c r="L44" i="33" s="1"/>
  <c r="L45" i="33" s="1"/>
  <c r="L46" i="33" s="1"/>
  <c r="L47" i="33" s="1"/>
  <c r="L48" i="33" s="1"/>
  <c r="L49" i="33" s="1"/>
  <c r="L50" i="33" s="1"/>
  <c r="L51" i="33" s="1"/>
  <c r="L52" i="33" s="1"/>
  <c r="L53" i="33" s="1"/>
  <c r="L54" i="33" s="1"/>
  <c r="L55" i="33" s="1"/>
  <c r="L56" i="33" s="1"/>
  <c r="L57" i="33" s="1"/>
  <c r="L58" i="33" s="1"/>
  <c r="L59" i="33" s="1"/>
  <c r="L60" i="33" s="1"/>
  <c r="L61" i="33" s="1"/>
  <c r="L62" i="33" s="1"/>
  <c r="L63" i="33" s="1"/>
  <c r="L64" i="33" s="1"/>
  <c r="K25" i="33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K52" i="33" s="1"/>
  <c r="K53" i="33" s="1"/>
  <c r="K54" i="33" s="1"/>
  <c r="K55" i="33" s="1"/>
  <c r="K56" i="33" s="1"/>
  <c r="K57" i="33" s="1"/>
  <c r="K58" i="33" s="1"/>
  <c r="K59" i="33" s="1"/>
  <c r="K60" i="33" s="1"/>
  <c r="K61" i="33" s="1"/>
  <c r="K62" i="33" s="1"/>
  <c r="K63" i="33" s="1"/>
  <c r="K64" i="33" s="1"/>
  <c r="K18" i="29"/>
  <c r="K19" i="29" s="1"/>
  <c r="K20" i="29" s="1"/>
  <c r="L18" i="29"/>
  <c r="L19" i="29" s="1"/>
  <c r="K12" i="29"/>
  <c r="E12" i="29"/>
  <c r="D12" i="29"/>
  <c r="C12" i="29"/>
  <c r="L10" i="29"/>
  <c r="L9" i="29"/>
  <c r="L8" i="29"/>
  <c r="L7" i="29"/>
  <c r="L6" i="29"/>
  <c r="L5" i="29"/>
  <c r="E13" i="29" l="1"/>
  <c r="L18" i="23"/>
  <c r="L19" i="23" s="1"/>
  <c r="K18" i="23"/>
  <c r="K19" i="23" s="1"/>
  <c r="I22" i="29" l="1"/>
  <c r="H20" i="29"/>
  <c r="J21" i="29"/>
  <c r="J20" i="29"/>
  <c r="J61" i="23"/>
  <c r="J57" i="23"/>
  <c r="J53" i="23"/>
  <c r="J49" i="23"/>
  <c r="J45" i="23"/>
  <c r="J41" i="23"/>
  <c r="J37" i="23"/>
  <c r="J33" i="23"/>
  <c r="J29" i="23"/>
  <c r="J25" i="23"/>
  <c r="H23" i="23"/>
  <c r="J55" i="23"/>
  <c r="J47" i="23"/>
  <c r="J35" i="23"/>
  <c r="J27" i="23"/>
  <c r="J62" i="23"/>
  <c r="J50" i="23"/>
  <c r="J42" i="23"/>
  <c r="J34" i="23"/>
  <c r="J26" i="23"/>
  <c r="J60" i="23"/>
  <c r="J56" i="23"/>
  <c r="J52" i="23"/>
  <c r="J48" i="23"/>
  <c r="J44" i="23"/>
  <c r="J40" i="23"/>
  <c r="J36" i="23"/>
  <c r="J32" i="23"/>
  <c r="J28" i="23"/>
  <c r="J24" i="23"/>
  <c r="J59" i="23"/>
  <c r="J51" i="23"/>
  <c r="J43" i="23"/>
  <c r="J39" i="23"/>
  <c r="J31" i="23"/>
  <c r="J23" i="23"/>
  <c r="J58" i="23"/>
  <c r="J54" i="23"/>
  <c r="J46" i="23"/>
  <c r="J38" i="23"/>
  <c r="J30" i="23"/>
  <c r="J22" i="23"/>
  <c r="K12" i="23"/>
  <c r="J12" i="23"/>
  <c r="I12" i="23"/>
  <c r="E12" i="23"/>
  <c r="D12" i="23"/>
  <c r="C12" i="23"/>
  <c r="L10" i="23"/>
  <c r="L9" i="23"/>
  <c r="L8" i="23"/>
  <c r="L7" i="23"/>
  <c r="L6" i="23"/>
  <c r="L5" i="23"/>
  <c r="H14" i="29" l="1"/>
  <c r="L20" i="29"/>
  <c r="I23" i="29"/>
  <c r="J23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20" i="29"/>
  <c r="N21" i="29" s="1"/>
  <c r="N22" i="29" s="1"/>
  <c r="C13" i="23"/>
  <c r="D13" i="23"/>
  <c r="E13" i="23"/>
  <c r="I14" i="29" l="1"/>
  <c r="J14" i="29"/>
  <c r="N18" i="19"/>
  <c r="L18" i="19"/>
  <c r="L19" i="19" s="1"/>
  <c r="L20" i="19" s="1"/>
  <c r="J66" i="19"/>
  <c r="J48" i="19" l="1"/>
  <c r="J52" i="19"/>
  <c r="J32" i="19"/>
  <c r="J36" i="19"/>
  <c r="J40" i="19"/>
  <c r="J56" i="19"/>
  <c r="J28" i="19"/>
  <c r="J44" i="19"/>
  <c r="J60" i="19"/>
  <c r="J64" i="19"/>
  <c r="J29" i="19"/>
  <c r="J33" i="19"/>
  <c r="J37" i="19"/>
  <c r="J41" i="19"/>
  <c r="J45" i="19"/>
  <c r="J49" i="19"/>
  <c r="J53" i="19"/>
  <c r="J57" i="19"/>
  <c r="J61" i="19"/>
  <c r="J65" i="19"/>
  <c r="J26" i="19"/>
  <c r="J30" i="19"/>
  <c r="J34" i="19"/>
  <c r="J38" i="19"/>
  <c r="J42" i="19"/>
  <c r="J46" i="19"/>
  <c r="J50" i="19"/>
  <c r="J54" i="19"/>
  <c r="J58" i="19"/>
  <c r="J62" i="19"/>
  <c r="J27" i="19"/>
  <c r="J31" i="19"/>
  <c r="J35" i="19"/>
  <c r="J39" i="19"/>
  <c r="J43" i="19"/>
  <c r="J47" i="19"/>
  <c r="J51" i="19"/>
  <c r="J55" i="19"/>
  <c r="J59" i="19"/>
  <c r="J63" i="19"/>
  <c r="J67" i="19"/>
  <c r="K18" i="19"/>
  <c r="K19" i="19" s="1"/>
  <c r="K20" i="19" s="1"/>
  <c r="K21" i="19" s="1"/>
  <c r="K22" i="19" s="1"/>
  <c r="K23" i="19" s="1"/>
  <c r="L18" i="20"/>
  <c r="L19" i="20" s="1"/>
  <c r="L20" i="20" s="1"/>
  <c r="K18" i="20"/>
  <c r="K19" i="20" s="1"/>
  <c r="H14" i="20"/>
  <c r="K12" i="20"/>
  <c r="E13" i="20" s="1"/>
  <c r="J12" i="20"/>
  <c r="D13" i="20" s="1"/>
  <c r="I12" i="20"/>
  <c r="E12" i="20"/>
  <c r="D12" i="20"/>
  <c r="C12" i="20"/>
  <c r="L10" i="20"/>
  <c r="L9" i="20"/>
  <c r="L8" i="20"/>
  <c r="L7" i="20"/>
  <c r="L6" i="20"/>
  <c r="L5" i="20"/>
  <c r="H14" i="23" l="1"/>
  <c r="C13" i="20"/>
  <c r="H14" i="19" l="1"/>
  <c r="K12" i="19"/>
  <c r="E12" i="19"/>
  <c r="C12" i="19"/>
  <c r="L10" i="19"/>
  <c r="L9" i="19"/>
  <c r="L8" i="19"/>
  <c r="L7" i="19"/>
  <c r="L6" i="19"/>
  <c r="L5" i="19"/>
  <c r="E13" i="19" l="1"/>
  <c r="L10" i="16"/>
  <c r="L9" i="16"/>
  <c r="L8" i="16"/>
  <c r="L7" i="16"/>
  <c r="L6" i="16"/>
  <c r="L5" i="16"/>
  <c r="J12" i="16"/>
  <c r="I12" i="16"/>
  <c r="J62" i="16" l="1"/>
  <c r="J23" i="19"/>
  <c r="I24" i="19"/>
  <c r="J45" i="16"/>
  <c r="J29" i="16"/>
  <c r="J73" i="16"/>
  <c r="J22" i="19"/>
  <c r="J21" i="19"/>
  <c r="J72" i="20"/>
  <c r="J68" i="20"/>
  <c r="J64" i="20"/>
  <c r="J59" i="20"/>
  <c r="J55" i="20"/>
  <c r="J51" i="20"/>
  <c r="J47" i="20"/>
  <c r="J43" i="20"/>
  <c r="J39" i="20"/>
  <c r="J35" i="20"/>
  <c r="J31" i="20"/>
  <c r="J27" i="20"/>
  <c r="J23" i="20"/>
  <c r="J75" i="20"/>
  <c r="J71" i="20"/>
  <c r="J67" i="20"/>
  <c r="J63" i="20"/>
  <c r="J58" i="20"/>
  <c r="J54" i="20"/>
  <c r="J50" i="20"/>
  <c r="J46" i="20"/>
  <c r="J42" i="20"/>
  <c r="J38" i="20"/>
  <c r="J34" i="20"/>
  <c r="J30" i="20"/>
  <c r="J26" i="20"/>
  <c r="J22" i="20"/>
  <c r="J69" i="20"/>
  <c r="J65" i="20"/>
  <c r="J56" i="20"/>
  <c r="J48" i="20"/>
  <c r="J44" i="20"/>
  <c r="J36" i="20"/>
  <c r="J28" i="20"/>
  <c r="J74" i="20"/>
  <c r="J70" i="20"/>
  <c r="J66" i="20"/>
  <c r="J62" i="20"/>
  <c r="J57" i="20"/>
  <c r="J53" i="20"/>
  <c r="J49" i="20"/>
  <c r="J45" i="20"/>
  <c r="J41" i="20"/>
  <c r="J37" i="20"/>
  <c r="J33" i="20"/>
  <c r="J29" i="20"/>
  <c r="J25" i="20"/>
  <c r="J73" i="20"/>
  <c r="J61" i="20"/>
  <c r="J52" i="20"/>
  <c r="J40" i="20"/>
  <c r="J32" i="20"/>
  <c r="J24" i="20"/>
  <c r="J49" i="16"/>
  <c r="J25" i="16"/>
  <c r="J41" i="16"/>
  <c r="J57" i="16"/>
  <c r="J74" i="16"/>
  <c r="J33" i="16"/>
  <c r="J66" i="16"/>
  <c r="J37" i="16"/>
  <c r="J53" i="16"/>
  <c r="J70" i="16"/>
  <c r="J22" i="16"/>
  <c r="J26" i="16"/>
  <c r="J30" i="16"/>
  <c r="J34" i="16"/>
  <c r="J38" i="16"/>
  <c r="J42" i="16"/>
  <c r="J46" i="16"/>
  <c r="J50" i="16"/>
  <c r="J54" i="16"/>
  <c r="J58" i="16"/>
  <c r="J63" i="16"/>
  <c r="J67" i="16"/>
  <c r="J71" i="16"/>
  <c r="J75" i="16"/>
  <c r="J23" i="16"/>
  <c r="J27" i="16"/>
  <c r="J31" i="16"/>
  <c r="J35" i="16"/>
  <c r="J39" i="16"/>
  <c r="J43" i="16"/>
  <c r="J47" i="16"/>
  <c r="J51" i="16"/>
  <c r="J55" i="16"/>
  <c r="J59" i="16"/>
  <c r="J64" i="16"/>
  <c r="J68" i="16"/>
  <c r="J72" i="16"/>
  <c r="J24" i="16"/>
  <c r="J28" i="16"/>
  <c r="J32" i="16"/>
  <c r="J36" i="16"/>
  <c r="J40" i="16"/>
  <c r="J44" i="16"/>
  <c r="J48" i="16"/>
  <c r="J52" i="16"/>
  <c r="J56" i="16"/>
  <c r="J61" i="16"/>
  <c r="J65" i="16"/>
  <c r="J69" i="16"/>
  <c r="I25" i="19" l="1"/>
  <c r="J25" i="19" s="1"/>
  <c r="N25" i="19" s="1"/>
  <c r="N26" i="19" s="1"/>
  <c r="N27" i="19" s="1"/>
  <c r="N28" i="19" s="1"/>
  <c r="N29" i="19" s="1"/>
  <c r="N30" i="19" s="1"/>
  <c r="N31" i="19" s="1"/>
  <c r="N32" i="19" s="1"/>
  <c r="N33" i="19" s="1"/>
  <c r="N34" i="19" s="1"/>
  <c r="N35" i="19" s="1"/>
  <c r="N36" i="19" s="1"/>
  <c r="N37" i="19" s="1"/>
  <c r="N38" i="19" s="1"/>
  <c r="N39" i="19" s="1"/>
  <c r="N40" i="19" s="1"/>
  <c r="N41" i="19" s="1"/>
  <c r="N42" i="19" s="1"/>
  <c r="N43" i="19" s="1"/>
  <c r="N44" i="19" s="1"/>
  <c r="N45" i="19" s="1"/>
  <c r="N46" i="19" s="1"/>
  <c r="N47" i="19" s="1"/>
  <c r="N48" i="19" s="1"/>
  <c r="N49" i="19" s="1"/>
  <c r="N50" i="19" s="1"/>
  <c r="N51" i="19" s="1"/>
  <c r="N52" i="19" s="1"/>
  <c r="N53" i="19" s="1"/>
  <c r="N54" i="19" s="1"/>
  <c r="N55" i="19" s="1"/>
  <c r="N56" i="19" s="1"/>
  <c r="N57" i="19" s="1"/>
  <c r="N58" i="19" s="1"/>
  <c r="N59" i="19" s="1"/>
  <c r="N60" i="19" s="1"/>
  <c r="N61" i="19" s="1"/>
  <c r="N62" i="19" s="1"/>
  <c r="N63" i="19" s="1"/>
  <c r="N64" i="19" s="1"/>
  <c r="N65" i="19" s="1"/>
  <c r="N66" i="19" s="1"/>
  <c r="N67" i="19" s="1"/>
  <c r="K24" i="19"/>
  <c r="L21" i="19"/>
  <c r="L22" i="19" s="1"/>
  <c r="L23" i="19" s="1"/>
  <c r="L24" i="19" s="1"/>
  <c r="N21" i="19"/>
  <c r="N22" i="19" s="1"/>
  <c r="L18" i="16"/>
  <c r="L19" i="16" s="1"/>
  <c r="L20" i="16" s="1"/>
  <c r="K18" i="16"/>
  <c r="K19" i="16" s="1"/>
  <c r="H14" i="16"/>
  <c r="K12" i="16"/>
  <c r="E12" i="16"/>
  <c r="D12" i="16"/>
  <c r="D13" i="16" s="1"/>
  <c r="C12" i="16"/>
  <c r="C13" i="16" s="1"/>
  <c r="L25" i="19" l="1"/>
  <c r="L26" i="19" s="1"/>
  <c r="L27" i="19" s="1"/>
  <c r="L28" i="19" s="1"/>
  <c r="L29" i="19" s="1"/>
  <c r="L30" i="19" s="1"/>
  <c r="L31" i="19" s="1"/>
  <c r="L32" i="19" s="1"/>
  <c r="L33" i="19" s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L47" i="19" s="1"/>
  <c r="L48" i="19" s="1"/>
  <c r="L49" i="19" s="1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L62" i="19" s="1"/>
  <c r="L63" i="19" s="1"/>
  <c r="L64" i="19" s="1"/>
  <c r="L65" i="19" s="1"/>
  <c r="L66" i="19" s="1"/>
  <c r="L67" i="19" s="1"/>
  <c r="K25" i="19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41" i="19" s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E13" i="16"/>
  <c r="L18" i="14"/>
  <c r="L19" i="14" s="1"/>
  <c r="K18" i="14"/>
  <c r="K19" i="14" s="1"/>
  <c r="K20" i="14" s="1"/>
  <c r="K21" i="14" s="1"/>
  <c r="I20" i="20" l="1"/>
  <c r="I21" i="20" l="1"/>
  <c r="J21" i="20" s="1"/>
  <c r="K20" i="20"/>
  <c r="J44" i="14"/>
  <c r="J40" i="14"/>
  <c r="J62" i="14"/>
  <c r="J58" i="14"/>
  <c r="J54" i="14"/>
  <c r="J50" i="14"/>
  <c r="J46" i="14"/>
  <c r="J35" i="14"/>
  <c r="J31" i="14"/>
  <c r="J27" i="14"/>
  <c r="H58" i="14"/>
  <c r="J51" i="14"/>
  <c r="J36" i="14"/>
  <c r="J28" i="14"/>
  <c r="J43" i="14"/>
  <c r="J39" i="14"/>
  <c r="J61" i="14"/>
  <c r="J57" i="14"/>
  <c r="J53" i="14"/>
  <c r="J49" i="14"/>
  <c r="J45" i="14"/>
  <c r="J34" i="14"/>
  <c r="J30" i="14"/>
  <c r="J26" i="14"/>
  <c r="J59" i="14"/>
  <c r="J32" i="14"/>
  <c r="J42" i="14"/>
  <c r="J38" i="14"/>
  <c r="J60" i="14"/>
  <c r="J56" i="14"/>
  <c r="J52" i="14"/>
  <c r="J48" i="14"/>
  <c r="J37" i="14"/>
  <c r="J33" i="14"/>
  <c r="J29" i="14"/>
  <c r="J25" i="14"/>
  <c r="J41" i="14"/>
  <c r="J55" i="14"/>
  <c r="J47" i="14"/>
  <c r="J24" i="14"/>
  <c r="K12" i="14"/>
  <c r="E12" i="14"/>
  <c r="I14" i="20" l="1"/>
  <c r="K21" i="20"/>
  <c r="K22" i="20" s="1"/>
  <c r="K23" i="20" s="1"/>
  <c r="K24" i="20" s="1"/>
  <c r="K25" i="20" s="1"/>
  <c r="K26" i="20" s="1"/>
  <c r="K27" i="20" s="1"/>
  <c r="K28" i="20" s="1"/>
  <c r="K29" i="20" s="1"/>
  <c r="K30" i="20" s="1"/>
  <c r="K31" i="20" s="1"/>
  <c r="K32" i="20" s="1"/>
  <c r="K33" i="20" s="1"/>
  <c r="K34" i="20" s="1"/>
  <c r="K35" i="20" s="1"/>
  <c r="K36" i="20" s="1"/>
  <c r="K37" i="20" s="1"/>
  <c r="K38" i="20" s="1"/>
  <c r="K39" i="20" s="1"/>
  <c r="K40" i="20" s="1"/>
  <c r="K41" i="20" s="1"/>
  <c r="K42" i="20" s="1"/>
  <c r="K43" i="20" s="1"/>
  <c r="K44" i="20" s="1"/>
  <c r="K45" i="20" s="1"/>
  <c r="K46" i="20" s="1"/>
  <c r="K47" i="20" s="1"/>
  <c r="K48" i="20" s="1"/>
  <c r="K49" i="20" s="1"/>
  <c r="K50" i="20" s="1"/>
  <c r="K51" i="20" s="1"/>
  <c r="K52" i="20" s="1"/>
  <c r="K53" i="20" s="1"/>
  <c r="K54" i="20" s="1"/>
  <c r="K55" i="20" s="1"/>
  <c r="K56" i="20" s="1"/>
  <c r="K57" i="20" s="1"/>
  <c r="K58" i="20" s="1"/>
  <c r="K59" i="20" s="1"/>
  <c r="K60" i="20" s="1"/>
  <c r="K61" i="20" s="1"/>
  <c r="K62" i="20" s="1"/>
  <c r="K63" i="20" s="1"/>
  <c r="K64" i="20" s="1"/>
  <c r="K65" i="20" s="1"/>
  <c r="K66" i="20" s="1"/>
  <c r="K67" i="20" s="1"/>
  <c r="K68" i="20" s="1"/>
  <c r="K69" i="20" s="1"/>
  <c r="K70" i="20" s="1"/>
  <c r="K71" i="20" s="1"/>
  <c r="K72" i="20" s="1"/>
  <c r="K73" i="20" s="1"/>
  <c r="K74" i="20" s="1"/>
  <c r="K75" i="20" s="1"/>
  <c r="N21" i="20"/>
  <c r="N22" i="20" s="1"/>
  <c r="N23" i="20" s="1"/>
  <c r="N24" i="20" s="1"/>
  <c r="N25" i="20" s="1"/>
  <c r="N26" i="20" s="1"/>
  <c r="N27" i="20" s="1"/>
  <c r="N28" i="20" s="1"/>
  <c r="N29" i="20" s="1"/>
  <c r="N30" i="20" s="1"/>
  <c r="N31" i="20" s="1"/>
  <c r="N32" i="20" s="1"/>
  <c r="N33" i="20" s="1"/>
  <c r="N34" i="20" s="1"/>
  <c r="N35" i="20" s="1"/>
  <c r="N36" i="20" s="1"/>
  <c r="N37" i="20" s="1"/>
  <c r="N38" i="20" s="1"/>
  <c r="N39" i="20" s="1"/>
  <c r="N40" i="20" s="1"/>
  <c r="N41" i="20" s="1"/>
  <c r="N42" i="20" s="1"/>
  <c r="N43" i="20" s="1"/>
  <c r="N44" i="20" s="1"/>
  <c r="N45" i="20" s="1"/>
  <c r="N46" i="20" s="1"/>
  <c r="N47" i="20" s="1"/>
  <c r="N48" i="20" s="1"/>
  <c r="N49" i="20" s="1"/>
  <c r="N50" i="20" s="1"/>
  <c r="N51" i="20" s="1"/>
  <c r="N52" i="20" s="1"/>
  <c r="N53" i="20" s="1"/>
  <c r="N54" i="20" s="1"/>
  <c r="N55" i="20" s="1"/>
  <c r="N56" i="20" s="1"/>
  <c r="N57" i="20" s="1"/>
  <c r="N58" i="20" s="1"/>
  <c r="N59" i="20" s="1"/>
  <c r="N60" i="20" s="1"/>
  <c r="N61" i="20" s="1"/>
  <c r="N62" i="20" s="1"/>
  <c r="N63" i="20" s="1"/>
  <c r="N64" i="20" s="1"/>
  <c r="N65" i="20" s="1"/>
  <c r="N66" i="20" s="1"/>
  <c r="N67" i="20" s="1"/>
  <c r="N68" i="20" s="1"/>
  <c r="N69" i="20" s="1"/>
  <c r="N70" i="20" s="1"/>
  <c r="N71" i="20" s="1"/>
  <c r="N72" i="20" s="1"/>
  <c r="N73" i="20" s="1"/>
  <c r="N74" i="20" s="1"/>
  <c r="N75" i="20" s="1"/>
  <c r="J14" i="20"/>
  <c r="L21" i="20"/>
  <c r="L22" i="20" s="1"/>
  <c r="L23" i="20" s="1"/>
  <c r="L24" i="20" s="1"/>
  <c r="L25" i="20" s="1"/>
  <c r="L26" i="20" s="1"/>
  <c r="L27" i="20" s="1"/>
  <c r="L28" i="20" s="1"/>
  <c r="L29" i="20" s="1"/>
  <c r="L30" i="20" s="1"/>
  <c r="L31" i="20" s="1"/>
  <c r="L32" i="20" s="1"/>
  <c r="L33" i="20" s="1"/>
  <c r="L34" i="20" s="1"/>
  <c r="L35" i="20" s="1"/>
  <c r="L36" i="20" s="1"/>
  <c r="L37" i="20" s="1"/>
  <c r="L38" i="20" s="1"/>
  <c r="L39" i="20" s="1"/>
  <c r="L40" i="20" s="1"/>
  <c r="L41" i="20" s="1"/>
  <c r="L42" i="20" s="1"/>
  <c r="L43" i="20" s="1"/>
  <c r="L44" i="20" s="1"/>
  <c r="L45" i="20" s="1"/>
  <c r="L46" i="20" s="1"/>
  <c r="L47" i="20" s="1"/>
  <c r="L48" i="20" s="1"/>
  <c r="L49" i="20" s="1"/>
  <c r="L50" i="20" s="1"/>
  <c r="L51" i="20" s="1"/>
  <c r="L52" i="20" s="1"/>
  <c r="L53" i="20" s="1"/>
  <c r="L54" i="20" s="1"/>
  <c r="L55" i="20" s="1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L68" i="20" s="1"/>
  <c r="L69" i="20" s="1"/>
  <c r="L70" i="20" s="1"/>
  <c r="L71" i="20" s="1"/>
  <c r="L72" i="20" s="1"/>
  <c r="L73" i="20" s="1"/>
  <c r="L74" i="20" s="1"/>
  <c r="L75" i="20" s="1"/>
  <c r="E13" i="14"/>
  <c r="L23" i="12"/>
  <c r="L15" i="12"/>
  <c r="L18" i="8" l="1"/>
  <c r="L19" i="8" s="1"/>
  <c r="K18" i="8"/>
  <c r="K19" i="8" s="1"/>
  <c r="N18" i="8" l="1"/>
  <c r="I20" i="16" l="1"/>
  <c r="I21" i="16" l="1"/>
  <c r="J21" i="16" s="1"/>
  <c r="K20" i="16"/>
  <c r="J21" i="14"/>
  <c r="J20" i="14"/>
  <c r="H20" i="14"/>
  <c r="H14" i="14" s="1"/>
  <c r="J57" i="8"/>
  <c r="J56" i="8"/>
  <c r="J63" i="12"/>
  <c r="J59" i="12"/>
  <c r="J55" i="12"/>
  <c r="J51" i="12"/>
  <c r="J66" i="12"/>
  <c r="J62" i="12"/>
  <c r="J58" i="12"/>
  <c r="J54" i="12"/>
  <c r="J50" i="12"/>
  <c r="J65" i="12"/>
  <c r="J61" i="12"/>
  <c r="J57" i="12"/>
  <c r="J53" i="12"/>
  <c r="J64" i="12"/>
  <c r="J60" i="12"/>
  <c r="J56" i="12"/>
  <c r="J52" i="12"/>
  <c r="J53" i="8"/>
  <c r="J49" i="8"/>
  <c r="J45" i="8"/>
  <c r="J41" i="8"/>
  <c r="J52" i="8"/>
  <c r="J48" i="8"/>
  <c r="J44" i="8"/>
  <c r="J40" i="8"/>
  <c r="J55" i="8"/>
  <c r="J51" i="8"/>
  <c r="J47" i="8"/>
  <c r="J43" i="8"/>
  <c r="J39" i="8"/>
  <c r="J54" i="8"/>
  <c r="J50" i="8"/>
  <c r="J46" i="8"/>
  <c r="J42" i="8"/>
  <c r="H14" i="8"/>
  <c r="K12" i="8"/>
  <c r="E12" i="8"/>
  <c r="K21" i="16" l="1"/>
  <c r="K22" i="16" s="1"/>
  <c r="K23" i="16" s="1"/>
  <c r="K24" i="16" s="1"/>
  <c r="K25" i="16" s="1"/>
  <c r="K26" i="16" s="1"/>
  <c r="K27" i="16" s="1"/>
  <c r="K28" i="16" s="1"/>
  <c r="K29" i="16" s="1"/>
  <c r="K30" i="16" s="1"/>
  <c r="K31" i="16" s="1"/>
  <c r="K32" i="16" s="1"/>
  <c r="K33" i="16" s="1"/>
  <c r="K34" i="16" s="1"/>
  <c r="K35" i="16" s="1"/>
  <c r="K36" i="16" s="1"/>
  <c r="K37" i="16" s="1"/>
  <c r="K38" i="16" s="1"/>
  <c r="K39" i="16" s="1"/>
  <c r="K40" i="16" s="1"/>
  <c r="K41" i="16" s="1"/>
  <c r="K42" i="16" s="1"/>
  <c r="K43" i="16" s="1"/>
  <c r="K44" i="16" s="1"/>
  <c r="K45" i="16" s="1"/>
  <c r="K46" i="16" s="1"/>
  <c r="K47" i="16" s="1"/>
  <c r="K48" i="16" s="1"/>
  <c r="K49" i="16" s="1"/>
  <c r="K50" i="16" s="1"/>
  <c r="K51" i="16" s="1"/>
  <c r="K52" i="16" s="1"/>
  <c r="K53" i="16" s="1"/>
  <c r="K54" i="16" s="1"/>
  <c r="K55" i="16" s="1"/>
  <c r="K56" i="16" s="1"/>
  <c r="K57" i="16" s="1"/>
  <c r="K58" i="16" s="1"/>
  <c r="K59" i="16" s="1"/>
  <c r="K60" i="16" s="1"/>
  <c r="K61" i="16" s="1"/>
  <c r="K62" i="16" s="1"/>
  <c r="K63" i="16" s="1"/>
  <c r="K64" i="16" s="1"/>
  <c r="K65" i="16" s="1"/>
  <c r="K66" i="16" s="1"/>
  <c r="K67" i="16" s="1"/>
  <c r="K68" i="16" s="1"/>
  <c r="K69" i="16" s="1"/>
  <c r="K70" i="16" s="1"/>
  <c r="K71" i="16" s="1"/>
  <c r="K72" i="16" s="1"/>
  <c r="K73" i="16" s="1"/>
  <c r="K74" i="16" s="1"/>
  <c r="K75" i="16" s="1"/>
  <c r="N21" i="16"/>
  <c r="N22" i="16" s="1"/>
  <c r="N23" i="16" s="1"/>
  <c r="N24" i="16" s="1"/>
  <c r="N25" i="16" s="1"/>
  <c r="N26" i="16" s="1"/>
  <c r="N27" i="16" s="1"/>
  <c r="N28" i="16" s="1"/>
  <c r="N29" i="16" s="1"/>
  <c r="N30" i="16" s="1"/>
  <c r="N31" i="16" s="1"/>
  <c r="N32" i="16" s="1"/>
  <c r="N33" i="16" s="1"/>
  <c r="N34" i="16" s="1"/>
  <c r="N35" i="16" s="1"/>
  <c r="N36" i="16" s="1"/>
  <c r="N37" i="16" s="1"/>
  <c r="N38" i="16" s="1"/>
  <c r="N39" i="16" s="1"/>
  <c r="N40" i="16" s="1"/>
  <c r="N41" i="16" s="1"/>
  <c r="N42" i="16" s="1"/>
  <c r="N43" i="16" s="1"/>
  <c r="N44" i="16" s="1"/>
  <c r="N45" i="16" s="1"/>
  <c r="N46" i="16" s="1"/>
  <c r="N47" i="16" s="1"/>
  <c r="N48" i="16" s="1"/>
  <c r="N49" i="16" s="1"/>
  <c r="N50" i="16" s="1"/>
  <c r="N51" i="16" s="1"/>
  <c r="N52" i="16" s="1"/>
  <c r="N53" i="16" s="1"/>
  <c r="N54" i="16" s="1"/>
  <c r="N55" i="16" s="1"/>
  <c r="N56" i="16" s="1"/>
  <c r="N57" i="16" s="1"/>
  <c r="N58" i="16" s="1"/>
  <c r="N59" i="16" s="1"/>
  <c r="N60" i="16" s="1"/>
  <c r="N61" i="16" s="1"/>
  <c r="N62" i="16" s="1"/>
  <c r="N63" i="16" s="1"/>
  <c r="N64" i="16" s="1"/>
  <c r="N65" i="16" s="1"/>
  <c r="N66" i="16" s="1"/>
  <c r="N67" i="16" s="1"/>
  <c r="N68" i="16" s="1"/>
  <c r="N69" i="16" s="1"/>
  <c r="N70" i="16" s="1"/>
  <c r="N71" i="16" s="1"/>
  <c r="N72" i="16" s="1"/>
  <c r="N73" i="16" s="1"/>
  <c r="N74" i="16" s="1"/>
  <c r="N75" i="16" s="1"/>
  <c r="J14" i="16"/>
  <c r="L21" i="16"/>
  <c r="L22" i="16" s="1"/>
  <c r="L23" i="16" s="1"/>
  <c r="L24" i="16" s="1"/>
  <c r="L25" i="16" s="1"/>
  <c r="L26" i="16" s="1"/>
  <c r="L27" i="16" s="1"/>
  <c r="L28" i="16" s="1"/>
  <c r="L29" i="16" s="1"/>
  <c r="L30" i="16" s="1"/>
  <c r="L31" i="16" s="1"/>
  <c r="L32" i="16" s="1"/>
  <c r="L33" i="16" s="1"/>
  <c r="L34" i="16" s="1"/>
  <c r="L35" i="16" s="1"/>
  <c r="L36" i="16" s="1"/>
  <c r="L37" i="16" s="1"/>
  <c r="L38" i="16" s="1"/>
  <c r="L39" i="16" s="1"/>
  <c r="L40" i="16" s="1"/>
  <c r="L41" i="16" s="1"/>
  <c r="L42" i="16" s="1"/>
  <c r="L43" i="16" s="1"/>
  <c r="L44" i="16" s="1"/>
  <c r="L45" i="16" s="1"/>
  <c r="L46" i="16" s="1"/>
  <c r="L47" i="16" s="1"/>
  <c r="L48" i="16" s="1"/>
  <c r="L49" i="16" s="1"/>
  <c r="L50" i="16" s="1"/>
  <c r="L51" i="16" s="1"/>
  <c r="L52" i="16" s="1"/>
  <c r="L53" i="16" s="1"/>
  <c r="L54" i="16" s="1"/>
  <c r="L55" i="16" s="1"/>
  <c r="L56" i="16" s="1"/>
  <c r="L57" i="16" s="1"/>
  <c r="L58" i="16" s="1"/>
  <c r="L59" i="16" s="1"/>
  <c r="L60" i="16" s="1"/>
  <c r="L61" i="16" s="1"/>
  <c r="L62" i="16" s="1"/>
  <c r="L63" i="16" s="1"/>
  <c r="L64" i="16" s="1"/>
  <c r="L65" i="16" s="1"/>
  <c r="L66" i="16" s="1"/>
  <c r="L67" i="16" s="1"/>
  <c r="L68" i="16" s="1"/>
  <c r="L69" i="16" s="1"/>
  <c r="L70" i="16" s="1"/>
  <c r="L71" i="16" s="1"/>
  <c r="L72" i="16" s="1"/>
  <c r="L73" i="16" s="1"/>
  <c r="L74" i="16" s="1"/>
  <c r="L75" i="16" s="1"/>
  <c r="I14" i="16"/>
  <c r="N20" i="14"/>
  <c r="N21" i="14" s="1"/>
  <c r="L20" i="14"/>
  <c r="L21" i="14" s="1"/>
  <c r="E13" i="8"/>
  <c r="O25" i="1" l="1"/>
  <c r="Q12" i="5" l="1"/>
  <c r="P12" i="5"/>
  <c r="O12" i="5"/>
  <c r="K12" i="5"/>
  <c r="J12" i="5"/>
  <c r="I12" i="5"/>
  <c r="E12" i="5"/>
  <c r="D12" i="5"/>
  <c r="C12" i="5"/>
  <c r="D13" i="5" l="1"/>
  <c r="E13" i="5"/>
  <c r="C13" i="5"/>
  <c r="H31" i="1"/>
  <c r="H30" i="1"/>
  <c r="Q12" i="1" l="1"/>
  <c r="P12" i="1"/>
  <c r="O12" i="1"/>
  <c r="E12" i="1" l="1"/>
  <c r="N19" i="1" l="1"/>
  <c r="L18" i="1"/>
  <c r="L19" i="1" s="1"/>
  <c r="K18" i="1"/>
  <c r="K19" i="1" s="1"/>
  <c r="K20" i="1" s="1"/>
  <c r="K21" i="1" s="1"/>
  <c r="K22" i="1" s="1"/>
  <c r="K23" i="1" s="1"/>
  <c r="K24" i="1" s="1"/>
  <c r="D5" i="2"/>
  <c r="L22" i="131" s="1"/>
  <c r="K22" i="131" s="1"/>
  <c r="K12" i="1"/>
  <c r="E13" i="1" s="1"/>
  <c r="J12" i="1"/>
  <c r="I12" i="1"/>
  <c r="K23" i="131" l="1"/>
  <c r="M23" i="131" s="1"/>
  <c r="M16" i="131" s="1"/>
  <c r="N22" i="131"/>
  <c r="L90" i="124"/>
  <c r="M90" i="124" s="1"/>
  <c r="L78" i="124"/>
  <c r="M78" i="124" s="1"/>
  <c r="L66" i="124"/>
  <c r="M66" i="124" s="1"/>
  <c r="L54" i="124"/>
  <c r="M54" i="124" s="1"/>
  <c r="L42" i="124"/>
  <c r="M42" i="124" s="1"/>
  <c r="L30" i="124"/>
  <c r="M30" i="124" s="1"/>
  <c r="L23" i="124"/>
  <c r="M23" i="124" s="1"/>
  <c r="L69" i="124"/>
  <c r="M69" i="124" s="1"/>
  <c r="L32" i="124"/>
  <c r="M32" i="124" s="1"/>
  <c r="L67" i="124"/>
  <c r="M67" i="124" s="1"/>
  <c r="L89" i="124"/>
  <c r="M89" i="124" s="1"/>
  <c r="L77" i="124"/>
  <c r="M77" i="124" s="1"/>
  <c r="L65" i="124"/>
  <c r="M65" i="124" s="1"/>
  <c r="L53" i="124"/>
  <c r="M53" i="124" s="1"/>
  <c r="L41" i="124"/>
  <c r="M41" i="124" s="1"/>
  <c r="L29" i="124"/>
  <c r="M29" i="124" s="1"/>
  <c r="L46" i="124"/>
  <c r="M46" i="124" s="1"/>
  <c r="L92" i="124"/>
  <c r="L80" i="124"/>
  <c r="M80" i="124" s="1"/>
  <c r="L31" i="124"/>
  <c r="M31" i="124" s="1"/>
  <c r="L88" i="124"/>
  <c r="M88" i="124" s="1"/>
  <c r="L76" i="124"/>
  <c r="M76" i="124" s="1"/>
  <c r="L64" i="124"/>
  <c r="M64" i="124" s="1"/>
  <c r="L52" i="124"/>
  <c r="M52" i="124" s="1"/>
  <c r="L40" i="124"/>
  <c r="M40" i="124" s="1"/>
  <c r="L28" i="124"/>
  <c r="M28" i="124" s="1"/>
  <c r="L59" i="124"/>
  <c r="M59" i="124" s="1"/>
  <c r="L33" i="124"/>
  <c r="M33" i="124" s="1"/>
  <c r="L56" i="124"/>
  <c r="M56" i="124" s="1"/>
  <c r="L43" i="124"/>
  <c r="M43" i="124" s="1"/>
  <c r="L87" i="124"/>
  <c r="M87" i="124" s="1"/>
  <c r="L75" i="124"/>
  <c r="M75" i="124" s="1"/>
  <c r="L63" i="124"/>
  <c r="M63" i="124" s="1"/>
  <c r="L51" i="124"/>
  <c r="M51" i="124" s="1"/>
  <c r="L39" i="124"/>
  <c r="M39" i="124" s="1"/>
  <c r="L27" i="124"/>
  <c r="M27" i="124" s="1"/>
  <c r="L35" i="124"/>
  <c r="M35" i="124" s="1"/>
  <c r="L57" i="124"/>
  <c r="M57" i="124" s="1"/>
  <c r="L91" i="124"/>
  <c r="L86" i="124"/>
  <c r="M86" i="124" s="1"/>
  <c r="L74" i="124"/>
  <c r="M74" i="124" s="1"/>
  <c r="L62" i="124"/>
  <c r="M62" i="124" s="1"/>
  <c r="L50" i="124"/>
  <c r="M50" i="124" s="1"/>
  <c r="L38" i="124"/>
  <c r="M38" i="124" s="1"/>
  <c r="L26" i="124"/>
  <c r="M26" i="124" s="1"/>
  <c r="L47" i="124"/>
  <c r="M47" i="124" s="1"/>
  <c r="L45" i="124"/>
  <c r="M45" i="124" s="1"/>
  <c r="L85" i="124"/>
  <c r="M85" i="124" s="1"/>
  <c r="L73" i="124"/>
  <c r="M73" i="124" s="1"/>
  <c r="L61" i="124"/>
  <c r="M61" i="124" s="1"/>
  <c r="L49" i="124"/>
  <c r="M49" i="124" s="1"/>
  <c r="L37" i="124"/>
  <c r="M37" i="124" s="1"/>
  <c r="L25" i="124"/>
  <c r="M25" i="124" s="1"/>
  <c r="L71" i="124"/>
  <c r="M71" i="124" s="1"/>
  <c r="L81" i="124"/>
  <c r="M81" i="124" s="1"/>
  <c r="L79" i="124"/>
  <c r="M79" i="124" s="1"/>
  <c r="L84" i="124"/>
  <c r="M84" i="124" s="1"/>
  <c r="L72" i="124"/>
  <c r="M72" i="124" s="1"/>
  <c r="L60" i="124"/>
  <c r="M60" i="124" s="1"/>
  <c r="L48" i="124"/>
  <c r="M48" i="124" s="1"/>
  <c r="L36" i="124"/>
  <c r="M36" i="124" s="1"/>
  <c r="L24" i="124"/>
  <c r="L83" i="124"/>
  <c r="M83" i="124" s="1"/>
  <c r="L22" i="124"/>
  <c r="M22" i="124" s="1"/>
  <c r="L44" i="124"/>
  <c r="M44" i="124" s="1"/>
  <c r="L55" i="124"/>
  <c r="M55" i="124" s="1"/>
  <c r="L82" i="124"/>
  <c r="M82" i="124" s="1"/>
  <c r="L70" i="124"/>
  <c r="M70" i="124" s="1"/>
  <c r="L58" i="124"/>
  <c r="M58" i="124" s="1"/>
  <c r="L34" i="124"/>
  <c r="M34" i="124" s="1"/>
  <c r="L68" i="124"/>
  <c r="M68" i="124" s="1"/>
  <c r="J46" i="12"/>
  <c r="J42" i="12"/>
  <c r="J38" i="12"/>
  <c r="J34" i="12"/>
  <c r="J45" i="12"/>
  <c r="J41" i="12"/>
  <c r="J37" i="12"/>
  <c r="J33" i="12"/>
  <c r="L33" i="12" s="1"/>
  <c r="I48" i="12"/>
  <c r="I49" i="12" s="1"/>
  <c r="J49" i="12" s="1"/>
  <c r="J44" i="12"/>
  <c r="J40" i="12"/>
  <c r="J36" i="12"/>
  <c r="J32" i="12"/>
  <c r="L32" i="12" s="1"/>
  <c r="J47" i="12"/>
  <c r="J43" i="12"/>
  <c r="J39" i="12"/>
  <c r="J35" i="12"/>
  <c r="H23" i="1"/>
  <c r="H14" i="1" s="1"/>
  <c r="J27" i="12"/>
  <c r="L27" i="12" s="1"/>
  <c r="J22" i="12"/>
  <c r="L22" i="12" s="1"/>
  <c r="J18" i="12"/>
  <c r="L18" i="12" s="1"/>
  <c r="I11" i="12"/>
  <c r="J6" i="12"/>
  <c r="J26" i="12"/>
  <c r="L26" i="12" s="1"/>
  <c r="J21" i="12"/>
  <c r="L21" i="12" s="1"/>
  <c r="J17" i="12"/>
  <c r="H9" i="12"/>
  <c r="J25" i="12"/>
  <c r="L25" i="12" s="1"/>
  <c r="J20" i="12"/>
  <c r="I15" i="12"/>
  <c r="I16" i="12" s="1"/>
  <c r="J16" i="12" s="1"/>
  <c r="L16" i="12" s="1"/>
  <c r="J8" i="12"/>
  <c r="L8" i="12" s="1"/>
  <c r="J28" i="12"/>
  <c r="L28" i="12" s="1"/>
  <c r="I23" i="12"/>
  <c r="I24" i="12" s="1"/>
  <c r="J24" i="12" s="1"/>
  <c r="L24" i="12" s="1"/>
  <c r="J19" i="12"/>
  <c r="L19" i="12" s="1"/>
  <c r="J14" i="12"/>
  <c r="L14" i="12" s="1"/>
  <c r="J7" i="12"/>
  <c r="J35" i="8"/>
  <c r="J31" i="8"/>
  <c r="J28" i="8"/>
  <c r="J24" i="8"/>
  <c r="J34" i="8"/>
  <c r="J30" i="8"/>
  <c r="J27" i="8"/>
  <c r="J23" i="8"/>
  <c r="J33" i="8"/>
  <c r="J26" i="8"/>
  <c r="J22" i="8"/>
  <c r="J36" i="8"/>
  <c r="J32" i="8"/>
  <c r="J29" i="8"/>
  <c r="J25" i="8"/>
  <c r="J21" i="8"/>
  <c r="N21" i="8" s="1"/>
  <c r="J21" i="1"/>
  <c r="J31" i="5"/>
  <c r="J25" i="5"/>
  <c r="J21" i="5"/>
  <c r="J30" i="5"/>
  <c r="J24" i="5"/>
  <c r="J20" i="5"/>
  <c r="I18" i="5"/>
  <c r="I19" i="5" s="1"/>
  <c r="J19" i="5" s="1"/>
  <c r="N19" i="5" s="1"/>
  <c r="J29" i="5"/>
  <c r="J23" i="5"/>
  <c r="J28" i="5"/>
  <c r="J22" i="5"/>
  <c r="I25" i="1"/>
  <c r="I14" i="1" s="1"/>
  <c r="J28" i="1"/>
  <c r="J20" i="1"/>
  <c r="L20" i="1" s="1"/>
  <c r="J22" i="1"/>
  <c r="D12" i="1"/>
  <c r="D13" i="1" s="1"/>
  <c r="C12" i="1"/>
  <c r="C13" i="1" s="1"/>
  <c r="N18" i="5"/>
  <c r="L18" i="5"/>
  <c r="K16" i="131" l="1"/>
  <c r="N23" i="131"/>
  <c r="N24" i="131" s="1"/>
  <c r="N25" i="131" s="1"/>
  <c r="N26" i="131" s="1"/>
  <c r="N27" i="131" s="1"/>
  <c r="N28" i="131" s="1"/>
  <c r="N29" i="131" s="1"/>
  <c r="S23" i="131"/>
  <c r="S24" i="131" s="1"/>
  <c r="S25" i="131" s="1"/>
  <c r="S26" i="131" s="1"/>
  <c r="S27" i="131" s="1"/>
  <c r="S28" i="131" s="1"/>
  <c r="S29" i="131" s="1"/>
  <c r="S30" i="131" s="1"/>
  <c r="S31" i="131" s="1"/>
  <c r="S32" i="131" s="1"/>
  <c r="S33" i="131" s="1"/>
  <c r="S34" i="131" s="1"/>
  <c r="S35" i="131" s="1"/>
  <c r="S36" i="131" s="1"/>
  <c r="S37" i="131" s="1"/>
  <c r="S38" i="131" s="1"/>
  <c r="S39" i="131" s="1"/>
  <c r="S40" i="131" s="1"/>
  <c r="S41" i="131" s="1"/>
  <c r="S42" i="131" s="1"/>
  <c r="S43" i="131" s="1"/>
  <c r="S44" i="131" s="1"/>
  <c r="S45" i="131" s="1"/>
  <c r="S46" i="131" s="1"/>
  <c r="S47" i="131" s="1"/>
  <c r="S48" i="131" s="1"/>
  <c r="S49" i="131" s="1"/>
  <c r="S50" i="131" s="1"/>
  <c r="S51" i="131" s="1"/>
  <c r="S52" i="131" s="1"/>
  <c r="S53" i="131" s="1"/>
  <c r="S54" i="131" s="1"/>
  <c r="S55" i="131" s="1"/>
  <c r="S56" i="131" s="1"/>
  <c r="S57" i="131" s="1"/>
  <c r="S58" i="131" s="1"/>
  <c r="S59" i="131" s="1"/>
  <c r="S60" i="131" s="1"/>
  <c r="S61" i="131" s="1"/>
  <c r="S62" i="131" s="1"/>
  <c r="S63" i="131" s="1"/>
  <c r="S64" i="131" s="1"/>
  <c r="S65" i="131" s="1"/>
  <c r="S66" i="131" s="1"/>
  <c r="S67" i="131" s="1"/>
  <c r="S68" i="131" s="1"/>
  <c r="S69" i="131" s="1"/>
  <c r="S70" i="131" s="1"/>
  <c r="S71" i="131" s="1"/>
  <c r="S72" i="131" s="1"/>
  <c r="S73" i="131" s="1"/>
  <c r="S74" i="131" s="1"/>
  <c r="S75" i="131" s="1"/>
  <c r="S76" i="131" s="1"/>
  <c r="S77" i="131" s="1"/>
  <c r="S78" i="131" s="1"/>
  <c r="S79" i="131" s="1"/>
  <c r="S80" i="131" s="1"/>
  <c r="S81" i="131" s="1"/>
  <c r="S82" i="131" s="1"/>
  <c r="S83" i="131" s="1"/>
  <c r="S84" i="131" s="1"/>
  <c r="S85" i="131" s="1"/>
  <c r="S86" i="131" s="1"/>
  <c r="S87" i="131" s="1"/>
  <c r="S88" i="131" s="1"/>
  <c r="S89" i="131" s="1"/>
  <c r="S90" i="131" s="1"/>
  <c r="S91" i="131" s="1"/>
  <c r="S92" i="131" s="1"/>
  <c r="S93" i="131" s="1"/>
  <c r="S94" i="131" s="1"/>
  <c r="S95" i="131" s="1"/>
  <c r="O23" i="131"/>
  <c r="O24" i="131" s="1"/>
  <c r="O25" i="131" s="1"/>
  <c r="O26" i="131" s="1"/>
  <c r="O27" i="131" s="1"/>
  <c r="O28" i="131" s="1"/>
  <c r="O29" i="131" s="1"/>
  <c r="O30" i="131" s="1"/>
  <c r="O31" i="131" s="1"/>
  <c r="O32" i="131" s="1"/>
  <c r="O33" i="131" s="1"/>
  <c r="O34" i="131" s="1"/>
  <c r="O35" i="131" s="1"/>
  <c r="O36" i="131" s="1"/>
  <c r="O37" i="131" s="1"/>
  <c r="O38" i="131" s="1"/>
  <c r="O39" i="131" s="1"/>
  <c r="O40" i="131" s="1"/>
  <c r="O41" i="131" s="1"/>
  <c r="O42" i="131" s="1"/>
  <c r="O43" i="131" s="1"/>
  <c r="O44" i="131" s="1"/>
  <c r="O45" i="131" s="1"/>
  <c r="O46" i="131" s="1"/>
  <c r="O47" i="131" s="1"/>
  <c r="O48" i="131" s="1"/>
  <c r="O49" i="131" s="1"/>
  <c r="O50" i="131" s="1"/>
  <c r="O51" i="131" s="1"/>
  <c r="O52" i="131" s="1"/>
  <c r="O53" i="131" s="1"/>
  <c r="O54" i="131" s="1"/>
  <c r="O55" i="131" s="1"/>
  <c r="O56" i="131" s="1"/>
  <c r="O57" i="131" s="1"/>
  <c r="O58" i="131" s="1"/>
  <c r="O59" i="131" s="1"/>
  <c r="O60" i="131" s="1"/>
  <c r="O61" i="131" s="1"/>
  <c r="O62" i="131" s="1"/>
  <c r="O63" i="131" s="1"/>
  <c r="O64" i="131" s="1"/>
  <c r="O65" i="131" s="1"/>
  <c r="O66" i="131" s="1"/>
  <c r="O67" i="131" s="1"/>
  <c r="O68" i="131" s="1"/>
  <c r="O69" i="131" s="1"/>
  <c r="O70" i="131" s="1"/>
  <c r="O71" i="131" s="1"/>
  <c r="O72" i="131" s="1"/>
  <c r="O73" i="131" s="1"/>
  <c r="O74" i="131" s="1"/>
  <c r="O75" i="131" s="1"/>
  <c r="O76" i="131" s="1"/>
  <c r="O77" i="131" s="1"/>
  <c r="O78" i="131" s="1"/>
  <c r="O79" i="131" s="1"/>
  <c r="O80" i="131" s="1"/>
  <c r="O81" i="131" s="1"/>
  <c r="O82" i="131" s="1"/>
  <c r="O83" i="131" s="1"/>
  <c r="O84" i="131" s="1"/>
  <c r="O85" i="131" s="1"/>
  <c r="O86" i="131" s="1"/>
  <c r="O87" i="131" s="1"/>
  <c r="O88" i="131" s="1"/>
  <c r="O89" i="131" s="1"/>
  <c r="O90" i="131" s="1"/>
  <c r="O91" i="131" s="1"/>
  <c r="O92" i="131" s="1"/>
  <c r="O93" i="131" s="1"/>
  <c r="O94" i="131" s="1"/>
  <c r="O95" i="131" s="1"/>
  <c r="S22" i="124"/>
  <c r="S23" i="124" s="1"/>
  <c r="S24" i="124" s="1"/>
  <c r="S25" i="124" s="1"/>
  <c r="S26" i="124" s="1"/>
  <c r="S27" i="124" s="1"/>
  <c r="S28" i="124" s="1"/>
  <c r="S29" i="124" s="1"/>
  <c r="S30" i="124" s="1"/>
  <c r="S31" i="124" s="1"/>
  <c r="S32" i="124" s="1"/>
  <c r="S33" i="124" s="1"/>
  <c r="S34" i="124" s="1"/>
  <c r="S35" i="124" s="1"/>
  <c r="S36" i="124" s="1"/>
  <c r="S37" i="124" s="1"/>
  <c r="S38" i="124" s="1"/>
  <c r="S39" i="124" s="1"/>
  <c r="S40" i="124" s="1"/>
  <c r="S41" i="124" s="1"/>
  <c r="S42" i="124" s="1"/>
  <c r="S43" i="124" s="1"/>
  <c r="S44" i="124" s="1"/>
  <c r="S45" i="124" s="1"/>
  <c r="S46" i="124" s="1"/>
  <c r="S47" i="124" s="1"/>
  <c r="S48" i="124" s="1"/>
  <c r="S49" i="124" s="1"/>
  <c r="S50" i="124" s="1"/>
  <c r="S51" i="124" s="1"/>
  <c r="S52" i="124" s="1"/>
  <c r="S53" i="124" s="1"/>
  <c r="S54" i="124" s="1"/>
  <c r="S55" i="124" s="1"/>
  <c r="S56" i="124" s="1"/>
  <c r="S57" i="124" s="1"/>
  <c r="S58" i="124" s="1"/>
  <c r="S59" i="124" s="1"/>
  <c r="S60" i="124" s="1"/>
  <c r="S61" i="124" s="1"/>
  <c r="S62" i="124" s="1"/>
  <c r="S63" i="124" s="1"/>
  <c r="S64" i="124" s="1"/>
  <c r="S65" i="124" s="1"/>
  <c r="S66" i="124" s="1"/>
  <c r="S67" i="124" s="1"/>
  <c r="S68" i="124" s="1"/>
  <c r="S69" i="124" s="1"/>
  <c r="S70" i="124" s="1"/>
  <c r="S71" i="124" s="1"/>
  <c r="S72" i="124" s="1"/>
  <c r="S73" i="124" s="1"/>
  <c r="S74" i="124" s="1"/>
  <c r="S75" i="124" s="1"/>
  <c r="S76" i="124" s="1"/>
  <c r="S77" i="124" s="1"/>
  <c r="S78" i="124" s="1"/>
  <c r="S79" i="124" s="1"/>
  <c r="S80" i="124" s="1"/>
  <c r="S81" i="124" s="1"/>
  <c r="S82" i="124" s="1"/>
  <c r="S83" i="124" s="1"/>
  <c r="S84" i="124" s="1"/>
  <c r="S85" i="124" s="1"/>
  <c r="S86" i="124" s="1"/>
  <c r="S87" i="124" s="1"/>
  <c r="S88" i="124" s="1"/>
  <c r="S89" i="124" s="1"/>
  <c r="S90" i="124" s="1"/>
  <c r="S91" i="124" s="1"/>
  <c r="S92" i="124" s="1"/>
  <c r="O22" i="124"/>
  <c r="O23" i="124" s="1"/>
  <c r="O24" i="124" s="1"/>
  <c r="O25" i="124" s="1"/>
  <c r="O26" i="124" s="1"/>
  <c r="O27" i="124" s="1"/>
  <c r="O28" i="124" s="1"/>
  <c r="O29" i="124" s="1"/>
  <c r="O30" i="124" s="1"/>
  <c r="O31" i="124" s="1"/>
  <c r="O32" i="124" s="1"/>
  <c r="O33" i="124" s="1"/>
  <c r="O34" i="124" s="1"/>
  <c r="O35" i="124" s="1"/>
  <c r="O36" i="124" s="1"/>
  <c r="O37" i="124" s="1"/>
  <c r="O38" i="124" s="1"/>
  <c r="O39" i="124" s="1"/>
  <c r="O40" i="124" s="1"/>
  <c r="O41" i="124" s="1"/>
  <c r="O42" i="124" s="1"/>
  <c r="O43" i="124" s="1"/>
  <c r="O44" i="124" s="1"/>
  <c r="O45" i="124" s="1"/>
  <c r="O46" i="124" s="1"/>
  <c r="O47" i="124" s="1"/>
  <c r="O48" i="124" s="1"/>
  <c r="O49" i="124" s="1"/>
  <c r="O50" i="124" s="1"/>
  <c r="O51" i="124" s="1"/>
  <c r="O52" i="124" s="1"/>
  <c r="O53" i="124" s="1"/>
  <c r="O54" i="124" s="1"/>
  <c r="O55" i="124" s="1"/>
  <c r="O56" i="124" s="1"/>
  <c r="O57" i="124" s="1"/>
  <c r="O58" i="124" s="1"/>
  <c r="O59" i="124" s="1"/>
  <c r="O60" i="124" s="1"/>
  <c r="O61" i="124" s="1"/>
  <c r="O62" i="124" s="1"/>
  <c r="O63" i="124" s="1"/>
  <c r="O64" i="124" s="1"/>
  <c r="O65" i="124" s="1"/>
  <c r="O66" i="124" s="1"/>
  <c r="O67" i="124" s="1"/>
  <c r="O68" i="124" s="1"/>
  <c r="O69" i="124" s="1"/>
  <c r="O70" i="124" s="1"/>
  <c r="O71" i="124" s="1"/>
  <c r="O72" i="124" s="1"/>
  <c r="O73" i="124" s="1"/>
  <c r="O74" i="124" s="1"/>
  <c r="O75" i="124" s="1"/>
  <c r="O76" i="124" s="1"/>
  <c r="O77" i="124" s="1"/>
  <c r="O78" i="124" s="1"/>
  <c r="O79" i="124" s="1"/>
  <c r="O80" i="124" s="1"/>
  <c r="O81" i="124" s="1"/>
  <c r="O82" i="124" s="1"/>
  <c r="O83" i="124" s="1"/>
  <c r="O84" i="124" s="1"/>
  <c r="O85" i="124" s="1"/>
  <c r="O86" i="124" s="1"/>
  <c r="O87" i="124" s="1"/>
  <c r="O88" i="124" s="1"/>
  <c r="O89" i="124" s="1"/>
  <c r="O90" i="124" s="1"/>
  <c r="O91" i="124" s="1"/>
  <c r="O92" i="124" s="1"/>
  <c r="L21" i="1"/>
  <c r="L22" i="1" s="1"/>
  <c r="L23" i="1" s="1"/>
  <c r="L24" i="1" s="1"/>
  <c r="L25" i="1" s="1"/>
  <c r="L26" i="1" s="1"/>
  <c r="L27" i="1" s="1"/>
  <c r="L28" i="1" s="1"/>
  <c r="J14" i="1"/>
  <c r="L67" i="12"/>
  <c r="N22" i="8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20" i="5"/>
  <c r="N21" i="5" s="1"/>
  <c r="N22" i="5" s="1"/>
  <c r="N23" i="5" s="1"/>
  <c r="N24" i="5" s="1"/>
  <c r="N25" i="5" s="1"/>
  <c r="N20" i="1"/>
  <c r="N21" i="1" s="1"/>
  <c r="N22" i="1" s="1"/>
  <c r="N23" i="1" s="1"/>
  <c r="N28" i="1" s="1"/>
  <c r="L19" i="5"/>
  <c r="K25" i="1"/>
  <c r="K26" i="1" s="1"/>
  <c r="K27" i="1" s="1"/>
  <c r="K28" i="1" s="1"/>
  <c r="K18" i="5"/>
  <c r="K19" i="5" s="1"/>
  <c r="N30" i="131" l="1"/>
  <c r="N24" i="1"/>
  <c r="N25" i="1" s="1"/>
  <c r="K20" i="5"/>
  <c r="K21" i="5" s="1"/>
  <c r="K22" i="5" s="1"/>
  <c r="K23" i="5" s="1"/>
  <c r="K24" i="5" s="1"/>
  <c r="K25" i="5" s="1"/>
  <c r="N31" i="131" l="1"/>
  <c r="L20" i="5"/>
  <c r="L21" i="5" s="1"/>
  <c r="L22" i="5" s="1"/>
  <c r="L23" i="5" s="1"/>
  <c r="L24" i="5" s="1"/>
  <c r="L25" i="5" s="1"/>
  <c r="L26" i="5" s="1"/>
  <c r="H14" i="5"/>
  <c r="N26" i="5"/>
  <c r="I26" i="5"/>
  <c r="K26" i="5" s="1"/>
  <c r="N32" i="131" l="1"/>
  <c r="I27" i="5"/>
  <c r="J27" i="5" s="1"/>
  <c r="N33" i="131" l="1"/>
  <c r="J14" i="5"/>
  <c r="N27" i="5"/>
  <c r="N28" i="5" s="1"/>
  <c r="N29" i="5" s="1"/>
  <c r="N30" i="5" s="1"/>
  <c r="N31" i="5" s="1"/>
  <c r="K27" i="5"/>
  <c r="K28" i="5" s="1"/>
  <c r="K29" i="5" s="1"/>
  <c r="K30" i="5" s="1"/>
  <c r="K31" i="5" s="1"/>
  <c r="L27" i="5"/>
  <c r="L28" i="5" s="1"/>
  <c r="L29" i="5" s="1"/>
  <c r="L30" i="5" s="1"/>
  <c r="L31" i="5" s="1"/>
  <c r="I14" i="5"/>
  <c r="I37" i="8"/>
  <c r="N34" i="131" l="1"/>
  <c r="I38" i="8"/>
  <c r="J38" i="8" s="1"/>
  <c r="N35" i="131" l="1"/>
  <c r="I14" i="8"/>
  <c r="J14" i="8"/>
  <c r="N38" i="8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36" i="131" l="1"/>
  <c r="J12" i="8"/>
  <c r="I12" i="8"/>
  <c r="L20" i="8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K20" i="8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D12" i="8"/>
  <c r="D13" i="8" s="1"/>
  <c r="C12" i="8"/>
  <c r="C13" i="8" s="1"/>
  <c r="L22" i="14"/>
  <c r="I22" i="14"/>
  <c r="K22" i="14" s="1"/>
  <c r="N22" i="14"/>
  <c r="N37" i="131" l="1"/>
  <c r="I23" i="14"/>
  <c r="N38" i="131" l="1"/>
  <c r="J23" i="14"/>
  <c r="I14" i="14"/>
  <c r="K23" i="14"/>
  <c r="K24" i="14" s="1"/>
  <c r="K25" i="14" s="1"/>
  <c r="K26" i="14" s="1"/>
  <c r="K27" i="14" s="1"/>
  <c r="K28" i="14" s="1"/>
  <c r="K29" i="14" s="1"/>
  <c r="K30" i="14" s="1"/>
  <c r="K31" i="14" s="1"/>
  <c r="K32" i="14" s="1"/>
  <c r="K33" i="14" s="1"/>
  <c r="K34" i="14" s="1"/>
  <c r="K35" i="14" s="1"/>
  <c r="K36" i="14" s="1"/>
  <c r="K37" i="14" s="1"/>
  <c r="K38" i="14" s="1"/>
  <c r="K39" i="14" s="1"/>
  <c r="K40" i="14" s="1"/>
  <c r="K41" i="14" s="1"/>
  <c r="K42" i="14" s="1"/>
  <c r="K43" i="14" s="1"/>
  <c r="K44" i="14" s="1"/>
  <c r="K45" i="14" s="1"/>
  <c r="K46" i="14" s="1"/>
  <c r="K47" i="14" s="1"/>
  <c r="K48" i="14" s="1"/>
  <c r="K49" i="14" s="1"/>
  <c r="K50" i="14" s="1"/>
  <c r="K51" i="14" s="1"/>
  <c r="K52" i="14" s="1"/>
  <c r="K53" i="14" s="1"/>
  <c r="K54" i="14" s="1"/>
  <c r="K55" i="14" s="1"/>
  <c r="K56" i="14" s="1"/>
  <c r="K57" i="14" s="1"/>
  <c r="K58" i="14" s="1"/>
  <c r="K59" i="14" s="1"/>
  <c r="K60" i="14" s="1"/>
  <c r="K61" i="14" s="1"/>
  <c r="K62" i="14" s="1"/>
  <c r="N39" i="131" l="1"/>
  <c r="N23" i="14"/>
  <c r="N24" i="14" s="1"/>
  <c r="N25" i="14" s="1"/>
  <c r="N26" i="14" s="1"/>
  <c r="N27" i="14" s="1"/>
  <c r="N28" i="14" s="1"/>
  <c r="N29" i="14" s="1"/>
  <c r="N30" i="14" s="1"/>
  <c r="N31" i="14" s="1"/>
  <c r="N32" i="14" s="1"/>
  <c r="N33" i="14" s="1"/>
  <c r="N34" i="14" s="1"/>
  <c r="N35" i="14" s="1"/>
  <c r="N36" i="14" s="1"/>
  <c r="N37" i="14" s="1"/>
  <c r="N38" i="14" s="1"/>
  <c r="N39" i="14" s="1"/>
  <c r="N40" i="14" s="1"/>
  <c r="N41" i="14" s="1"/>
  <c r="N42" i="14" s="1"/>
  <c r="N43" i="14" s="1"/>
  <c r="N44" i="14" s="1"/>
  <c r="N45" i="14" s="1"/>
  <c r="N46" i="14" s="1"/>
  <c r="J14" i="14"/>
  <c r="L23" i="14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N40" i="131" l="1"/>
  <c r="N48" i="14"/>
  <c r="N49" i="14" s="1"/>
  <c r="N50" i="14" s="1"/>
  <c r="N51" i="14" s="1"/>
  <c r="N52" i="14" s="1"/>
  <c r="N53" i="14" s="1"/>
  <c r="N54" i="14" s="1"/>
  <c r="N55" i="14" s="1"/>
  <c r="N56" i="14" s="1"/>
  <c r="N57" i="14" s="1"/>
  <c r="N41" i="131" l="1"/>
  <c r="N59" i="14"/>
  <c r="N60" i="14" s="1"/>
  <c r="N61" i="14" s="1"/>
  <c r="N62" i="14" s="1"/>
  <c r="I12" i="14"/>
  <c r="J12" i="14"/>
  <c r="C12" i="14"/>
  <c r="D12" i="14"/>
  <c r="D13" i="14" s="1"/>
  <c r="N42" i="131" l="1"/>
  <c r="C13" i="14"/>
  <c r="N43" i="131" l="1"/>
  <c r="N23" i="19"/>
  <c r="N24" i="19" s="1"/>
  <c r="N44" i="131" l="1"/>
  <c r="I14" i="19"/>
  <c r="N45" i="131" l="1"/>
  <c r="J14" i="19"/>
  <c r="N46" i="131" l="1"/>
  <c r="N47" i="131" s="1"/>
  <c r="N48" i="131" s="1"/>
  <c r="D12" i="19"/>
  <c r="I12" i="19"/>
  <c r="C13" i="19" s="1"/>
  <c r="J12" i="19"/>
  <c r="D13" i="19" s="1"/>
  <c r="N49" i="131" l="1"/>
  <c r="N20" i="23"/>
  <c r="I20" i="23"/>
  <c r="L20" i="23"/>
  <c r="N50" i="131" l="1"/>
  <c r="K20" i="23"/>
  <c r="I21" i="23"/>
  <c r="N51" i="131" l="1"/>
  <c r="I14" i="23"/>
  <c r="J21" i="23"/>
  <c r="K21" i="23"/>
  <c r="K22" i="23" s="1"/>
  <c r="K23" i="23" s="1"/>
  <c r="K24" i="23" s="1"/>
  <c r="K25" i="23" s="1"/>
  <c r="K26" i="23" s="1"/>
  <c r="K27" i="23" s="1"/>
  <c r="K28" i="23" s="1"/>
  <c r="K29" i="23" s="1"/>
  <c r="K30" i="23" s="1"/>
  <c r="K31" i="23" s="1"/>
  <c r="K32" i="23" s="1"/>
  <c r="K33" i="23" s="1"/>
  <c r="K34" i="23" s="1"/>
  <c r="K35" i="23" s="1"/>
  <c r="K36" i="23" s="1"/>
  <c r="K37" i="23" s="1"/>
  <c r="K38" i="23" s="1"/>
  <c r="K39" i="23" s="1"/>
  <c r="K40" i="23" s="1"/>
  <c r="K41" i="23" s="1"/>
  <c r="K42" i="23" s="1"/>
  <c r="K43" i="23" s="1"/>
  <c r="K44" i="23" s="1"/>
  <c r="K45" i="23" s="1"/>
  <c r="K46" i="23" s="1"/>
  <c r="K47" i="23" s="1"/>
  <c r="K48" i="23" s="1"/>
  <c r="K49" i="23" s="1"/>
  <c r="K50" i="23" s="1"/>
  <c r="K51" i="23" s="1"/>
  <c r="K52" i="23" s="1"/>
  <c r="K53" i="23" s="1"/>
  <c r="K54" i="23" s="1"/>
  <c r="K55" i="23" s="1"/>
  <c r="K56" i="23" s="1"/>
  <c r="K57" i="23" s="1"/>
  <c r="K58" i="23" s="1"/>
  <c r="K59" i="23" s="1"/>
  <c r="K60" i="23" s="1"/>
  <c r="K61" i="23" s="1"/>
  <c r="K62" i="23" s="1"/>
  <c r="N52" i="131" l="1"/>
  <c r="N53" i="131" s="1"/>
  <c r="N54" i="131" s="1"/>
  <c r="L21" i="23"/>
  <c r="L22" i="23" s="1"/>
  <c r="L23" i="23" s="1"/>
  <c r="L24" i="23" s="1"/>
  <c r="L25" i="23" s="1"/>
  <c r="L26" i="23" s="1"/>
  <c r="L27" i="23" s="1"/>
  <c r="L28" i="23" s="1"/>
  <c r="L29" i="23" s="1"/>
  <c r="L30" i="23" s="1"/>
  <c r="L31" i="23" s="1"/>
  <c r="L32" i="23" s="1"/>
  <c r="L33" i="23" s="1"/>
  <c r="L34" i="23" s="1"/>
  <c r="L35" i="23" s="1"/>
  <c r="L36" i="23" s="1"/>
  <c r="L37" i="23" s="1"/>
  <c r="L38" i="23" s="1"/>
  <c r="L39" i="23" s="1"/>
  <c r="L40" i="23" s="1"/>
  <c r="L41" i="23" s="1"/>
  <c r="L42" i="23" s="1"/>
  <c r="L43" i="23" s="1"/>
  <c r="L44" i="23" s="1"/>
  <c r="L45" i="23" s="1"/>
  <c r="L46" i="23" s="1"/>
  <c r="L47" i="23" s="1"/>
  <c r="L48" i="23" s="1"/>
  <c r="L49" i="23" s="1"/>
  <c r="L50" i="23" s="1"/>
  <c r="L51" i="23" s="1"/>
  <c r="L52" i="23" s="1"/>
  <c r="L53" i="23" s="1"/>
  <c r="L54" i="23" s="1"/>
  <c r="L55" i="23" s="1"/>
  <c r="L56" i="23" s="1"/>
  <c r="L57" i="23" s="1"/>
  <c r="L58" i="23" s="1"/>
  <c r="L59" i="23" s="1"/>
  <c r="L60" i="23" s="1"/>
  <c r="L61" i="23" s="1"/>
  <c r="L62" i="23" s="1"/>
  <c r="N21" i="23"/>
  <c r="N22" i="23" s="1"/>
  <c r="N23" i="23" s="1"/>
  <c r="N24" i="23" s="1"/>
  <c r="N25" i="23" s="1"/>
  <c r="N26" i="23" s="1"/>
  <c r="N27" i="23" s="1"/>
  <c r="N28" i="23" s="1"/>
  <c r="N29" i="23" s="1"/>
  <c r="N30" i="23" s="1"/>
  <c r="N31" i="23" s="1"/>
  <c r="N32" i="23" s="1"/>
  <c r="N33" i="23" s="1"/>
  <c r="N34" i="23" s="1"/>
  <c r="N35" i="23" s="1"/>
  <c r="N36" i="23" s="1"/>
  <c r="N37" i="23" s="1"/>
  <c r="N38" i="23" s="1"/>
  <c r="N39" i="23" s="1"/>
  <c r="N40" i="23" s="1"/>
  <c r="N41" i="23" s="1"/>
  <c r="N42" i="23" s="1"/>
  <c r="N43" i="23" s="1"/>
  <c r="N44" i="23" s="1"/>
  <c r="N45" i="23" s="1"/>
  <c r="N46" i="23" s="1"/>
  <c r="N47" i="23" s="1"/>
  <c r="N48" i="23" s="1"/>
  <c r="N49" i="23" s="1"/>
  <c r="N50" i="23" s="1"/>
  <c r="N51" i="23" s="1"/>
  <c r="N52" i="23" s="1"/>
  <c r="N53" i="23" s="1"/>
  <c r="N54" i="23" s="1"/>
  <c r="N55" i="23" s="1"/>
  <c r="N56" i="23" s="1"/>
  <c r="N57" i="23" s="1"/>
  <c r="N58" i="23" s="1"/>
  <c r="N59" i="23" s="1"/>
  <c r="N60" i="23" s="1"/>
  <c r="N61" i="23" s="1"/>
  <c r="N62" i="23" s="1"/>
  <c r="J14" i="23"/>
  <c r="N55" i="131" l="1"/>
  <c r="I12" i="29"/>
  <c r="C13" i="29" s="1"/>
  <c r="J12" i="29"/>
  <c r="D13" i="29" s="1"/>
  <c r="L21" i="29"/>
  <c r="L22" i="29" s="1"/>
  <c r="L23" i="29" s="1"/>
  <c r="L24" i="29" s="1"/>
  <c r="L25" i="29" s="1"/>
  <c r="L26" i="29" s="1"/>
  <c r="L27" i="29" s="1"/>
  <c r="L28" i="29" s="1"/>
  <c r="L29" i="29" s="1"/>
  <c r="L30" i="29" s="1"/>
  <c r="L31" i="29" s="1"/>
  <c r="L32" i="29" s="1"/>
  <c r="L33" i="29" s="1"/>
  <c r="L34" i="29" s="1"/>
  <c r="L35" i="29" s="1"/>
  <c r="L36" i="29" s="1"/>
  <c r="L37" i="29" s="1"/>
  <c r="L38" i="29" s="1"/>
  <c r="L39" i="29" s="1"/>
  <c r="L40" i="29" s="1"/>
  <c r="L41" i="29" s="1"/>
  <c r="L42" i="29" s="1"/>
  <c r="L43" i="29" s="1"/>
  <c r="L44" i="29" s="1"/>
  <c r="L45" i="29" s="1"/>
  <c r="L46" i="29" s="1"/>
  <c r="L47" i="29" s="1"/>
  <c r="L48" i="29" s="1"/>
  <c r="L49" i="29" s="1"/>
  <c r="L50" i="29" s="1"/>
  <c r="L51" i="29" s="1"/>
  <c r="L52" i="29" s="1"/>
  <c r="L53" i="29" s="1"/>
  <c r="L54" i="29" s="1"/>
  <c r="L55" i="29" s="1"/>
  <c r="L56" i="29" s="1"/>
  <c r="L57" i="29" s="1"/>
  <c r="L58" i="29" s="1"/>
  <c r="L59" i="29" s="1"/>
  <c r="L60" i="29" s="1"/>
  <c r="L61" i="29" s="1"/>
  <c r="L62" i="29" s="1"/>
  <c r="L63" i="29" s="1"/>
  <c r="L64" i="29" s="1"/>
  <c r="L65" i="29" s="1"/>
  <c r="L66" i="29" s="1"/>
  <c r="L67" i="29" s="1"/>
  <c r="L68" i="29" s="1"/>
  <c r="L69" i="29" s="1"/>
  <c r="L70" i="29" s="1"/>
  <c r="L71" i="29" s="1"/>
  <c r="L72" i="29" s="1"/>
  <c r="K21" i="29"/>
  <c r="K22" i="29" s="1"/>
  <c r="K23" i="29" s="1"/>
  <c r="K24" i="29" s="1"/>
  <c r="K25" i="29" s="1"/>
  <c r="K26" i="29" s="1"/>
  <c r="K27" i="29" s="1"/>
  <c r="K28" i="29" s="1"/>
  <c r="K29" i="29" s="1"/>
  <c r="K30" i="29" s="1"/>
  <c r="K31" i="29" s="1"/>
  <c r="K32" i="29" s="1"/>
  <c r="K33" i="29" s="1"/>
  <c r="K34" i="29" s="1"/>
  <c r="K35" i="29" s="1"/>
  <c r="K36" i="29" s="1"/>
  <c r="K37" i="29" s="1"/>
  <c r="K38" i="29" s="1"/>
  <c r="K39" i="29" s="1"/>
  <c r="K40" i="29" s="1"/>
  <c r="K41" i="29" s="1"/>
  <c r="K42" i="29" s="1"/>
  <c r="K43" i="29" s="1"/>
  <c r="K44" i="29" s="1"/>
  <c r="K45" i="29" s="1"/>
  <c r="K46" i="29" s="1"/>
  <c r="K47" i="29" s="1"/>
  <c r="K48" i="29" s="1"/>
  <c r="K49" i="29" s="1"/>
  <c r="K50" i="29" s="1"/>
  <c r="K51" i="29" s="1"/>
  <c r="K52" i="29" s="1"/>
  <c r="K53" i="29" s="1"/>
  <c r="K54" i="29" s="1"/>
  <c r="K55" i="29" s="1"/>
  <c r="K56" i="29" s="1"/>
  <c r="K57" i="29" s="1"/>
  <c r="K58" i="29" s="1"/>
  <c r="K59" i="29" s="1"/>
  <c r="K60" i="29" s="1"/>
  <c r="K61" i="29" s="1"/>
  <c r="K62" i="29" s="1"/>
  <c r="K63" i="29" s="1"/>
  <c r="K64" i="29" s="1"/>
  <c r="K65" i="29" s="1"/>
  <c r="K66" i="29" s="1"/>
  <c r="K67" i="29" s="1"/>
  <c r="K68" i="29" s="1"/>
  <c r="K69" i="29" s="1"/>
  <c r="K70" i="29" s="1"/>
  <c r="K71" i="29" s="1"/>
  <c r="K72" i="29" s="1"/>
  <c r="D12" i="33"/>
  <c r="D13" i="33" s="1"/>
  <c r="C12" i="33"/>
  <c r="C13" i="33" s="1"/>
  <c r="N56" i="131" l="1"/>
  <c r="N57" i="131" s="1"/>
  <c r="N58" i="131" s="1"/>
  <c r="N59" i="131" s="1"/>
  <c r="N60" i="131" s="1"/>
  <c r="N61" i="131" s="1"/>
  <c r="N62" i="131" s="1"/>
  <c r="N24" i="37"/>
  <c r="I24" i="37"/>
  <c r="K24" i="37" s="1"/>
  <c r="L24" i="37"/>
  <c r="N63" i="131" l="1"/>
  <c r="I25" i="37"/>
  <c r="J25" i="37" s="1"/>
  <c r="N64" i="131" l="1"/>
  <c r="I14" i="37"/>
  <c r="N25" i="37"/>
  <c r="N26" i="37" s="1"/>
  <c r="N27" i="37" s="1"/>
  <c r="N28" i="37" s="1"/>
  <c r="N29" i="37" s="1"/>
  <c r="N30" i="37" s="1"/>
  <c r="N31" i="37" s="1"/>
  <c r="N32" i="37" s="1"/>
  <c r="N33" i="37" s="1"/>
  <c r="N34" i="37" s="1"/>
  <c r="N35" i="37" s="1"/>
  <c r="N36" i="37" s="1"/>
  <c r="N37" i="37" s="1"/>
  <c r="N38" i="37" s="1"/>
  <c r="N39" i="37" s="1"/>
  <c r="N40" i="37" s="1"/>
  <c r="N41" i="37" s="1"/>
  <c r="N42" i="37" s="1"/>
  <c r="N43" i="37" s="1"/>
  <c r="N44" i="37" s="1"/>
  <c r="N45" i="37" s="1"/>
  <c r="N46" i="37" s="1"/>
  <c r="N47" i="37" s="1"/>
  <c r="N48" i="37" s="1"/>
  <c r="N49" i="37" s="1"/>
  <c r="N50" i="37" s="1"/>
  <c r="N51" i="37" s="1"/>
  <c r="N52" i="37" s="1"/>
  <c r="N53" i="37" s="1"/>
  <c r="N54" i="37" s="1"/>
  <c r="N55" i="37" s="1"/>
  <c r="N56" i="37" s="1"/>
  <c r="N57" i="37" s="1"/>
  <c r="N58" i="37" s="1"/>
  <c r="N59" i="37" s="1"/>
  <c r="N60" i="37" s="1"/>
  <c r="N61" i="37" s="1"/>
  <c r="N62" i="37" s="1"/>
  <c r="N63" i="37" s="1"/>
  <c r="N64" i="37" s="1"/>
  <c r="N65" i="37" s="1"/>
  <c r="N66" i="37" s="1"/>
  <c r="N67" i="37" s="1"/>
  <c r="N68" i="37" s="1"/>
  <c r="N69" i="37" s="1"/>
  <c r="J14" i="37"/>
  <c r="L25" i="37"/>
  <c r="L26" i="37" s="1"/>
  <c r="L27" i="37" s="1"/>
  <c r="L28" i="37" s="1"/>
  <c r="L29" i="37" s="1"/>
  <c r="L30" i="37" s="1"/>
  <c r="L31" i="37" s="1"/>
  <c r="L32" i="37" s="1"/>
  <c r="L33" i="37" s="1"/>
  <c r="L34" i="37" s="1"/>
  <c r="L35" i="37" s="1"/>
  <c r="L36" i="37" s="1"/>
  <c r="L37" i="37" s="1"/>
  <c r="L38" i="37" s="1"/>
  <c r="L39" i="37" s="1"/>
  <c r="L40" i="37" s="1"/>
  <c r="L41" i="37" s="1"/>
  <c r="L42" i="37" s="1"/>
  <c r="L43" i="37" s="1"/>
  <c r="L44" i="37" s="1"/>
  <c r="L45" i="37" s="1"/>
  <c r="L46" i="37" s="1"/>
  <c r="L47" i="37" s="1"/>
  <c r="L48" i="37" s="1"/>
  <c r="L49" i="37" s="1"/>
  <c r="L50" i="37" s="1"/>
  <c r="L51" i="37" s="1"/>
  <c r="L52" i="37" s="1"/>
  <c r="L53" i="37" s="1"/>
  <c r="L54" i="37" s="1"/>
  <c r="L55" i="37" s="1"/>
  <c r="L56" i="37" s="1"/>
  <c r="L57" i="37" s="1"/>
  <c r="L58" i="37" s="1"/>
  <c r="L59" i="37" s="1"/>
  <c r="L60" i="37" s="1"/>
  <c r="L61" i="37" s="1"/>
  <c r="L62" i="37" s="1"/>
  <c r="L63" i="37" s="1"/>
  <c r="L64" i="37" s="1"/>
  <c r="L65" i="37" s="1"/>
  <c r="L66" i="37" s="1"/>
  <c r="L67" i="37" s="1"/>
  <c r="L68" i="37" s="1"/>
  <c r="L69" i="37" s="1"/>
  <c r="K25" i="37"/>
  <c r="K26" i="37" s="1"/>
  <c r="K27" i="37" s="1"/>
  <c r="K28" i="37" s="1"/>
  <c r="K29" i="37" s="1"/>
  <c r="K30" i="37" s="1"/>
  <c r="K31" i="37" s="1"/>
  <c r="K32" i="37" s="1"/>
  <c r="K33" i="37" s="1"/>
  <c r="K34" i="37" s="1"/>
  <c r="K35" i="37" s="1"/>
  <c r="K36" i="37" s="1"/>
  <c r="K37" i="37" s="1"/>
  <c r="K38" i="37" s="1"/>
  <c r="K39" i="37" s="1"/>
  <c r="K40" i="37" s="1"/>
  <c r="K41" i="37" s="1"/>
  <c r="K42" i="37" s="1"/>
  <c r="K43" i="37" s="1"/>
  <c r="K44" i="37" s="1"/>
  <c r="K45" i="37" s="1"/>
  <c r="K46" i="37" s="1"/>
  <c r="K47" i="37" s="1"/>
  <c r="K48" i="37" s="1"/>
  <c r="K49" i="37" s="1"/>
  <c r="K50" i="37" s="1"/>
  <c r="K51" i="37" s="1"/>
  <c r="K52" i="37" s="1"/>
  <c r="K53" i="37" s="1"/>
  <c r="K54" i="37" s="1"/>
  <c r="K55" i="37" s="1"/>
  <c r="K56" i="37" s="1"/>
  <c r="K57" i="37" s="1"/>
  <c r="K58" i="37" s="1"/>
  <c r="K59" i="37" s="1"/>
  <c r="K60" i="37" s="1"/>
  <c r="K61" i="37" s="1"/>
  <c r="K62" i="37" s="1"/>
  <c r="K63" i="37" s="1"/>
  <c r="K64" i="37" s="1"/>
  <c r="K65" i="37" s="1"/>
  <c r="K66" i="37" s="1"/>
  <c r="K67" i="37" s="1"/>
  <c r="K68" i="37" s="1"/>
  <c r="K69" i="37" s="1"/>
  <c r="C12" i="37"/>
  <c r="C13" i="37" s="1"/>
  <c r="D12" i="37"/>
  <c r="D13" i="37" s="1"/>
  <c r="N65" i="131" l="1"/>
  <c r="I25" i="41"/>
  <c r="N66" i="131" l="1"/>
  <c r="N67" i="131" s="1"/>
  <c r="I14" i="41"/>
  <c r="I12" i="41" s="1"/>
  <c r="C13" i="41" s="1"/>
  <c r="J25" i="41"/>
  <c r="J14" i="41" s="1"/>
  <c r="J12" i="41" s="1"/>
  <c r="D13" i="41" s="1"/>
  <c r="N68" i="131" l="1"/>
  <c r="N69" i="131" s="1"/>
  <c r="N70" i="131" s="1"/>
  <c r="N25" i="41"/>
  <c r="N26" i="41" s="1"/>
  <c r="N27" i="41" s="1"/>
  <c r="N28" i="41" s="1"/>
  <c r="N29" i="41" s="1"/>
  <c r="N30" i="41" s="1"/>
  <c r="N31" i="41" s="1"/>
  <c r="N32" i="41" s="1"/>
  <c r="N33" i="41" s="1"/>
  <c r="N34" i="41" s="1"/>
  <c r="N35" i="41" s="1"/>
  <c r="N36" i="41" s="1"/>
  <c r="N37" i="41" s="1"/>
  <c r="N38" i="41" s="1"/>
  <c r="N39" i="41" s="1"/>
  <c r="N40" i="41" s="1"/>
  <c r="N41" i="41" s="1"/>
  <c r="N42" i="41" s="1"/>
  <c r="N43" i="41" s="1"/>
  <c r="N44" i="41" s="1"/>
  <c r="N45" i="41" s="1"/>
  <c r="N46" i="41" s="1"/>
  <c r="N47" i="41" s="1"/>
  <c r="N48" i="41" s="1"/>
  <c r="N49" i="41" s="1"/>
  <c r="N50" i="41" s="1"/>
  <c r="N51" i="41" s="1"/>
  <c r="N52" i="41" s="1"/>
  <c r="N53" i="41" s="1"/>
  <c r="N54" i="41" s="1"/>
  <c r="N55" i="41" s="1"/>
  <c r="N56" i="41" s="1"/>
  <c r="N57" i="41" s="1"/>
  <c r="N58" i="41" s="1"/>
  <c r="N59" i="41" s="1"/>
  <c r="N60" i="41" s="1"/>
  <c r="N61" i="41" s="1"/>
  <c r="N62" i="41" s="1"/>
  <c r="N63" i="41" s="1"/>
  <c r="N64" i="41" s="1"/>
  <c r="N65" i="41" s="1"/>
  <c r="N66" i="41" s="1"/>
  <c r="N67" i="41" s="1"/>
  <c r="N68" i="41" s="1"/>
  <c r="N69" i="41" s="1"/>
  <c r="N70" i="41" s="1"/>
  <c r="L18" i="41"/>
  <c r="L19" i="41" s="1"/>
  <c r="L20" i="41" s="1"/>
  <c r="L21" i="41" s="1"/>
  <c r="L22" i="41" s="1"/>
  <c r="L23" i="41" s="1"/>
  <c r="L24" i="41" s="1"/>
  <c r="L25" i="41" s="1"/>
  <c r="L26" i="41" s="1"/>
  <c r="L27" i="41" s="1"/>
  <c r="L28" i="41" s="1"/>
  <c r="L29" i="41" s="1"/>
  <c r="L30" i="41" s="1"/>
  <c r="L31" i="41" s="1"/>
  <c r="L32" i="41" s="1"/>
  <c r="L33" i="41" s="1"/>
  <c r="L34" i="41" s="1"/>
  <c r="L35" i="41" s="1"/>
  <c r="L36" i="41" s="1"/>
  <c r="L37" i="41" s="1"/>
  <c r="L38" i="41" s="1"/>
  <c r="L39" i="41" s="1"/>
  <c r="L40" i="41" s="1"/>
  <c r="L41" i="41" s="1"/>
  <c r="L42" i="41" s="1"/>
  <c r="L43" i="41" s="1"/>
  <c r="L44" i="41" s="1"/>
  <c r="L45" i="41" s="1"/>
  <c r="L46" i="41" s="1"/>
  <c r="L47" i="41" s="1"/>
  <c r="L48" i="41" s="1"/>
  <c r="L49" i="41" s="1"/>
  <c r="L50" i="41" s="1"/>
  <c r="L51" i="41" s="1"/>
  <c r="L52" i="41" s="1"/>
  <c r="L53" i="41" s="1"/>
  <c r="L54" i="41" s="1"/>
  <c r="L55" i="41" s="1"/>
  <c r="L56" i="41" s="1"/>
  <c r="L57" i="41" s="1"/>
  <c r="L58" i="41" s="1"/>
  <c r="L59" i="41" s="1"/>
  <c r="L60" i="41" s="1"/>
  <c r="L61" i="41" s="1"/>
  <c r="L62" i="41" s="1"/>
  <c r="L63" i="41" s="1"/>
  <c r="L64" i="41" s="1"/>
  <c r="L65" i="41" s="1"/>
  <c r="L66" i="41" s="1"/>
  <c r="L67" i="41" s="1"/>
  <c r="L68" i="41" s="1"/>
  <c r="L69" i="41" s="1"/>
  <c r="L70" i="41" s="1"/>
  <c r="K18" i="4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K33" i="41" s="1"/>
  <c r="K34" i="41" s="1"/>
  <c r="K35" i="41" s="1"/>
  <c r="K36" i="41" s="1"/>
  <c r="K37" i="41" s="1"/>
  <c r="K38" i="41" s="1"/>
  <c r="K39" i="41" s="1"/>
  <c r="K40" i="41" s="1"/>
  <c r="K41" i="41" s="1"/>
  <c r="K42" i="41" s="1"/>
  <c r="K43" i="41" s="1"/>
  <c r="K44" i="41" s="1"/>
  <c r="K45" i="41" s="1"/>
  <c r="K46" i="41" s="1"/>
  <c r="K47" i="41" s="1"/>
  <c r="K48" i="41" s="1"/>
  <c r="K49" i="41" s="1"/>
  <c r="K50" i="41" s="1"/>
  <c r="K51" i="41" s="1"/>
  <c r="K52" i="41" s="1"/>
  <c r="K53" i="41" s="1"/>
  <c r="K54" i="41" s="1"/>
  <c r="K55" i="41" s="1"/>
  <c r="K56" i="41" s="1"/>
  <c r="K57" i="41" s="1"/>
  <c r="K58" i="41" s="1"/>
  <c r="K59" i="41" s="1"/>
  <c r="K60" i="41" s="1"/>
  <c r="K61" i="41" s="1"/>
  <c r="K62" i="41" s="1"/>
  <c r="K63" i="41" s="1"/>
  <c r="K64" i="41" s="1"/>
  <c r="K65" i="41" s="1"/>
  <c r="K66" i="41" s="1"/>
  <c r="K67" i="41" s="1"/>
  <c r="K68" i="41" s="1"/>
  <c r="K69" i="41" s="1"/>
  <c r="K70" i="41" s="1"/>
  <c r="N18" i="41"/>
  <c r="N21" i="41" s="1"/>
  <c r="N22" i="41" s="1"/>
  <c r="N23" i="41" s="1"/>
  <c r="N24" i="41" s="1"/>
  <c r="N71" i="131" l="1"/>
  <c r="N29" i="43"/>
  <c r="I29" i="43"/>
  <c r="K29" i="43" s="1"/>
  <c r="L29" i="43"/>
  <c r="N72" i="131" l="1"/>
  <c r="I30" i="43"/>
  <c r="J30" i="43" s="1"/>
  <c r="N73" i="131" l="1"/>
  <c r="I16" i="43"/>
  <c r="I12" i="43" s="1"/>
  <c r="C13" i="43" s="1"/>
  <c r="C15" i="43" s="1"/>
  <c r="N30" i="43"/>
  <c r="N31" i="43" s="1"/>
  <c r="N32" i="43" s="1"/>
  <c r="N33" i="43" s="1"/>
  <c r="N34" i="43" s="1"/>
  <c r="N35" i="43" s="1"/>
  <c r="N36" i="43" s="1"/>
  <c r="N37" i="43" s="1"/>
  <c r="N38" i="43" s="1"/>
  <c r="N39" i="43" s="1"/>
  <c r="N40" i="43" s="1"/>
  <c r="N41" i="43" s="1"/>
  <c r="N42" i="43" s="1"/>
  <c r="N43" i="43" s="1"/>
  <c r="N44" i="43" s="1"/>
  <c r="N45" i="43" s="1"/>
  <c r="N46" i="43" s="1"/>
  <c r="N47" i="43" s="1"/>
  <c r="N48" i="43" s="1"/>
  <c r="N49" i="43" s="1"/>
  <c r="N50" i="43" s="1"/>
  <c r="N51" i="43" s="1"/>
  <c r="N52" i="43" s="1"/>
  <c r="N53" i="43" s="1"/>
  <c r="N54" i="43" s="1"/>
  <c r="N55" i="43" s="1"/>
  <c r="N56" i="43" s="1"/>
  <c r="N57" i="43" s="1"/>
  <c r="N58" i="43" s="1"/>
  <c r="N59" i="43" s="1"/>
  <c r="N60" i="43" s="1"/>
  <c r="N61" i="43" s="1"/>
  <c r="N62" i="43" s="1"/>
  <c r="N63" i="43" s="1"/>
  <c r="N64" i="43" s="1"/>
  <c r="N65" i="43" s="1"/>
  <c r="N66" i="43" s="1"/>
  <c r="N67" i="43" s="1"/>
  <c r="N68" i="43" s="1"/>
  <c r="N69" i="43" s="1"/>
  <c r="N70" i="43" s="1"/>
  <c r="N71" i="43" s="1"/>
  <c r="N72" i="43" s="1"/>
  <c r="N73" i="43" s="1"/>
  <c r="N74" i="43" s="1"/>
  <c r="N75" i="43" s="1"/>
  <c r="N76" i="43" s="1"/>
  <c r="N77" i="43" s="1"/>
  <c r="N78" i="43" s="1"/>
  <c r="N79" i="43" s="1"/>
  <c r="N80" i="43" s="1"/>
  <c r="N81" i="43" s="1"/>
  <c r="J16" i="43"/>
  <c r="J12" i="43" s="1"/>
  <c r="D13" i="43" s="1"/>
  <c r="D15" i="43" s="1"/>
  <c r="L30" i="43"/>
  <c r="L31" i="43" s="1"/>
  <c r="L32" i="43" s="1"/>
  <c r="L33" i="43" s="1"/>
  <c r="L34" i="43" s="1"/>
  <c r="L35" i="43" s="1"/>
  <c r="L36" i="43" s="1"/>
  <c r="L37" i="43" s="1"/>
  <c r="L38" i="43" s="1"/>
  <c r="L39" i="43" s="1"/>
  <c r="L40" i="43" s="1"/>
  <c r="L41" i="43" s="1"/>
  <c r="L42" i="43" s="1"/>
  <c r="L43" i="43" s="1"/>
  <c r="L44" i="43" s="1"/>
  <c r="L45" i="43" s="1"/>
  <c r="L46" i="43" s="1"/>
  <c r="L47" i="43" s="1"/>
  <c r="L48" i="43" s="1"/>
  <c r="L49" i="43" s="1"/>
  <c r="L50" i="43" s="1"/>
  <c r="L51" i="43" s="1"/>
  <c r="L52" i="43" s="1"/>
  <c r="L53" i="43" s="1"/>
  <c r="L54" i="43" s="1"/>
  <c r="L55" i="43" s="1"/>
  <c r="L56" i="43" s="1"/>
  <c r="L57" i="43" s="1"/>
  <c r="L58" i="43" s="1"/>
  <c r="L59" i="43" s="1"/>
  <c r="L60" i="43" s="1"/>
  <c r="L61" i="43" s="1"/>
  <c r="L62" i="43" s="1"/>
  <c r="L63" i="43" s="1"/>
  <c r="L64" i="43" s="1"/>
  <c r="L65" i="43" s="1"/>
  <c r="L66" i="43" s="1"/>
  <c r="L67" i="43" s="1"/>
  <c r="L68" i="43" s="1"/>
  <c r="L69" i="43" s="1"/>
  <c r="L70" i="43" s="1"/>
  <c r="L71" i="43" s="1"/>
  <c r="L72" i="43" s="1"/>
  <c r="L73" i="43" s="1"/>
  <c r="L74" i="43" s="1"/>
  <c r="L75" i="43" s="1"/>
  <c r="L76" i="43" s="1"/>
  <c r="L77" i="43" s="1"/>
  <c r="L78" i="43" s="1"/>
  <c r="L79" i="43" s="1"/>
  <c r="L80" i="43" s="1"/>
  <c r="L81" i="43" s="1"/>
  <c r="K30" i="43"/>
  <c r="K31" i="43" s="1"/>
  <c r="K32" i="43" s="1"/>
  <c r="K33" i="43" s="1"/>
  <c r="K34" i="43" s="1"/>
  <c r="K35" i="43" s="1"/>
  <c r="K36" i="43" s="1"/>
  <c r="K37" i="43" s="1"/>
  <c r="K38" i="43" s="1"/>
  <c r="K39" i="43" s="1"/>
  <c r="K40" i="43" s="1"/>
  <c r="K41" i="43" s="1"/>
  <c r="K42" i="43" s="1"/>
  <c r="K43" i="43" s="1"/>
  <c r="K44" i="43" s="1"/>
  <c r="K45" i="43" s="1"/>
  <c r="K46" i="43" s="1"/>
  <c r="K47" i="43" s="1"/>
  <c r="K48" i="43" s="1"/>
  <c r="K49" i="43" s="1"/>
  <c r="K50" i="43" s="1"/>
  <c r="K51" i="43" s="1"/>
  <c r="K52" i="43" s="1"/>
  <c r="K53" i="43" s="1"/>
  <c r="K54" i="43" s="1"/>
  <c r="K55" i="43" s="1"/>
  <c r="K56" i="43" s="1"/>
  <c r="K57" i="43" s="1"/>
  <c r="K58" i="43" s="1"/>
  <c r="K59" i="43" s="1"/>
  <c r="K60" i="43" s="1"/>
  <c r="K61" i="43" s="1"/>
  <c r="K62" i="43" s="1"/>
  <c r="K63" i="43" s="1"/>
  <c r="K64" i="43" s="1"/>
  <c r="K65" i="43" s="1"/>
  <c r="K66" i="43" s="1"/>
  <c r="K67" i="43" s="1"/>
  <c r="K68" i="43" s="1"/>
  <c r="K69" i="43" s="1"/>
  <c r="K70" i="43" s="1"/>
  <c r="K71" i="43" s="1"/>
  <c r="K72" i="43" s="1"/>
  <c r="K73" i="43" s="1"/>
  <c r="K74" i="43" s="1"/>
  <c r="K75" i="43" s="1"/>
  <c r="K76" i="43" s="1"/>
  <c r="K77" i="43" s="1"/>
  <c r="K78" i="43" s="1"/>
  <c r="K79" i="43" s="1"/>
  <c r="K80" i="43" s="1"/>
  <c r="K81" i="43" s="1"/>
  <c r="N74" i="131" l="1"/>
  <c r="I32" i="46"/>
  <c r="I33" i="46" s="1"/>
  <c r="J33" i="46" s="1"/>
  <c r="J16" i="46" s="1"/>
  <c r="N75" i="131" l="1"/>
  <c r="N33" i="46"/>
  <c r="N34" i="46" s="1"/>
  <c r="N35" i="46" s="1"/>
  <c r="N36" i="46" s="1"/>
  <c r="N37" i="46" s="1"/>
  <c r="N38" i="46" s="1"/>
  <c r="N39" i="46" s="1"/>
  <c r="N40" i="46" s="1"/>
  <c r="N41" i="46" s="1"/>
  <c r="N42" i="46" s="1"/>
  <c r="N43" i="46" s="1"/>
  <c r="N44" i="46" s="1"/>
  <c r="N45" i="46" s="1"/>
  <c r="N46" i="46" s="1"/>
  <c r="N47" i="46" s="1"/>
  <c r="N48" i="46" s="1"/>
  <c r="N49" i="46" s="1"/>
  <c r="N50" i="46" s="1"/>
  <c r="N51" i="46" s="1"/>
  <c r="N52" i="46" s="1"/>
  <c r="N53" i="46" s="1"/>
  <c r="N54" i="46" s="1"/>
  <c r="N55" i="46" s="1"/>
  <c r="N56" i="46" s="1"/>
  <c r="N57" i="46" s="1"/>
  <c r="N58" i="46" s="1"/>
  <c r="N59" i="46" s="1"/>
  <c r="N60" i="46" s="1"/>
  <c r="N61" i="46" s="1"/>
  <c r="N62" i="46" s="1"/>
  <c r="N63" i="46" s="1"/>
  <c r="N64" i="46" s="1"/>
  <c r="N65" i="46" s="1"/>
  <c r="N66" i="46" s="1"/>
  <c r="N67" i="46" s="1"/>
  <c r="N68" i="46" s="1"/>
  <c r="N69" i="46" s="1"/>
  <c r="N70" i="46" s="1"/>
  <c r="N71" i="46" s="1"/>
  <c r="N72" i="46" s="1"/>
  <c r="N73" i="46" s="1"/>
  <c r="N74" i="46" s="1"/>
  <c r="N75" i="46" s="1"/>
  <c r="N76" i="46" s="1"/>
  <c r="N77" i="46" s="1"/>
  <c r="N78" i="46" s="1"/>
  <c r="N79" i="46" s="1"/>
  <c r="N80" i="46" s="1"/>
  <c r="N81" i="46" s="1"/>
  <c r="N82" i="46" s="1"/>
  <c r="L33" i="46"/>
  <c r="L34" i="46" s="1"/>
  <c r="L35" i="46" s="1"/>
  <c r="L36" i="46" s="1"/>
  <c r="L37" i="46" s="1"/>
  <c r="L38" i="46" s="1"/>
  <c r="L39" i="46" s="1"/>
  <c r="L40" i="46" s="1"/>
  <c r="L41" i="46" s="1"/>
  <c r="L42" i="46" s="1"/>
  <c r="L43" i="46" s="1"/>
  <c r="L44" i="46" s="1"/>
  <c r="L45" i="46" s="1"/>
  <c r="L46" i="46" s="1"/>
  <c r="L47" i="46" s="1"/>
  <c r="L48" i="46" s="1"/>
  <c r="L49" i="46" s="1"/>
  <c r="L50" i="46" s="1"/>
  <c r="L51" i="46" s="1"/>
  <c r="L52" i="46" s="1"/>
  <c r="L53" i="46" s="1"/>
  <c r="L54" i="46" s="1"/>
  <c r="L55" i="46" s="1"/>
  <c r="L56" i="46" s="1"/>
  <c r="L57" i="46" s="1"/>
  <c r="L58" i="46" s="1"/>
  <c r="L59" i="46" s="1"/>
  <c r="L60" i="46" s="1"/>
  <c r="L61" i="46" s="1"/>
  <c r="L62" i="46" s="1"/>
  <c r="L63" i="46" s="1"/>
  <c r="L64" i="46" s="1"/>
  <c r="L65" i="46" s="1"/>
  <c r="L66" i="46" s="1"/>
  <c r="L67" i="46" s="1"/>
  <c r="L68" i="46" s="1"/>
  <c r="L69" i="46" s="1"/>
  <c r="L70" i="46" s="1"/>
  <c r="L71" i="46" s="1"/>
  <c r="L72" i="46" s="1"/>
  <c r="L73" i="46" s="1"/>
  <c r="L74" i="46" s="1"/>
  <c r="L75" i="46" s="1"/>
  <c r="L76" i="46" s="1"/>
  <c r="L77" i="46" s="1"/>
  <c r="L78" i="46" s="1"/>
  <c r="L79" i="46" s="1"/>
  <c r="L80" i="46" s="1"/>
  <c r="L81" i="46" s="1"/>
  <c r="L82" i="46" s="1"/>
  <c r="I16" i="46"/>
  <c r="K32" i="46"/>
  <c r="K33" i="46" s="1"/>
  <c r="K34" i="46" s="1"/>
  <c r="K35" i="46" s="1"/>
  <c r="K36" i="46" s="1"/>
  <c r="K37" i="46" s="1"/>
  <c r="K38" i="46" s="1"/>
  <c r="K39" i="46" s="1"/>
  <c r="K40" i="46" s="1"/>
  <c r="K41" i="46" s="1"/>
  <c r="K42" i="46" s="1"/>
  <c r="K43" i="46" s="1"/>
  <c r="K44" i="46" s="1"/>
  <c r="K45" i="46" s="1"/>
  <c r="K46" i="46" s="1"/>
  <c r="K47" i="46" s="1"/>
  <c r="K48" i="46" s="1"/>
  <c r="K49" i="46" s="1"/>
  <c r="K50" i="46" s="1"/>
  <c r="K51" i="46" s="1"/>
  <c r="K52" i="46" s="1"/>
  <c r="K53" i="46" s="1"/>
  <c r="K54" i="46" s="1"/>
  <c r="K55" i="46" s="1"/>
  <c r="K56" i="46" s="1"/>
  <c r="K57" i="46" s="1"/>
  <c r="K58" i="46" s="1"/>
  <c r="K59" i="46" s="1"/>
  <c r="K60" i="46" s="1"/>
  <c r="K61" i="46" s="1"/>
  <c r="K62" i="46" s="1"/>
  <c r="K63" i="46" s="1"/>
  <c r="K64" i="46" s="1"/>
  <c r="K65" i="46" s="1"/>
  <c r="K66" i="46" s="1"/>
  <c r="K67" i="46" s="1"/>
  <c r="K68" i="46" s="1"/>
  <c r="K69" i="46" s="1"/>
  <c r="K70" i="46" s="1"/>
  <c r="K71" i="46" s="1"/>
  <c r="K72" i="46" s="1"/>
  <c r="K73" i="46" s="1"/>
  <c r="K74" i="46" s="1"/>
  <c r="K75" i="46" s="1"/>
  <c r="K76" i="46" s="1"/>
  <c r="K77" i="46" s="1"/>
  <c r="K78" i="46" s="1"/>
  <c r="K79" i="46" s="1"/>
  <c r="K80" i="46" s="1"/>
  <c r="K81" i="46" s="1"/>
  <c r="K82" i="46" s="1"/>
  <c r="N76" i="131" l="1"/>
  <c r="N22" i="46"/>
  <c r="N23" i="46" s="1"/>
  <c r="N24" i="46" s="1"/>
  <c r="N25" i="46" s="1"/>
  <c r="N26" i="46" s="1"/>
  <c r="N27" i="46" s="1"/>
  <c r="N28" i="46" s="1"/>
  <c r="N29" i="46" s="1"/>
  <c r="N30" i="46" s="1"/>
  <c r="N31" i="46" s="1"/>
  <c r="N32" i="46" s="1"/>
  <c r="N15" i="46" s="1"/>
  <c r="N77" i="131" l="1"/>
  <c r="D12" i="52"/>
  <c r="D13" i="52" s="1"/>
  <c r="C12" i="52"/>
  <c r="C13" i="52" s="1"/>
  <c r="N78" i="131" l="1"/>
  <c r="C12" i="56"/>
  <c r="D12" i="56"/>
  <c r="I12" i="56"/>
  <c r="J12" i="56"/>
  <c r="N79" i="131" l="1"/>
  <c r="D13" i="56"/>
  <c r="C13" i="56"/>
  <c r="N80" i="131" l="1"/>
  <c r="I16" i="60"/>
  <c r="I12" i="60"/>
  <c r="J12" i="60"/>
  <c r="C12" i="60"/>
  <c r="C13" i="60" s="1"/>
  <c r="C15" i="60" s="1"/>
  <c r="D12" i="60"/>
  <c r="D13" i="60" s="1"/>
  <c r="D15" i="60" s="1"/>
  <c r="N81" i="131" l="1"/>
  <c r="D12" i="63"/>
  <c r="D13" i="63" s="1"/>
  <c r="C12" i="63"/>
  <c r="C13" i="63" s="1"/>
  <c r="N82" i="131" l="1"/>
  <c r="P12" i="63"/>
  <c r="O12" i="63"/>
  <c r="L33" i="68"/>
  <c r="N33" i="68"/>
  <c r="I33" i="68"/>
  <c r="I34" i="68" s="1"/>
  <c r="N83" i="131" l="1"/>
  <c r="I16" i="68"/>
  <c r="J34" i="68"/>
  <c r="L34" i="68" s="1"/>
  <c r="L35" i="68" s="1"/>
  <c r="L36" i="68" s="1"/>
  <c r="L37" i="68" s="1"/>
  <c r="L38" i="68" s="1"/>
  <c r="L39" i="68" s="1"/>
  <c r="L40" i="68" s="1"/>
  <c r="L41" i="68" s="1"/>
  <c r="L42" i="68" s="1"/>
  <c r="L43" i="68" s="1"/>
  <c r="L44" i="68" s="1"/>
  <c r="L45" i="68" s="1"/>
  <c r="L46" i="68" s="1"/>
  <c r="L47" i="68" s="1"/>
  <c r="L48" i="68" s="1"/>
  <c r="L49" i="68" s="1"/>
  <c r="L50" i="68" s="1"/>
  <c r="L51" i="68" s="1"/>
  <c r="L52" i="68" s="1"/>
  <c r="L53" i="68" s="1"/>
  <c r="L54" i="68" s="1"/>
  <c r="L55" i="68" s="1"/>
  <c r="L56" i="68" s="1"/>
  <c r="L57" i="68" s="1"/>
  <c r="L58" i="68" s="1"/>
  <c r="L59" i="68" s="1"/>
  <c r="L60" i="68" s="1"/>
  <c r="L61" i="68" s="1"/>
  <c r="L62" i="68" s="1"/>
  <c r="L63" i="68" s="1"/>
  <c r="L64" i="68" s="1"/>
  <c r="L65" i="68" s="1"/>
  <c r="L66" i="68" s="1"/>
  <c r="L67" i="68" s="1"/>
  <c r="L68" i="68" s="1"/>
  <c r="L69" i="68" s="1"/>
  <c r="L70" i="68" s="1"/>
  <c r="L71" i="68" s="1"/>
  <c r="L72" i="68" s="1"/>
  <c r="L73" i="68" s="1"/>
  <c r="L74" i="68" s="1"/>
  <c r="L75" i="68" s="1"/>
  <c r="L76" i="68" s="1"/>
  <c r="L77" i="68" s="1"/>
  <c r="L78" i="68" s="1"/>
  <c r="L79" i="68" s="1"/>
  <c r="L80" i="68" s="1"/>
  <c r="L81" i="68" s="1"/>
  <c r="L82" i="68" s="1"/>
  <c r="L83" i="68" s="1"/>
  <c r="L84" i="68" s="1"/>
  <c r="L85" i="68" s="1"/>
  <c r="L86" i="68" s="1"/>
  <c r="L87" i="68" s="1"/>
  <c r="L88" i="68" s="1"/>
  <c r="L89" i="68" s="1"/>
  <c r="L90" i="68" s="1"/>
  <c r="L91" i="68" s="1"/>
  <c r="L92" i="68" s="1"/>
  <c r="K33" i="68"/>
  <c r="K34" i="68" s="1"/>
  <c r="K35" i="68" s="1"/>
  <c r="K36" i="68" s="1"/>
  <c r="K37" i="68" s="1"/>
  <c r="K38" i="68" s="1"/>
  <c r="K39" i="68" s="1"/>
  <c r="K40" i="68" s="1"/>
  <c r="K41" i="68" s="1"/>
  <c r="K42" i="68" s="1"/>
  <c r="K43" i="68" s="1"/>
  <c r="K44" i="68" s="1"/>
  <c r="K45" i="68" s="1"/>
  <c r="K46" i="68" s="1"/>
  <c r="K47" i="68" s="1"/>
  <c r="K48" i="68" s="1"/>
  <c r="K49" i="68" s="1"/>
  <c r="K50" i="68" s="1"/>
  <c r="K51" i="68" s="1"/>
  <c r="K52" i="68" s="1"/>
  <c r="K53" i="68" s="1"/>
  <c r="K54" i="68" s="1"/>
  <c r="K55" i="68" s="1"/>
  <c r="K56" i="68" s="1"/>
  <c r="K57" i="68" s="1"/>
  <c r="K58" i="68" s="1"/>
  <c r="K59" i="68" s="1"/>
  <c r="K60" i="68" s="1"/>
  <c r="K61" i="68" s="1"/>
  <c r="K62" i="68" s="1"/>
  <c r="K63" i="68" s="1"/>
  <c r="K64" i="68" s="1"/>
  <c r="K65" i="68" s="1"/>
  <c r="K66" i="68" s="1"/>
  <c r="K67" i="68" s="1"/>
  <c r="K68" i="68" s="1"/>
  <c r="K69" i="68" s="1"/>
  <c r="K70" i="68" s="1"/>
  <c r="K71" i="68" s="1"/>
  <c r="K72" i="68" s="1"/>
  <c r="K73" i="68" s="1"/>
  <c r="K74" i="68" s="1"/>
  <c r="K75" i="68" s="1"/>
  <c r="K76" i="68" s="1"/>
  <c r="K77" i="68" s="1"/>
  <c r="K78" i="68" s="1"/>
  <c r="K79" i="68" s="1"/>
  <c r="K80" i="68" s="1"/>
  <c r="K81" i="68" s="1"/>
  <c r="K82" i="68" s="1"/>
  <c r="K83" i="68" s="1"/>
  <c r="K84" i="68" s="1"/>
  <c r="K85" i="68" s="1"/>
  <c r="K86" i="68" s="1"/>
  <c r="K87" i="68" s="1"/>
  <c r="K88" i="68" s="1"/>
  <c r="K89" i="68" s="1"/>
  <c r="K90" i="68" s="1"/>
  <c r="K91" i="68" s="1"/>
  <c r="K92" i="68" s="1"/>
  <c r="N84" i="131" l="1"/>
  <c r="N34" i="68"/>
  <c r="N35" i="68" s="1"/>
  <c r="N36" i="68" s="1"/>
  <c r="N37" i="68" s="1"/>
  <c r="N38" i="68" s="1"/>
  <c r="N39" i="68" s="1"/>
  <c r="N40" i="68" s="1"/>
  <c r="N41" i="68" s="1"/>
  <c r="N42" i="68" s="1"/>
  <c r="N43" i="68" s="1"/>
  <c r="N44" i="68" s="1"/>
  <c r="N45" i="68" s="1"/>
  <c r="N46" i="68" s="1"/>
  <c r="N47" i="68" s="1"/>
  <c r="N48" i="68" s="1"/>
  <c r="N49" i="68" s="1"/>
  <c r="N50" i="68" s="1"/>
  <c r="N51" i="68" s="1"/>
  <c r="N52" i="68" s="1"/>
  <c r="N53" i="68" s="1"/>
  <c r="N54" i="68" s="1"/>
  <c r="N55" i="68" s="1"/>
  <c r="N56" i="68" s="1"/>
  <c r="N57" i="68" s="1"/>
  <c r="N58" i="68" s="1"/>
  <c r="N59" i="68" s="1"/>
  <c r="N60" i="68" s="1"/>
  <c r="N61" i="68" s="1"/>
  <c r="N62" i="68" s="1"/>
  <c r="N63" i="68" s="1"/>
  <c r="N64" i="68" s="1"/>
  <c r="N65" i="68" s="1"/>
  <c r="N66" i="68" s="1"/>
  <c r="N67" i="68" s="1"/>
  <c r="N68" i="68" s="1"/>
  <c r="N69" i="68" s="1"/>
  <c r="N70" i="68" s="1"/>
  <c r="N71" i="68" s="1"/>
  <c r="N72" i="68" s="1"/>
  <c r="N73" i="68" s="1"/>
  <c r="N74" i="68" s="1"/>
  <c r="N75" i="68" s="1"/>
  <c r="N76" i="68" s="1"/>
  <c r="N77" i="68" s="1"/>
  <c r="N78" i="68" s="1"/>
  <c r="N79" i="68" s="1"/>
  <c r="N80" i="68" s="1"/>
  <c r="N81" i="68" s="1"/>
  <c r="N82" i="68" s="1"/>
  <c r="N83" i="68" s="1"/>
  <c r="N84" i="68" s="1"/>
  <c r="N85" i="68" s="1"/>
  <c r="N86" i="68" s="1"/>
  <c r="N87" i="68" s="1"/>
  <c r="N88" i="68" s="1"/>
  <c r="N89" i="68" s="1"/>
  <c r="N90" i="68" s="1"/>
  <c r="N91" i="68" s="1"/>
  <c r="N92" i="68" s="1"/>
  <c r="J16" i="68"/>
  <c r="N85" i="131" l="1"/>
  <c r="I12" i="68"/>
  <c r="J12" i="68"/>
  <c r="N86" i="131" l="1"/>
  <c r="C13" i="68"/>
  <c r="D13" i="68"/>
  <c r="N87" i="131" l="1"/>
  <c r="N88" i="131" s="1"/>
  <c r="N89" i="131" s="1"/>
  <c r="N90" i="131" s="1"/>
  <c r="N91" i="131" s="1"/>
  <c r="N92" i="131" s="1"/>
  <c r="N93" i="131" s="1"/>
  <c r="N94" i="131" s="1"/>
  <c r="N95" i="131" s="1"/>
  <c r="N80" i="70"/>
  <c r="I80" i="70"/>
  <c r="I81" i="70" l="1"/>
  <c r="K80" i="70"/>
  <c r="K81" i="70" l="1"/>
  <c r="K82" i="70" s="1"/>
  <c r="K83" i="70" s="1"/>
  <c r="K84" i="70" s="1"/>
  <c r="K85" i="70" s="1"/>
  <c r="K86" i="70" s="1"/>
  <c r="K87" i="70" s="1"/>
  <c r="K88" i="70" s="1"/>
  <c r="K89" i="70" s="1"/>
  <c r="K90" i="70" s="1"/>
  <c r="K91" i="70" s="1"/>
  <c r="K92" i="70" s="1"/>
  <c r="K93" i="70" s="1"/>
  <c r="K94" i="70" s="1"/>
  <c r="K95" i="70" s="1"/>
  <c r="K96" i="70" s="1"/>
  <c r="K97" i="70" s="1"/>
  <c r="K98" i="70" s="1"/>
  <c r="K99" i="70" s="1"/>
  <c r="I16" i="70"/>
  <c r="J81" i="70"/>
  <c r="J16" i="70" s="1"/>
  <c r="N81" i="70" l="1"/>
  <c r="N82" i="70" s="1"/>
  <c r="N83" i="70" s="1"/>
  <c r="N84" i="70" s="1"/>
  <c r="N85" i="70" s="1"/>
  <c r="N86" i="70" s="1"/>
  <c r="N87" i="70" s="1"/>
  <c r="N88" i="70" s="1"/>
  <c r="N89" i="70" s="1"/>
  <c r="N90" i="70" s="1"/>
  <c r="N91" i="70" s="1"/>
  <c r="N92" i="70" s="1"/>
  <c r="N93" i="70" s="1"/>
  <c r="N94" i="70" s="1"/>
  <c r="N95" i="70" s="1"/>
  <c r="N96" i="70" s="1"/>
  <c r="N97" i="70" s="1"/>
  <c r="N98" i="70" s="1"/>
  <c r="N99" i="70" s="1"/>
  <c r="L81" i="70"/>
  <c r="L82" i="70" s="1"/>
  <c r="L83" i="70" s="1"/>
  <c r="L84" i="70" s="1"/>
  <c r="L85" i="70" s="1"/>
  <c r="L86" i="70" s="1"/>
  <c r="L87" i="70" s="1"/>
  <c r="L88" i="70" s="1"/>
  <c r="L89" i="70" s="1"/>
  <c r="L90" i="70" s="1"/>
  <c r="L91" i="70" s="1"/>
  <c r="L92" i="70" s="1"/>
  <c r="L93" i="70" s="1"/>
  <c r="L94" i="70" s="1"/>
  <c r="L95" i="70" s="1"/>
  <c r="L96" i="70" s="1"/>
  <c r="L97" i="70" s="1"/>
  <c r="L98" i="70" s="1"/>
  <c r="L99" i="70" s="1"/>
  <c r="I12" i="70" l="1"/>
  <c r="C13" i="70" s="1"/>
  <c r="J12" i="70"/>
  <c r="D12" i="70" l="1"/>
  <c r="D13" i="70" s="1"/>
  <c r="N118" i="74" l="1"/>
  <c r="N119" i="74" s="1"/>
  <c r="J12" i="74"/>
  <c r="I12" i="74"/>
  <c r="D12" i="74" l="1"/>
  <c r="D13" i="74" s="1"/>
  <c r="D14" i="74" s="1"/>
  <c r="C12" i="74"/>
  <c r="C13" i="74" s="1"/>
  <c r="C14" i="74" s="1"/>
  <c r="F6" i="82"/>
  <c r="M6" i="82" s="1"/>
  <c r="F8" i="82"/>
  <c r="M8" i="82" s="1"/>
  <c r="D13" i="82" l="1"/>
  <c r="F10" i="82"/>
  <c r="F13" i="82" s="1"/>
  <c r="E13" i="82"/>
  <c r="L10" i="82" l="1"/>
  <c r="M10" i="82" s="1"/>
  <c r="J13" i="82" l="1"/>
  <c r="M5" i="82"/>
  <c r="K13" i="82"/>
  <c r="K14" i="82" s="1"/>
  <c r="G12" i="82" l="1"/>
  <c r="L13" i="82"/>
  <c r="G13" i="82" l="1"/>
  <c r="G11" i="82" s="1"/>
  <c r="M13" i="82"/>
  <c r="L14" i="82"/>
  <c r="S25" i="86"/>
  <c r="O25" i="86"/>
  <c r="K25" i="86"/>
  <c r="N25" i="86" s="1"/>
  <c r="K26" i="86" l="1"/>
  <c r="M26" i="86" s="1"/>
  <c r="S26" i="86" s="1"/>
  <c r="S27" i="86" s="1"/>
  <c r="S28" i="86" s="1"/>
  <c r="S29" i="86" s="1"/>
  <c r="S30" i="86" s="1"/>
  <c r="S31" i="86" s="1"/>
  <c r="S32" i="86" s="1"/>
  <c r="S33" i="86" s="1"/>
  <c r="S34" i="86" s="1"/>
  <c r="S35" i="86" s="1"/>
  <c r="S36" i="86" s="1"/>
  <c r="S37" i="86" s="1"/>
  <c r="S38" i="86" s="1"/>
  <c r="S39" i="86" s="1"/>
  <c r="S40" i="86" s="1"/>
  <c r="S41" i="86" s="1"/>
  <c r="S42" i="86" s="1"/>
  <c r="S43" i="86" s="1"/>
  <c r="S44" i="86" s="1"/>
  <c r="S45" i="86" s="1"/>
  <c r="S46" i="86" s="1"/>
  <c r="S47" i="86" s="1"/>
  <c r="S48" i="86" s="1"/>
  <c r="S49" i="86" s="1"/>
  <c r="S50" i="86" s="1"/>
  <c r="S51" i="86" s="1"/>
  <c r="S52" i="86" s="1"/>
  <c r="S53" i="86" s="1"/>
  <c r="S54" i="86" s="1"/>
  <c r="S55" i="86" s="1"/>
  <c r="S56" i="86" s="1"/>
  <c r="S57" i="86" s="1"/>
  <c r="S58" i="86" s="1"/>
  <c r="S59" i="86" s="1"/>
  <c r="S60" i="86" s="1"/>
  <c r="S61" i="86" s="1"/>
  <c r="S62" i="86" s="1"/>
  <c r="S63" i="86" s="1"/>
  <c r="S64" i="86" s="1"/>
  <c r="S65" i="86" s="1"/>
  <c r="S66" i="86" s="1"/>
  <c r="S67" i="86" s="1"/>
  <c r="S68" i="86" s="1"/>
  <c r="S69" i="86" s="1"/>
  <c r="S70" i="86" s="1"/>
  <c r="S71" i="86" s="1"/>
  <c r="S72" i="86" s="1"/>
  <c r="S73" i="86" s="1"/>
  <c r="S74" i="86" s="1"/>
  <c r="S75" i="86" s="1"/>
  <c r="S76" i="86" s="1"/>
  <c r="S77" i="86" s="1"/>
  <c r="S78" i="86" s="1"/>
  <c r="S79" i="86" s="1"/>
  <c r="S80" i="86" s="1"/>
  <c r="S81" i="86" s="1"/>
  <c r="S82" i="86" s="1"/>
  <c r="S83" i="86" s="1"/>
  <c r="S84" i="86" s="1"/>
  <c r="S85" i="86" s="1"/>
  <c r="S86" i="86" s="1"/>
  <c r="S87" i="86" s="1"/>
  <c r="S88" i="86" s="1"/>
  <c r="S89" i="86" s="1"/>
  <c r="S90" i="86" s="1"/>
  <c r="S91" i="86" s="1"/>
  <c r="S92" i="86" s="1"/>
  <c r="S93" i="86" s="1"/>
  <c r="S94" i="86" s="1"/>
  <c r="O26" i="86" l="1"/>
  <c r="O27" i="86" s="1"/>
  <c r="O28" i="86" s="1"/>
  <c r="O29" i="86" s="1"/>
  <c r="O30" i="86" s="1"/>
  <c r="O31" i="86" s="1"/>
  <c r="O32" i="86" s="1"/>
  <c r="O33" i="86" s="1"/>
  <c r="O34" i="86" s="1"/>
  <c r="O35" i="86" s="1"/>
  <c r="O36" i="86" s="1"/>
  <c r="O37" i="86" s="1"/>
  <c r="O38" i="86" s="1"/>
  <c r="O39" i="86" s="1"/>
  <c r="O40" i="86" s="1"/>
  <c r="O41" i="86" s="1"/>
  <c r="O42" i="86" s="1"/>
  <c r="O43" i="86" s="1"/>
  <c r="O44" i="86" s="1"/>
  <c r="O45" i="86" s="1"/>
  <c r="O46" i="86" s="1"/>
  <c r="O47" i="86" s="1"/>
  <c r="O48" i="86" s="1"/>
  <c r="O49" i="86" s="1"/>
  <c r="O50" i="86" s="1"/>
  <c r="O51" i="86" s="1"/>
  <c r="O52" i="86" s="1"/>
  <c r="O53" i="86" s="1"/>
  <c r="O54" i="86" s="1"/>
  <c r="O55" i="86" s="1"/>
  <c r="O56" i="86" s="1"/>
  <c r="O57" i="86" s="1"/>
  <c r="O58" i="86" s="1"/>
  <c r="O59" i="86" s="1"/>
  <c r="O60" i="86" s="1"/>
  <c r="O61" i="86" s="1"/>
  <c r="O62" i="86" s="1"/>
  <c r="O63" i="86" s="1"/>
  <c r="O64" i="86" s="1"/>
  <c r="O65" i="86" s="1"/>
  <c r="O66" i="86" s="1"/>
  <c r="O67" i="86" s="1"/>
  <c r="O68" i="86" s="1"/>
  <c r="O69" i="86" s="1"/>
  <c r="O70" i="86" s="1"/>
  <c r="O71" i="86" s="1"/>
  <c r="O72" i="86" s="1"/>
  <c r="O73" i="86" s="1"/>
  <c r="O74" i="86" s="1"/>
  <c r="O75" i="86" s="1"/>
  <c r="O76" i="86" s="1"/>
  <c r="O77" i="86" s="1"/>
  <c r="O78" i="86" s="1"/>
  <c r="O79" i="86" s="1"/>
  <c r="O80" i="86" s="1"/>
  <c r="O81" i="86" s="1"/>
  <c r="O82" i="86" s="1"/>
  <c r="O83" i="86" s="1"/>
  <c r="O84" i="86" s="1"/>
  <c r="O85" i="86" s="1"/>
  <c r="O86" i="86" s="1"/>
  <c r="O87" i="86" s="1"/>
  <c r="O88" i="86" s="1"/>
  <c r="O89" i="86" s="1"/>
  <c r="O90" i="86" s="1"/>
  <c r="O91" i="86" s="1"/>
  <c r="O92" i="86" s="1"/>
  <c r="O93" i="86" s="1"/>
  <c r="O94" i="86" s="1"/>
  <c r="N26" i="86"/>
  <c r="N27" i="86" s="1"/>
  <c r="N28" i="86" s="1"/>
  <c r="N29" i="86" s="1"/>
  <c r="N30" i="86" s="1"/>
  <c r="N31" i="86" s="1"/>
  <c r="N32" i="86" s="1"/>
  <c r="N33" i="86" s="1"/>
  <c r="N34" i="86" s="1"/>
  <c r="N35" i="86" s="1"/>
  <c r="N36" i="86" s="1"/>
  <c r="N37" i="86" s="1"/>
  <c r="N38" i="86" s="1"/>
  <c r="N39" i="86" s="1"/>
  <c r="N40" i="86" s="1"/>
  <c r="N41" i="86" s="1"/>
  <c r="N42" i="86" s="1"/>
  <c r="N43" i="86" s="1"/>
  <c r="N44" i="86" s="1"/>
  <c r="N45" i="86" s="1"/>
  <c r="N46" i="86" s="1"/>
  <c r="N47" i="86" s="1"/>
  <c r="N48" i="86" s="1"/>
  <c r="N49" i="86" s="1"/>
  <c r="N50" i="86" s="1"/>
  <c r="N51" i="86" s="1"/>
  <c r="N52" i="86" s="1"/>
  <c r="N53" i="86" s="1"/>
  <c r="N54" i="86" s="1"/>
  <c r="N55" i="86" s="1"/>
  <c r="N56" i="86" s="1"/>
  <c r="N57" i="86" s="1"/>
  <c r="N58" i="86" s="1"/>
  <c r="N59" i="86" s="1"/>
  <c r="N60" i="86" s="1"/>
  <c r="N61" i="86" s="1"/>
  <c r="N62" i="86" s="1"/>
  <c r="N63" i="86" s="1"/>
  <c r="N64" i="86" s="1"/>
  <c r="N65" i="86" s="1"/>
  <c r="N66" i="86" s="1"/>
  <c r="N67" i="86" s="1"/>
  <c r="N68" i="86" s="1"/>
  <c r="N69" i="86" s="1"/>
  <c r="N70" i="86" s="1"/>
  <c r="N71" i="86" s="1"/>
  <c r="N72" i="86" s="1"/>
  <c r="N73" i="86" s="1"/>
  <c r="N74" i="86" s="1"/>
  <c r="N75" i="86" s="1"/>
  <c r="N76" i="86" s="1"/>
  <c r="N77" i="86" s="1"/>
  <c r="N78" i="86" s="1"/>
  <c r="N79" i="86" s="1"/>
  <c r="N80" i="86" s="1"/>
  <c r="N81" i="86" s="1"/>
  <c r="N82" i="86" s="1"/>
  <c r="N83" i="86" s="1"/>
  <c r="N84" i="86" s="1"/>
  <c r="N85" i="86" s="1"/>
  <c r="N86" i="86" s="1"/>
  <c r="N87" i="86" s="1"/>
  <c r="N88" i="86" s="1"/>
  <c r="N89" i="86" s="1"/>
  <c r="N90" i="86" s="1"/>
  <c r="N91" i="86" s="1"/>
  <c r="N92" i="86" s="1"/>
  <c r="N93" i="86" s="1"/>
  <c r="N94" i="86" s="1"/>
  <c r="K15" i="86"/>
  <c r="M15" i="86"/>
  <c r="D13" i="86" l="1"/>
  <c r="F10" i="86"/>
  <c r="F13" i="86" s="1"/>
  <c r="E13" i="86"/>
  <c r="J13" i="86" l="1"/>
  <c r="J14" i="86" s="1"/>
  <c r="L13" i="86"/>
  <c r="K13" i="86"/>
  <c r="G12" i="86" s="1"/>
  <c r="K14" i="86" l="1"/>
  <c r="L14" i="86"/>
  <c r="G13" i="86"/>
  <c r="G11" i="86" s="1"/>
  <c r="M15" i="89" l="1"/>
  <c r="O96" i="89" l="1"/>
  <c r="O97" i="89" s="1"/>
  <c r="O98" i="89" s="1"/>
  <c r="O99" i="89" s="1"/>
  <c r="O100" i="89" s="1"/>
  <c r="O101" i="89" s="1"/>
  <c r="O102" i="89" s="1"/>
  <c r="O103" i="89" s="1"/>
  <c r="O104" i="89" s="1"/>
  <c r="O105" i="89" s="1"/>
  <c r="O106" i="89" s="1"/>
  <c r="O107" i="89" s="1"/>
  <c r="N20" i="89"/>
  <c r="N21" i="89" s="1"/>
  <c r="N22" i="89" s="1"/>
  <c r="N23" i="89" s="1"/>
  <c r="N24" i="89" s="1"/>
  <c r="N25" i="89" s="1"/>
  <c r="N26" i="89" s="1"/>
  <c r="N27" i="89" s="1"/>
  <c r="N28" i="89" s="1"/>
  <c r="N29" i="89" s="1"/>
  <c r="N30" i="89" s="1"/>
  <c r="N31" i="89" s="1"/>
  <c r="N32" i="89" s="1"/>
  <c r="N33" i="89" s="1"/>
  <c r="N34" i="89" s="1"/>
  <c r="N35" i="89" s="1"/>
  <c r="N36" i="89" s="1"/>
  <c r="N37" i="89" s="1"/>
  <c r="N38" i="89" s="1"/>
  <c r="N39" i="89" s="1"/>
  <c r="N40" i="89" s="1"/>
  <c r="N41" i="89" s="1"/>
  <c r="N42" i="89" s="1"/>
  <c r="N43" i="89" s="1"/>
  <c r="N44" i="89" s="1"/>
  <c r="N45" i="89" s="1"/>
  <c r="N46" i="89" s="1"/>
  <c r="N47" i="89" s="1"/>
  <c r="N48" i="89" s="1"/>
  <c r="N49" i="89" s="1"/>
  <c r="N50" i="89" s="1"/>
  <c r="N51" i="89" s="1"/>
  <c r="N52" i="89" s="1"/>
  <c r="N53" i="89" s="1"/>
  <c r="N54" i="89" s="1"/>
  <c r="N55" i="89" s="1"/>
  <c r="N56" i="89" s="1"/>
  <c r="N57" i="89" s="1"/>
  <c r="N58" i="89" s="1"/>
  <c r="N59" i="89" s="1"/>
  <c r="N60" i="89" s="1"/>
  <c r="N61" i="89" s="1"/>
  <c r="N62" i="89" s="1"/>
  <c r="N63" i="89" s="1"/>
  <c r="N64" i="89" s="1"/>
  <c r="N65" i="89" s="1"/>
  <c r="N66" i="89" s="1"/>
  <c r="N67" i="89" s="1"/>
  <c r="N68" i="89" s="1"/>
  <c r="N69" i="89" s="1"/>
  <c r="N70" i="89" s="1"/>
  <c r="N71" i="89" s="1"/>
  <c r="N72" i="89" s="1"/>
  <c r="N73" i="89" s="1"/>
  <c r="N74" i="89" s="1"/>
  <c r="N75" i="89" s="1"/>
  <c r="N76" i="89" s="1"/>
  <c r="N77" i="89" s="1"/>
  <c r="N78" i="89" s="1"/>
  <c r="N79" i="89" s="1"/>
  <c r="N80" i="89" s="1"/>
  <c r="N81" i="89" s="1"/>
  <c r="N82" i="89" s="1"/>
  <c r="N83" i="89" s="1"/>
  <c r="N84" i="89" s="1"/>
  <c r="N85" i="89" s="1"/>
  <c r="N86" i="89" s="1"/>
  <c r="N87" i="89" s="1"/>
  <c r="N88" i="89" s="1"/>
  <c r="N89" i="89" s="1"/>
  <c r="N90" i="89" s="1"/>
  <c r="N91" i="89" s="1"/>
  <c r="N92" i="89" s="1"/>
  <c r="N93" i="89" s="1"/>
  <c r="N94" i="89" s="1"/>
  <c r="N95" i="89" s="1"/>
  <c r="N96" i="89" s="1"/>
  <c r="N97" i="89" s="1"/>
  <c r="N98" i="89" s="1"/>
  <c r="N99" i="89" s="1"/>
  <c r="N100" i="89" s="1"/>
  <c r="N101" i="89" s="1"/>
  <c r="N102" i="89" s="1"/>
  <c r="N103" i="89" s="1"/>
  <c r="N104" i="89" s="1"/>
  <c r="N105" i="89" s="1"/>
  <c r="N106" i="89" s="1"/>
  <c r="N107" i="89" s="1"/>
  <c r="J13" i="89"/>
  <c r="P13" i="89"/>
  <c r="P14" i="89" l="1"/>
  <c r="L5" i="92" l="1"/>
  <c r="O30" i="92" l="1"/>
  <c r="O31" i="92" s="1"/>
  <c r="O32" i="92" s="1"/>
  <c r="N31" i="92"/>
  <c r="N32" i="92" s="1"/>
  <c r="K33" i="92" l="1"/>
  <c r="N33" i="92" s="1"/>
  <c r="N34" i="92" s="1"/>
  <c r="N35" i="92" s="1"/>
  <c r="N36" i="92" s="1"/>
  <c r="N37" i="92" s="1"/>
  <c r="N38" i="92" s="1"/>
  <c r="N39" i="92" s="1"/>
  <c r="N40" i="92" s="1"/>
  <c r="N41" i="92" s="1"/>
  <c r="N42" i="92" s="1"/>
  <c r="N43" i="92" s="1"/>
  <c r="N44" i="92" s="1"/>
  <c r="N45" i="92" s="1"/>
  <c r="N46" i="92" s="1"/>
  <c r="N47" i="92" s="1"/>
  <c r="N48" i="92" s="1"/>
  <c r="N49" i="92" s="1"/>
  <c r="N50" i="92" s="1"/>
  <c r="N51" i="92" s="1"/>
  <c r="N52" i="92" s="1"/>
  <c r="N53" i="92" s="1"/>
  <c r="N54" i="92" s="1"/>
  <c r="N55" i="92" s="1"/>
  <c r="N56" i="92" s="1"/>
  <c r="N57" i="92" s="1"/>
  <c r="N58" i="92" s="1"/>
  <c r="N59" i="92" s="1"/>
  <c r="N60" i="92" s="1"/>
  <c r="N61" i="92" s="1"/>
  <c r="N62" i="92" s="1"/>
  <c r="N63" i="92" s="1"/>
  <c r="N64" i="92" s="1"/>
  <c r="N65" i="92" s="1"/>
  <c r="N66" i="92" s="1"/>
  <c r="N67" i="92" s="1"/>
  <c r="N68" i="92" s="1"/>
  <c r="N69" i="92" s="1"/>
  <c r="N70" i="92" s="1"/>
  <c r="N71" i="92" s="1"/>
  <c r="N72" i="92" s="1"/>
  <c r="N73" i="92" s="1"/>
  <c r="N74" i="92" s="1"/>
  <c r="N75" i="92" s="1"/>
  <c r="N76" i="92" s="1"/>
  <c r="N77" i="92" s="1"/>
  <c r="N78" i="92" s="1"/>
  <c r="N79" i="92" s="1"/>
  <c r="N80" i="92" s="1"/>
  <c r="N81" i="92" s="1"/>
  <c r="N82" i="92" s="1"/>
  <c r="N83" i="92" s="1"/>
  <c r="N84" i="92" s="1"/>
  <c r="N85" i="92" s="1"/>
  <c r="N86" i="92" s="1"/>
  <c r="N87" i="92" s="1"/>
  <c r="N88" i="92" s="1"/>
  <c r="N89" i="92" s="1"/>
  <c r="N90" i="92" s="1"/>
  <c r="N91" i="92" s="1"/>
  <c r="N92" i="92" s="1"/>
  <c r="N93" i="92" s="1"/>
  <c r="N94" i="92" s="1"/>
  <c r="N95" i="92" s="1"/>
  <c r="N96" i="92" s="1"/>
  <c r="N97" i="92" s="1"/>
  <c r="N98" i="92" s="1"/>
  <c r="N99" i="92" s="1"/>
  <c r="N100" i="92" s="1"/>
  <c r="N101" i="92" s="1"/>
  <c r="N102" i="92" s="1"/>
  <c r="N103" i="92" s="1"/>
  <c r="N104" i="92" s="1"/>
  <c r="K15" i="92" l="1"/>
  <c r="M33" i="92"/>
  <c r="O33" i="92" l="1"/>
  <c r="O34" i="92" s="1"/>
  <c r="O35" i="92" s="1"/>
  <c r="O36" i="92" s="1"/>
  <c r="O37" i="92" s="1"/>
  <c r="O38" i="92" s="1"/>
  <c r="O39" i="92" s="1"/>
  <c r="O40" i="92" s="1"/>
  <c r="O41" i="92" s="1"/>
  <c r="O42" i="92" s="1"/>
  <c r="O43" i="92" s="1"/>
  <c r="O44" i="92" s="1"/>
  <c r="O45" i="92" s="1"/>
  <c r="O46" i="92" s="1"/>
  <c r="O47" i="92" s="1"/>
  <c r="O48" i="92" s="1"/>
  <c r="O49" i="92" s="1"/>
  <c r="O50" i="92" s="1"/>
  <c r="O51" i="92" s="1"/>
  <c r="O52" i="92" s="1"/>
  <c r="O53" i="92" s="1"/>
  <c r="O54" i="92" s="1"/>
  <c r="O55" i="92" s="1"/>
  <c r="O56" i="92" s="1"/>
  <c r="O57" i="92" s="1"/>
  <c r="O58" i="92" s="1"/>
  <c r="O59" i="92" s="1"/>
  <c r="O60" i="92" s="1"/>
  <c r="O61" i="92" s="1"/>
  <c r="O62" i="92" s="1"/>
  <c r="O63" i="92" s="1"/>
  <c r="O64" i="92" s="1"/>
  <c r="O65" i="92" s="1"/>
  <c r="O66" i="92" s="1"/>
  <c r="O67" i="92" s="1"/>
  <c r="O68" i="92" s="1"/>
  <c r="O69" i="92" s="1"/>
  <c r="O70" i="92" s="1"/>
  <c r="O71" i="92" s="1"/>
  <c r="O72" i="92" s="1"/>
  <c r="O73" i="92" s="1"/>
  <c r="O74" i="92" s="1"/>
  <c r="O75" i="92" s="1"/>
  <c r="O76" i="92" s="1"/>
  <c r="O77" i="92" s="1"/>
  <c r="O78" i="92" s="1"/>
  <c r="O79" i="92" s="1"/>
  <c r="O80" i="92" s="1"/>
  <c r="O81" i="92" s="1"/>
  <c r="O82" i="92" s="1"/>
  <c r="O83" i="92" s="1"/>
  <c r="O84" i="92" s="1"/>
  <c r="O85" i="92" s="1"/>
  <c r="O86" i="92" s="1"/>
  <c r="O87" i="92" s="1"/>
  <c r="O88" i="92" s="1"/>
  <c r="O89" i="92" s="1"/>
  <c r="O90" i="92" s="1"/>
  <c r="O91" i="92" s="1"/>
  <c r="O92" i="92" s="1"/>
  <c r="O93" i="92" s="1"/>
  <c r="O94" i="92" s="1"/>
  <c r="O95" i="92" s="1"/>
  <c r="O96" i="92" s="1"/>
  <c r="O97" i="92" s="1"/>
  <c r="O98" i="92" s="1"/>
  <c r="O99" i="92" s="1"/>
  <c r="O100" i="92" s="1"/>
  <c r="O101" i="92" s="1"/>
  <c r="O102" i="92" s="1"/>
  <c r="O103" i="92" s="1"/>
  <c r="O104" i="92" s="1"/>
  <c r="S33" i="92"/>
  <c r="S34" i="92" s="1"/>
  <c r="S35" i="92" s="1"/>
  <c r="S36" i="92" s="1"/>
  <c r="S37" i="92" s="1"/>
  <c r="S38" i="92" s="1"/>
  <c r="S39" i="92" s="1"/>
  <c r="S40" i="92" s="1"/>
  <c r="S41" i="92" s="1"/>
  <c r="S42" i="92" s="1"/>
  <c r="S43" i="92" s="1"/>
  <c r="S44" i="92" s="1"/>
  <c r="S45" i="92" s="1"/>
  <c r="S46" i="92" s="1"/>
  <c r="S47" i="92" s="1"/>
  <c r="S48" i="92" s="1"/>
  <c r="S49" i="92" s="1"/>
  <c r="S50" i="92" s="1"/>
  <c r="S51" i="92" s="1"/>
  <c r="S52" i="92" s="1"/>
  <c r="S53" i="92" s="1"/>
  <c r="S54" i="92" s="1"/>
  <c r="S55" i="92" s="1"/>
  <c r="S56" i="92" s="1"/>
  <c r="S57" i="92" s="1"/>
  <c r="S58" i="92" s="1"/>
  <c r="S59" i="92" s="1"/>
  <c r="S60" i="92" s="1"/>
  <c r="S61" i="92" s="1"/>
  <c r="S62" i="92" s="1"/>
  <c r="S63" i="92" s="1"/>
  <c r="S64" i="92" s="1"/>
  <c r="S65" i="92" s="1"/>
  <c r="S66" i="92" s="1"/>
  <c r="S67" i="92" s="1"/>
  <c r="S68" i="92" s="1"/>
  <c r="S69" i="92" s="1"/>
  <c r="S70" i="92" s="1"/>
  <c r="S71" i="92" s="1"/>
  <c r="S72" i="92" s="1"/>
  <c r="S73" i="92" s="1"/>
  <c r="S74" i="92" s="1"/>
  <c r="S75" i="92" s="1"/>
  <c r="S76" i="92" s="1"/>
  <c r="S77" i="92" s="1"/>
  <c r="S78" i="92" s="1"/>
  <c r="S79" i="92" s="1"/>
  <c r="S80" i="92" s="1"/>
  <c r="S81" i="92" s="1"/>
  <c r="S82" i="92" s="1"/>
  <c r="S83" i="92" s="1"/>
  <c r="S84" i="92" s="1"/>
  <c r="S85" i="92" s="1"/>
  <c r="S86" i="92" s="1"/>
  <c r="S87" i="92" s="1"/>
  <c r="S88" i="92" s="1"/>
  <c r="S89" i="92" s="1"/>
  <c r="S90" i="92" s="1"/>
  <c r="S91" i="92" s="1"/>
  <c r="S92" i="92" s="1"/>
  <c r="S93" i="92" s="1"/>
  <c r="S94" i="92" s="1"/>
  <c r="S95" i="92" s="1"/>
  <c r="S96" i="92" s="1"/>
  <c r="S97" i="92" s="1"/>
  <c r="S98" i="92" s="1"/>
  <c r="S99" i="92" s="1"/>
  <c r="S100" i="92" s="1"/>
  <c r="S101" i="92" s="1"/>
  <c r="S102" i="92" s="1"/>
  <c r="S103" i="92" s="1"/>
  <c r="S104" i="92" s="1"/>
  <c r="M15" i="92"/>
  <c r="F10" i="92"/>
  <c r="F14" i="92" s="1"/>
  <c r="E14" i="92"/>
  <c r="E13" i="92"/>
  <c r="G12" i="92" l="1"/>
  <c r="F13" i="92"/>
  <c r="X13" i="92" l="1"/>
  <c r="G13" i="92"/>
  <c r="G11" i="92" s="1"/>
  <c r="D13" i="92"/>
  <c r="L10" i="92"/>
  <c r="L13" i="92" s="1"/>
  <c r="K13" i="92"/>
  <c r="Q14" i="92" s="1"/>
  <c r="J13" i="92"/>
  <c r="R14" i="92" l="1"/>
  <c r="P14" i="92"/>
  <c r="F6" i="94" l="1"/>
  <c r="M6" i="94" l="1"/>
  <c r="F8" i="94"/>
  <c r="M8" i="94" l="1"/>
  <c r="F9" i="94"/>
  <c r="M9" i="94" s="1"/>
  <c r="J13" i="94" l="1"/>
  <c r="F5" i="94" l="1"/>
  <c r="M5" i="94" s="1"/>
  <c r="F10" i="94"/>
  <c r="F14" i="94" s="1"/>
  <c r="E14" i="94"/>
  <c r="E13" i="94"/>
  <c r="G12" i="94" s="1"/>
  <c r="F13" i="94" l="1"/>
  <c r="G13" i="94" l="1"/>
  <c r="G11" i="94" s="1"/>
  <c r="X13" i="94"/>
  <c r="D13" i="94"/>
  <c r="P14" i="94" s="1"/>
  <c r="M10" i="94" l="1"/>
  <c r="K13" i="94"/>
  <c r="Q14" i="94" s="1"/>
  <c r="L13" i="94" l="1"/>
  <c r="R14" i="94" l="1"/>
  <c r="M13" i="94"/>
  <c r="S69" i="97" l="1"/>
  <c r="K69" i="97"/>
  <c r="N69" i="97" s="1"/>
  <c r="K70" i="97" l="1"/>
  <c r="M70" i="97" l="1"/>
  <c r="K15" i="97"/>
  <c r="K14" i="97" s="1"/>
  <c r="N70" i="97"/>
  <c r="N71" i="97" s="1"/>
  <c r="N72" i="97" s="1"/>
  <c r="N73" i="97" s="1"/>
  <c r="N74" i="97" s="1"/>
  <c r="N75" i="97" s="1"/>
  <c r="N76" i="97" s="1"/>
  <c r="N77" i="97" s="1"/>
  <c r="N78" i="97" s="1"/>
  <c r="N79" i="97" s="1"/>
  <c r="N80" i="97" s="1"/>
  <c r="N81" i="97" s="1"/>
  <c r="N82" i="97" s="1"/>
  <c r="N83" i="97" s="1"/>
  <c r="N84" i="97" s="1"/>
  <c r="N85" i="97" s="1"/>
  <c r="N86" i="97" s="1"/>
  <c r="N87" i="97" s="1"/>
  <c r="N88" i="97" s="1"/>
  <c r="N89" i="97" s="1"/>
  <c r="N90" i="97" s="1"/>
  <c r="N91" i="97" s="1"/>
  <c r="N92" i="97" s="1"/>
  <c r="N93" i="97" s="1"/>
  <c r="N94" i="97" s="1"/>
  <c r="N95" i="97" s="1"/>
  <c r="N96" i="97" s="1"/>
  <c r="N97" i="97" s="1"/>
  <c r="S70" i="97" l="1"/>
  <c r="S71" i="97" s="1"/>
  <c r="S72" i="97" s="1"/>
  <c r="S73" i="97" s="1"/>
  <c r="S74" i="97" s="1"/>
  <c r="S75" i="97" s="1"/>
  <c r="S76" i="97" s="1"/>
  <c r="S77" i="97" s="1"/>
  <c r="S78" i="97" s="1"/>
  <c r="S79" i="97" s="1"/>
  <c r="S80" i="97" s="1"/>
  <c r="S81" i="97" s="1"/>
  <c r="S82" i="97" s="1"/>
  <c r="S83" i="97" s="1"/>
  <c r="S84" i="97" s="1"/>
  <c r="S85" i="97" s="1"/>
  <c r="S86" i="97" s="1"/>
  <c r="S87" i="97" s="1"/>
  <c r="S88" i="97" s="1"/>
  <c r="S89" i="97" s="1"/>
  <c r="S90" i="97" s="1"/>
  <c r="S91" i="97" s="1"/>
  <c r="S92" i="97" s="1"/>
  <c r="S93" i="97" s="1"/>
  <c r="S94" i="97" s="1"/>
  <c r="S95" i="97" s="1"/>
  <c r="S96" i="97" s="1"/>
  <c r="S97" i="97" s="1"/>
  <c r="O70" i="97"/>
  <c r="O71" i="97" s="1"/>
  <c r="O72" i="97" s="1"/>
  <c r="O73" i="97" s="1"/>
  <c r="O74" i="97" s="1"/>
  <c r="O75" i="97" s="1"/>
  <c r="O76" i="97" s="1"/>
  <c r="O77" i="97" s="1"/>
  <c r="O78" i="97" s="1"/>
  <c r="O79" i="97" s="1"/>
  <c r="O80" i="97" s="1"/>
  <c r="O81" i="97" s="1"/>
  <c r="O82" i="97" s="1"/>
  <c r="O83" i="97" s="1"/>
  <c r="O84" i="97" s="1"/>
  <c r="O85" i="97" s="1"/>
  <c r="O86" i="97" s="1"/>
  <c r="O87" i="97" s="1"/>
  <c r="O88" i="97" s="1"/>
  <c r="O89" i="97" s="1"/>
  <c r="O90" i="97" s="1"/>
  <c r="O91" i="97" s="1"/>
  <c r="O92" i="97" s="1"/>
  <c r="O93" i="97" s="1"/>
  <c r="O94" i="97" s="1"/>
  <c r="O95" i="97" s="1"/>
  <c r="O96" i="97" s="1"/>
  <c r="O97" i="97" s="1"/>
  <c r="M15" i="97"/>
  <c r="M14" i="97" s="1"/>
  <c r="J13" i="106"/>
  <c r="J14" i="106" s="1"/>
  <c r="P14" i="106" l="1"/>
  <c r="L6" i="106"/>
  <c r="L13" i="106" s="1"/>
  <c r="K13" i="106"/>
  <c r="Q14" i="106" s="1"/>
  <c r="M13" i="106" l="1"/>
  <c r="R14" i="106"/>
  <c r="L14" i="106"/>
  <c r="K14" i="106"/>
  <c r="M6" i="106"/>
  <c r="S30" i="112" l="1"/>
  <c r="K30" i="112"/>
  <c r="N30" i="112" s="1"/>
  <c r="K31" i="112" l="1"/>
  <c r="M31" i="112" s="1"/>
  <c r="S31" i="112" s="1"/>
  <c r="S32" i="112" s="1"/>
  <c r="S33" i="112" s="1"/>
  <c r="S34" i="112" s="1"/>
  <c r="S35" i="112" s="1"/>
  <c r="S36" i="112" s="1"/>
  <c r="S37" i="112" s="1"/>
  <c r="S38" i="112" s="1"/>
  <c r="S39" i="112" s="1"/>
  <c r="S40" i="112" s="1"/>
  <c r="S41" i="112" s="1"/>
  <c r="S42" i="112" s="1"/>
  <c r="S43" i="112" s="1"/>
  <c r="S44" i="112" s="1"/>
  <c r="S45" i="112" s="1"/>
  <c r="S46" i="112" s="1"/>
  <c r="S47" i="112" s="1"/>
  <c r="S48" i="112" s="1"/>
  <c r="S49" i="112" s="1"/>
  <c r="S50" i="112" s="1"/>
  <c r="S51" i="112" s="1"/>
  <c r="S52" i="112" s="1"/>
  <c r="S53" i="112" s="1"/>
  <c r="S54" i="112" s="1"/>
  <c r="S55" i="112" s="1"/>
  <c r="S56" i="112" s="1"/>
  <c r="S57" i="112" s="1"/>
  <c r="S58" i="112" s="1"/>
  <c r="S59" i="112" s="1"/>
  <c r="S60" i="112" s="1"/>
  <c r="S61" i="112" s="1"/>
  <c r="S62" i="112" s="1"/>
  <c r="S63" i="112" s="1"/>
  <c r="S64" i="112" s="1"/>
  <c r="S65" i="112" s="1"/>
  <c r="S66" i="112" s="1"/>
  <c r="S67" i="112" s="1"/>
  <c r="S68" i="112" s="1"/>
  <c r="S69" i="112" s="1"/>
  <c r="S70" i="112" s="1"/>
  <c r="S71" i="112" s="1"/>
  <c r="S72" i="112" s="1"/>
  <c r="S73" i="112" s="1"/>
  <c r="S74" i="112" s="1"/>
  <c r="S75" i="112" s="1"/>
  <c r="S76" i="112" s="1"/>
  <c r="S77" i="112" s="1"/>
  <c r="S78" i="112" s="1"/>
  <c r="S79" i="112" s="1"/>
  <c r="S80" i="112" s="1"/>
  <c r="S81" i="112" s="1"/>
  <c r="S82" i="112" s="1"/>
  <c r="S83" i="112" s="1"/>
  <c r="S84" i="112" s="1"/>
  <c r="S85" i="112" s="1"/>
  <c r="S86" i="112" s="1"/>
  <c r="S87" i="112" s="1"/>
  <c r="S88" i="112" s="1"/>
  <c r="S89" i="112" s="1"/>
  <c r="S90" i="112" s="1"/>
  <c r="S91" i="112" s="1"/>
  <c r="S92" i="112" s="1"/>
  <c r="S93" i="112" s="1"/>
  <c r="S94" i="112" s="1"/>
  <c r="S95" i="112" s="1"/>
  <c r="S96" i="112" s="1"/>
  <c r="S97" i="112" s="1"/>
  <c r="S98" i="112" s="1"/>
  <c r="S99" i="112" s="1"/>
  <c r="S100" i="112" s="1"/>
  <c r="S101" i="112" s="1"/>
  <c r="S102" i="112" s="1"/>
  <c r="S103" i="112" s="1"/>
  <c r="K16" i="112"/>
  <c r="K15" i="112" s="1"/>
  <c r="M16" i="112"/>
  <c r="M14" i="112" s="1"/>
  <c r="N31" i="112" l="1"/>
  <c r="N32" i="112" s="1"/>
  <c r="N33" i="112" s="1"/>
  <c r="N34" i="112" s="1"/>
  <c r="N35" i="112" s="1"/>
  <c r="N36" i="112" s="1"/>
  <c r="N37" i="112" s="1"/>
  <c r="N38" i="112" s="1"/>
  <c r="N39" i="112" s="1"/>
  <c r="N40" i="112" s="1"/>
  <c r="N41" i="112" s="1"/>
  <c r="N42" i="112" s="1"/>
  <c r="N43" i="112" s="1"/>
  <c r="N44" i="112" s="1"/>
  <c r="N45" i="112" s="1"/>
  <c r="N46" i="112" s="1"/>
  <c r="N47" i="112" s="1"/>
  <c r="N48" i="112" s="1"/>
  <c r="N49" i="112" s="1"/>
  <c r="N50" i="112" s="1"/>
  <c r="N51" i="112" s="1"/>
  <c r="N52" i="112" s="1"/>
  <c r="N53" i="112" s="1"/>
  <c r="N54" i="112" s="1"/>
  <c r="N55" i="112" s="1"/>
  <c r="N56" i="112" s="1"/>
  <c r="N57" i="112" s="1"/>
  <c r="N58" i="112" s="1"/>
  <c r="N59" i="112" s="1"/>
  <c r="N60" i="112" s="1"/>
  <c r="N61" i="112" s="1"/>
  <c r="N62" i="112" s="1"/>
  <c r="N63" i="112" s="1"/>
  <c r="N64" i="112" s="1"/>
  <c r="N65" i="112" s="1"/>
  <c r="N66" i="112" s="1"/>
  <c r="N67" i="112" s="1"/>
  <c r="N68" i="112" s="1"/>
  <c r="N69" i="112" s="1"/>
  <c r="N70" i="112" s="1"/>
  <c r="N71" i="112" s="1"/>
  <c r="N72" i="112" s="1"/>
  <c r="N73" i="112" s="1"/>
  <c r="N74" i="112" s="1"/>
  <c r="N75" i="112" s="1"/>
  <c r="N76" i="112" s="1"/>
  <c r="N77" i="112" s="1"/>
  <c r="N78" i="112" s="1"/>
  <c r="N79" i="112" s="1"/>
  <c r="N80" i="112" s="1"/>
  <c r="N81" i="112" s="1"/>
  <c r="N82" i="112" s="1"/>
  <c r="N83" i="112" s="1"/>
  <c r="N84" i="112" s="1"/>
  <c r="N85" i="112" s="1"/>
  <c r="N86" i="112" s="1"/>
  <c r="N87" i="112" s="1"/>
  <c r="N88" i="112" s="1"/>
  <c r="N89" i="112" s="1"/>
  <c r="N90" i="112" s="1"/>
  <c r="N91" i="112" s="1"/>
  <c r="N92" i="112" s="1"/>
  <c r="N93" i="112" s="1"/>
  <c r="N94" i="112" s="1"/>
  <c r="N95" i="112" s="1"/>
  <c r="N96" i="112" s="1"/>
  <c r="N97" i="112" s="1"/>
  <c r="N98" i="112" s="1"/>
  <c r="N99" i="112" s="1"/>
  <c r="N100" i="112" s="1"/>
  <c r="N101" i="112" s="1"/>
  <c r="N102" i="112" s="1"/>
  <c r="N103" i="112" s="1"/>
  <c r="N104" i="112" s="1"/>
  <c r="N105" i="112" s="1"/>
  <c r="O31" i="112"/>
  <c r="O32" i="112" s="1"/>
  <c r="O33" i="112" s="1"/>
  <c r="O34" i="112" s="1"/>
  <c r="O35" i="112" s="1"/>
  <c r="O36" i="112" s="1"/>
  <c r="O37" i="112" s="1"/>
  <c r="O38" i="112" s="1"/>
  <c r="O39" i="112" s="1"/>
  <c r="O40" i="112" s="1"/>
  <c r="O41" i="112" s="1"/>
  <c r="O42" i="112" s="1"/>
  <c r="O43" i="112" s="1"/>
  <c r="O44" i="112" s="1"/>
  <c r="O45" i="112" s="1"/>
  <c r="O46" i="112" s="1"/>
  <c r="O47" i="112" s="1"/>
  <c r="O48" i="112" s="1"/>
  <c r="O49" i="112" s="1"/>
  <c r="O50" i="112" s="1"/>
  <c r="O51" i="112" s="1"/>
  <c r="O52" i="112" s="1"/>
  <c r="O53" i="112" s="1"/>
  <c r="O54" i="112" s="1"/>
  <c r="O55" i="112" s="1"/>
  <c r="O56" i="112" s="1"/>
  <c r="O57" i="112" s="1"/>
  <c r="O58" i="112" s="1"/>
  <c r="O59" i="112" s="1"/>
  <c r="O60" i="112" s="1"/>
  <c r="O61" i="112" s="1"/>
  <c r="O62" i="112" s="1"/>
  <c r="O63" i="112" s="1"/>
  <c r="O64" i="112" s="1"/>
  <c r="O65" i="112" s="1"/>
  <c r="O66" i="112" s="1"/>
  <c r="O67" i="112" s="1"/>
  <c r="O68" i="112" s="1"/>
  <c r="O69" i="112" s="1"/>
  <c r="O70" i="112" s="1"/>
  <c r="O71" i="112" s="1"/>
  <c r="O72" i="112" s="1"/>
  <c r="O73" i="112" s="1"/>
  <c r="O74" i="112" s="1"/>
  <c r="O75" i="112" s="1"/>
  <c r="O76" i="112" s="1"/>
  <c r="O77" i="112" s="1"/>
  <c r="O78" i="112" s="1"/>
  <c r="O79" i="112" s="1"/>
  <c r="O80" i="112" s="1"/>
  <c r="O81" i="112" s="1"/>
  <c r="O82" i="112" s="1"/>
  <c r="O83" i="112" s="1"/>
  <c r="O84" i="112" s="1"/>
  <c r="O85" i="112" s="1"/>
  <c r="O86" i="112" s="1"/>
  <c r="O87" i="112" s="1"/>
  <c r="O88" i="112" s="1"/>
  <c r="O89" i="112" s="1"/>
  <c r="O90" i="112" s="1"/>
  <c r="O91" i="112" s="1"/>
  <c r="O92" i="112" s="1"/>
  <c r="O93" i="112" s="1"/>
  <c r="O94" i="112" s="1"/>
  <c r="O95" i="112" s="1"/>
  <c r="O96" i="112" s="1"/>
  <c r="O97" i="112" s="1"/>
  <c r="O98" i="112" s="1"/>
  <c r="O99" i="112" s="1"/>
  <c r="O100" i="112" s="1"/>
  <c r="O101" i="112" s="1"/>
  <c r="O102" i="112" s="1"/>
  <c r="O103" i="112" s="1"/>
  <c r="O104" i="112" s="1"/>
  <c r="O105" i="112" s="1"/>
  <c r="M15" i="112"/>
  <c r="R11" i="115" l="1"/>
  <c r="P13" i="115" l="1"/>
  <c r="J14" i="115" s="1"/>
  <c r="P14" i="115" l="1"/>
  <c r="R10" i="115"/>
  <c r="R13" i="115" s="1"/>
  <c r="Q13" i="115"/>
  <c r="G12" i="115" s="1"/>
  <c r="R14" i="115" l="1"/>
  <c r="G13" i="115"/>
  <c r="G11" i="115" s="1"/>
  <c r="X13" i="115"/>
  <c r="S13" i="115"/>
  <c r="L14" i="115"/>
  <c r="K14" i="115"/>
  <c r="Q14" i="115"/>
  <c r="D13" i="117" l="1"/>
  <c r="J13" i="117" l="1"/>
  <c r="L10" i="117"/>
  <c r="K13" i="117"/>
  <c r="J14" i="117" l="1"/>
  <c r="L13" i="117"/>
  <c r="S59" i="117" l="1"/>
  <c r="O59" i="117"/>
  <c r="K59" i="117"/>
  <c r="K60" i="117" s="1"/>
  <c r="K16" i="117" l="1"/>
  <c r="K15" i="117" s="1"/>
  <c r="M60" i="117"/>
  <c r="O60" i="117" s="1"/>
  <c r="O61" i="117" s="1"/>
  <c r="O62" i="117" s="1"/>
  <c r="O63" i="117" s="1"/>
  <c r="O64" i="117" s="1"/>
  <c r="O65" i="117" s="1"/>
  <c r="O66" i="117" s="1"/>
  <c r="O67" i="117" s="1"/>
  <c r="O68" i="117" s="1"/>
  <c r="O69" i="117" s="1"/>
  <c r="O70" i="117" s="1"/>
  <c r="O71" i="117" s="1"/>
  <c r="O72" i="117" s="1"/>
  <c r="O73" i="117" s="1"/>
  <c r="O74" i="117" s="1"/>
  <c r="O75" i="117" s="1"/>
  <c r="O76" i="117" s="1"/>
  <c r="O77" i="117" s="1"/>
  <c r="O78" i="117" s="1"/>
  <c r="O79" i="117" s="1"/>
  <c r="O80" i="117" s="1"/>
  <c r="O81" i="117" s="1"/>
  <c r="O82" i="117" s="1"/>
  <c r="O83" i="117" s="1"/>
  <c r="O84" i="117" s="1"/>
  <c r="O85" i="117" s="1"/>
  <c r="O86" i="117" s="1"/>
  <c r="O87" i="117" s="1"/>
  <c r="O88" i="117" s="1"/>
  <c r="O89" i="117" s="1"/>
  <c r="O90" i="117" s="1"/>
  <c r="O91" i="117" s="1"/>
  <c r="O92" i="117" s="1"/>
  <c r="O93" i="117" s="1"/>
  <c r="O94" i="117" s="1"/>
  <c r="O95" i="117" s="1"/>
  <c r="O96" i="117" s="1"/>
  <c r="O97" i="117" s="1"/>
  <c r="O98" i="117" s="1"/>
  <c r="O99" i="117" s="1"/>
  <c r="O100" i="117" s="1"/>
  <c r="O101" i="117" s="1"/>
  <c r="O102" i="117" s="1"/>
  <c r="O103" i="117" s="1"/>
  <c r="O104" i="117" s="1"/>
  <c r="N59" i="117"/>
  <c r="N60" i="117" s="1"/>
  <c r="N61" i="117" s="1"/>
  <c r="N62" i="117" s="1"/>
  <c r="N63" i="117" s="1"/>
  <c r="N64" i="117" s="1"/>
  <c r="N65" i="117" s="1"/>
  <c r="N66" i="117" s="1"/>
  <c r="N67" i="117" s="1"/>
  <c r="N68" i="117" s="1"/>
  <c r="N69" i="117" s="1"/>
  <c r="N70" i="117" s="1"/>
  <c r="N71" i="117" s="1"/>
  <c r="N72" i="117" s="1"/>
  <c r="N73" i="117" s="1"/>
  <c r="N74" i="117" s="1"/>
  <c r="N75" i="117" s="1"/>
  <c r="N76" i="117" s="1"/>
  <c r="N77" i="117" s="1"/>
  <c r="N78" i="117" s="1"/>
  <c r="N79" i="117" s="1"/>
  <c r="N80" i="117" s="1"/>
  <c r="N81" i="117" s="1"/>
  <c r="N82" i="117" s="1"/>
  <c r="N83" i="117" s="1"/>
  <c r="N84" i="117" s="1"/>
  <c r="N85" i="117" s="1"/>
  <c r="N86" i="117" s="1"/>
  <c r="N87" i="117" s="1"/>
  <c r="N88" i="117" s="1"/>
  <c r="N89" i="117" s="1"/>
  <c r="N90" i="117" s="1"/>
  <c r="N91" i="117" s="1"/>
  <c r="N92" i="117" s="1"/>
  <c r="N93" i="117" s="1"/>
  <c r="N94" i="117" s="1"/>
  <c r="N95" i="117" s="1"/>
  <c r="N96" i="117" s="1"/>
  <c r="N97" i="117" s="1"/>
  <c r="N98" i="117" s="1"/>
  <c r="N99" i="117" s="1"/>
  <c r="N100" i="117" s="1"/>
  <c r="N101" i="117" s="1"/>
  <c r="N102" i="117" s="1"/>
  <c r="N103" i="117" s="1"/>
  <c r="N104" i="117" s="1"/>
  <c r="M16" i="117" l="1"/>
  <c r="S60" i="117"/>
  <c r="S61" i="117" s="1"/>
  <c r="S62" i="117" s="1"/>
  <c r="S63" i="117" s="1"/>
  <c r="S64" i="117" s="1"/>
  <c r="S65" i="117" s="1"/>
  <c r="S66" i="117" s="1"/>
  <c r="S67" i="117" s="1"/>
  <c r="S68" i="117" s="1"/>
  <c r="S69" i="117" s="1"/>
  <c r="S70" i="117" s="1"/>
  <c r="S71" i="117" s="1"/>
  <c r="S72" i="117" s="1"/>
  <c r="S73" i="117" s="1"/>
  <c r="S74" i="117" s="1"/>
  <c r="S75" i="117" s="1"/>
  <c r="S76" i="117" s="1"/>
  <c r="S77" i="117" s="1"/>
  <c r="S78" i="117" s="1"/>
  <c r="S79" i="117" s="1"/>
  <c r="S80" i="117" s="1"/>
  <c r="S81" i="117" s="1"/>
  <c r="S82" i="117" s="1"/>
  <c r="S83" i="117" s="1"/>
  <c r="S84" i="117" s="1"/>
  <c r="S85" i="117" s="1"/>
  <c r="S86" i="117" s="1"/>
  <c r="S87" i="117" s="1"/>
  <c r="S88" i="117" s="1"/>
  <c r="S89" i="117" s="1"/>
  <c r="S90" i="117" s="1"/>
  <c r="S91" i="117" s="1"/>
  <c r="S92" i="117" s="1"/>
  <c r="S93" i="117" s="1"/>
  <c r="S94" i="117" s="1"/>
  <c r="S95" i="117" s="1"/>
  <c r="S96" i="117" s="1"/>
  <c r="S97" i="117" s="1"/>
  <c r="S98" i="117" s="1"/>
  <c r="S99" i="117" s="1"/>
  <c r="S100" i="117" s="1"/>
  <c r="S101" i="117" s="1"/>
  <c r="S102" i="117" s="1"/>
  <c r="S103" i="117" s="1"/>
  <c r="S104" i="117" s="1"/>
  <c r="M15" i="117" l="1"/>
  <c r="M14" i="117"/>
  <c r="F5" i="117"/>
  <c r="S5" i="117" l="1"/>
  <c r="M5" i="117"/>
  <c r="F10" i="117"/>
  <c r="S10" i="117" l="1"/>
  <c r="M10" i="117"/>
  <c r="F6" i="117"/>
  <c r="S6" i="117" s="1"/>
  <c r="E13" i="117"/>
  <c r="G12" i="117" s="1"/>
  <c r="K14" i="117" l="1"/>
  <c r="M6" i="117"/>
  <c r="F13" i="117"/>
  <c r="G13" i="117" l="1"/>
  <c r="G11" i="117" s="1"/>
  <c r="M13" i="117"/>
  <c r="S13" i="117"/>
  <c r="L14" i="117"/>
  <c r="X13" i="117"/>
  <c r="D13" i="122" l="1"/>
  <c r="J13" i="122"/>
  <c r="J14" i="122" s="1"/>
  <c r="K16" i="124" l="1"/>
  <c r="M16" i="124" l="1"/>
  <c r="N36" i="2" l="1"/>
  <c r="N37" i="2" s="1"/>
  <c r="N38" i="2" s="1"/>
  <c r="N39" i="2" s="1"/>
  <c r="N40" i="2" s="1"/>
  <c r="N41" i="2" s="1"/>
  <c r="N42" i="2" s="1"/>
  <c r="L5" i="139"/>
  <c r="S5" i="139" s="1"/>
  <c r="K13" i="139"/>
  <c r="K14" i="139" s="1"/>
  <c r="N43" i="2" l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L13" i="139"/>
  <c r="L14" i="139" s="1"/>
  <c r="O22" i="139"/>
  <c r="K23" i="139"/>
  <c r="M23" i="139" s="1"/>
  <c r="M16" i="139" s="1"/>
  <c r="N22" i="139"/>
  <c r="N23" i="139" s="1"/>
  <c r="N24" i="139" s="1"/>
  <c r="N25" i="139" s="1"/>
  <c r="N26" i="139" s="1"/>
  <c r="N27" i="139" s="1"/>
  <c r="N28" i="139" s="1"/>
  <c r="N29" i="139" s="1"/>
  <c r="N30" i="139" s="1"/>
  <c r="N31" i="139" s="1"/>
  <c r="N32" i="139" s="1"/>
  <c r="N33" i="139" s="1"/>
  <c r="N34" i="139" s="1"/>
  <c r="N35" i="139" s="1"/>
  <c r="N36" i="139" s="1"/>
  <c r="N37" i="139" s="1"/>
  <c r="N38" i="139" s="1"/>
  <c r="N39" i="139" s="1"/>
  <c r="N40" i="139" s="1"/>
  <c r="N41" i="139" s="1"/>
  <c r="N42" i="139" s="1"/>
  <c r="N43" i="139" s="1"/>
  <c r="N44" i="139" s="1"/>
  <c r="N45" i="139" s="1"/>
  <c r="N46" i="139" s="1"/>
  <c r="N47" i="139" s="1"/>
  <c r="N48" i="139" s="1"/>
  <c r="N49" i="139" s="1"/>
  <c r="N50" i="139" s="1"/>
  <c r="N51" i="139" s="1"/>
  <c r="N52" i="139" s="1"/>
  <c r="N53" i="139" s="1"/>
  <c r="N54" i="139" s="1"/>
  <c r="N55" i="139" s="1"/>
  <c r="N56" i="139" s="1"/>
  <c r="N57" i="139" s="1"/>
  <c r="N58" i="139" s="1"/>
  <c r="N59" i="139" s="1"/>
  <c r="N60" i="139" s="1"/>
  <c r="N61" i="139" s="1"/>
  <c r="N62" i="139" s="1"/>
  <c r="N63" i="139" s="1"/>
  <c r="N64" i="139" s="1"/>
  <c r="N65" i="139" s="1"/>
  <c r="N66" i="139" s="1"/>
  <c r="N67" i="139" s="1"/>
  <c r="N68" i="139" s="1"/>
  <c r="N69" i="139" s="1"/>
  <c r="N70" i="139" s="1"/>
  <c r="N71" i="139" s="1"/>
  <c r="N72" i="139" s="1"/>
  <c r="N73" i="139" s="1"/>
  <c r="N74" i="139" s="1"/>
  <c r="N75" i="139" s="1"/>
  <c r="N76" i="139" s="1"/>
  <c r="N77" i="139" s="1"/>
  <c r="N78" i="139" s="1"/>
  <c r="N79" i="139" s="1"/>
  <c r="N80" i="139" s="1"/>
  <c r="N81" i="139" s="1"/>
  <c r="N82" i="139" s="1"/>
  <c r="N83" i="139" s="1"/>
  <c r="N84" i="139" s="1"/>
  <c r="N85" i="139" s="1"/>
  <c r="N86" i="139" s="1"/>
  <c r="N87" i="139" s="1"/>
  <c r="N88" i="139" s="1"/>
  <c r="N89" i="139" s="1"/>
  <c r="K22" i="139"/>
  <c r="D7" i="139" s="1"/>
  <c r="D13" i="139" s="1"/>
  <c r="N67" i="2" l="1"/>
  <c r="N68" i="2" s="1"/>
  <c r="O23" i="139"/>
  <c r="O24" i="139" s="1"/>
  <c r="O25" i="139" s="1"/>
  <c r="O26" i="139" s="1"/>
  <c r="O27" i="139" s="1"/>
  <c r="O28" i="139" s="1"/>
  <c r="O29" i="139" s="1"/>
  <c r="O30" i="139" s="1"/>
  <c r="O31" i="139" s="1"/>
  <c r="O32" i="139" s="1"/>
  <c r="O33" i="139" s="1"/>
  <c r="O34" i="139" s="1"/>
  <c r="O35" i="139" s="1"/>
  <c r="O36" i="139" s="1"/>
  <c r="O37" i="139" s="1"/>
  <c r="O38" i="139" s="1"/>
  <c r="O39" i="139" s="1"/>
  <c r="O40" i="139" s="1"/>
  <c r="O41" i="139" s="1"/>
  <c r="O42" i="139" s="1"/>
  <c r="O43" i="139" s="1"/>
  <c r="O44" i="139" s="1"/>
  <c r="O45" i="139" s="1"/>
  <c r="O46" i="139" s="1"/>
  <c r="O47" i="139" s="1"/>
  <c r="O48" i="139" s="1"/>
  <c r="O49" i="139" s="1"/>
  <c r="O50" i="139" s="1"/>
  <c r="O51" i="139" s="1"/>
  <c r="O52" i="139" s="1"/>
  <c r="O53" i="139" s="1"/>
  <c r="O54" i="139" s="1"/>
  <c r="O55" i="139" s="1"/>
  <c r="O56" i="139" s="1"/>
  <c r="O57" i="139" s="1"/>
  <c r="O58" i="139" s="1"/>
  <c r="O59" i="139" s="1"/>
  <c r="O60" i="139" s="1"/>
  <c r="O61" i="139" s="1"/>
  <c r="O62" i="139" s="1"/>
  <c r="O63" i="139" s="1"/>
  <c r="O64" i="139" s="1"/>
  <c r="O65" i="139" s="1"/>
  <c r="O66" i="139" s="1"/>
  <c r="O67" i="139" s="1"/>
  <c r="O68" i="139" s="1"/>
  <c r="O69" i="139" s="1"/>
  <c r="O70" i="139" s="1"/>
  <c r="O71" i="139" s="1"/>
  <c r="O72" i="139" s="1"/>
  <c r="O73" i="139" s="1"/>
  <c r="O74" i="139" s="1"/>
  <c r="O75" i="139" s="1"/>
  <c r="O76" i="139" s="1"/>
  <c r="O77" i="139" s="1"/>
  <c r="O78" i="139" s="1"/>
  <c r="O79" i="139" s="1"/>
  <c r="O80" i="139" s="1"/>
  <c r="O81" i="139" s="1"/>
  <c r="O82" i="139" s="1"/>
  <c r="O83" i="139" s="1"/>
  <c r="O84" i="139" s="1"/>
  <c r="O85" i="139" s="1"/>
  <c r="O86" i="139" s="1"/>
  <c r="O87" i="139" s="1"/>
  <c r="O88" i="139" s="1"/>
  <c r="O89" i="139" s="1"/>
  <c r="D14" i="139"/>
  <c r="J14" i="139"/>
  <c r="S23" i="139"/>
  <c r="S24" i="139" s="1"/>
  <c r="S25" i="139" s="1"/>
  <c r="S26" i="139" s="1"/>
  <c r="S27" i="139" s="1"/>
  <c r="S28" i="139" s="1"/>
  <c r="S29" i="139" s="1"/>
  <c r="S30" i="139" s="1"/>
  <c r="S31" i="139" s="1"/>
  <c r="S32" i="139" s="1"/>
  <c r="S33" i="139" s="1"/>
  <c r="S34" i="139" s="1"/>
  <c r="S35" i="139" s="1"/>
  <c r="S36" i="139" s="1"/>
  <c r="S37" i="139" s="1"/>
  <c r="S38" i="139" s="1"/>
  <c r="S39" i="139" s="1"/>
  <c r="S40" i="139" s="1"/>
  <c r="S41" i="139" s="1"/>
  <c r="S42" i="139" s="1"/>
  <c r="S43" i="139" s="1"/>
  <c r="S44" i="139" s="1"/>
  <c r="S45" i="139" s="1"/>
  <c r="S46" i="139" s="1"/>
  <c r="S47" i="139" s="1"/>
  <c r="S48" i="139" s="1"/>
  <c r="S49" i="139" s="1"/>
  <c r="S50" i="139" s="1"/>
  <c r="S51" i="139" s="1"/>
  <c r="S52" i="139" s="1"/>
  <c r="S53" i="139" s="1"/>
  <c r="S54" i="139" s="1"/>
  <c r="S55" i="139" s="1"/>
  <c r="S56" i="139" s="1"/>
  <c r="S57" i="139" s="1"/>
  <c r="S58" i="139" s="1"/>
  <c r="S59" i="139" s="1"/>
  <c r="S60" i="139" s="1"/>
  <c r="S61" i="139" s="1"/>
  <c r="S62" i="139" s="1"/>
  <c r="S63" i="139" s="1"/>
  <c r="S64" i="139" s="1"/>
  <c r="S65" i="139" s="1"/>
  <c r="S66" i="139" s="1"/>
  <c r="S67" i="139" s="1"/>
  <c r="S68" i="139" s="1"/>
  <c r="S69" i="139" s="1"/>
  <c r="S70" i="139" s="1"/>
  <c r="S71" i="139" s="1"/>
  <c r="S72" i="139" s="1"/>
  <c r="S73" i="139" s="1"/>
  <c r="S74" i="139" s="1"/>
  <c r="S75" i="139" s="1"/>
  <c r="S76" i="139" s="1"/>
  <c r="S77" i="139" s="1"/>
  <c r="S78" i="139" s="1"/>
  <c r="S79" i="139" s="1"/>
  <c r="S80" i="139" s="1"/>
  <c r="S81" i="139" s="1"/>
  <c r="S82" i="139" s="1"/>
  <c r="S83" i="139" s="1"/>
  <c r="S84" i="139" s="1"/>
  <c r="S85" i="139" s="1"/>
  <c r="S86" i="139" s="1"/>
  <c r="S87" i="139" s="1"/>
  <c r="S88" i="139" s="1"/>
  <c r="S89" i="139" s="1"/>
  <c r="K16" i="139"/>
  <c r="D41" i="2"/>
  <c r="N69" i="2" l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L25" i="144"/>
  <c r="M25" i="144" s="1"/>
  <c r="L24" i="144"/>
  <c r="M24" i="144" s="1"/>
  <c r="L26" i="144"/>
  <c r="K26" i="144" s="1"/>
  <c r="K27" i="144" s="1"/>
  <c r="L23" i="144"/>
  <c r="M23" i="144" s="1"/>
  <c r="L22" i="144"/>
  <c r="M22" i="144" s="1"/>
  <c r="S22" i="144" s="1"/>
  <c r="M27" i="144" l="1"/>
  <c r="S23" i="144" s="1"/>
  <c r="S24" i="144" s="1"/>
  <c r="S25" i="144" s="1"/>
  <c r="S26" i="144" s="1"/>
  <c r="K16" i="144"/>
  <c r="M16" i="144" l="1"/>
  <c r="S27" i="144"/>
  <c r="S28" i="144" s="1"/>
  <c r="S29" i="144" s="1"/>
  <c r="S30" i="144" s="1"/>
  <c r="S31" i="144" s="1"/>
  <c r="S32" i="144" s="1"/>
  <c r="S33" i="144" s="1"/>
  <c r="S34" i="144" s="1"/>
  <c r="S35" i="144" s="1"/>
  <c r="S36" i="144" s="1"/>
  <c r="S37" i="144" s="1"/>
  <c r="S38" i="144" s="1"/>
  <c r="S39" i="144" s="1"/>
  <c r="S40" i="144" s="1"/>
  <c r="S41" i="144" s="1"/>
  <c r="S42" i="144" s="1"/>
  <c r="S43" i="144" s="1"/>
  <c r="S44" i="144" s="1"/>
  <c r="S45" i="144" s="1"/>
  <c r="S46" i="144" s="1"/>
  <c r="S47" i="144" s="1"/>
  <c r="S48" i="144" s="1"/>
  <c r="S49" i="144" s="1"/>
  <c r="S50" i="144" s="1"/>
  <c r="S51" i="144" s="1"/>
  <c r="S52" i="144" s="1"/>
  <c r="S53" i="144" s="1"/>
  <c r="S54" i="144" s="1"/>
  <c r="S55" i="144" s="1"/>
  <c r="S56" i="144" s="1"/>
  <c r="S57" i="144" s="1"/>
  <c r="S58" i="144" s="1"/>
  <c r="S59" i="144" s="1"/>
  <c r="S60" i="144" s="1"/>
  <c r="S61" i="144" s="1"/>
  <c r="S62" i="144" s="1"/>
  <c r="S63" i="144" s="1"/>
  <c r="S64" i="144" s="1"/>
  <c r="S65" i="144" s="1"/>
  <c r="S66" i="144" s="1"/>
  <c r="S67" i="144" s="1"/>
  <c r="S68" i="144" s="1"/>
  <c r="S69" i="144" s="1"/>
  <c r="S70" i="144" s="1"/>
  <c r="S71" i="144" s="1"/>
  <c r="S72" i="144" s="1"/>
  <c r="S73" i="144" s="1"/>
  <c r="S74" i="144" s="1"/>
  <c r="S75" i="144" s="1"/>
  <c r="S76" i="144" s="1"/>
  <c r="S77" i="144" s="1"/>
  <c r="S78" i="144" s="1"/>
  <c r="S79" i="144" s="1"/>
  <c r="S80" i="144" s="1"/>
  <c r="S81" i="144" s="1"/>
  <c r="S82" i="144" s="1"/>
  <c r="S83" i="144" s="1"/>
  <c r="S84" i="144" s="1"/>
  <c r="S85" i="144" s="1"/>
  <c r="S86" i="144" s="1"/>
  <c r="S87" i="144" s="1"/>
  <c r="S88" i="144" s="1"/>
  <c r="S89" i="144" s="1"/>
  <c r="L9" i="144"/>
  <c r="L10" i="144"/>
  <c r="K13" i="144"/>
  <c r="K14" i="144" s="1"/>
  <c r="L13" i="144" l="1"/>
  <c r="L14" i="144" s="1"/>
  <c r="N21" i="144" l="1"/>
  <c r="N22" i="144" s="1"/>
  <c r="N23" i="144" s="1"/>
  <c r="N24" i="144" s="1"/>
  <c r="N25" i="144" s="1"/>
  <c r="N26" i="144" s="1"/>
  <c r="N27" i="144" s="1"/>
  <c r="N28" i="144" s="1"/>
  <c r="N29" i="144" s="1"/>
  <c r="N30" i="144" s="1"/>
  <c r="N31" i="144" s="1"/>
  <c r="N32" i="144" s="1"/>
  <c r="N33" i="144" s="1"/>
  <c r="N34" i="144" s="1"/>
  <c r="N35" i="144" s="1"/>
  <c r="N36" i="144" s="1"/>
  <c r="N37" i="144" s="1"/>
  <c r="N38" i="144" s="1"/>
  <c r="N39" i="144" s="1"/>
  <c r="N40" i="144" s="1"/>
  <c r="N41" i="144" s="1"/>
  <c r="N42" i="144" s="1"/>
  <c r="N43" i="144" s="1"/>
  <c r="N44" i="144" s="1"/>
  <c r="N45" i="144" s="1"/>
  <c r="N46" i="144" s="1"/>
  <c r="N47" i="144" s="1"/>
  <c r="N48" i="144" s="1"/>
  <c r="N49" i="144" s="1"/>
  <c r="N50" i="144" s="1"/>
  <c r="N51" i="144" s="1"/>
  <c r="N52" i="144" s="1"/>
  <c r="N53" i="144" s="1"/>
  <c r="N54" i="144" s="1"/>
  <c r="N55" i="144" s="1"/>
  <c r="N56" i="144" s="1"/>
  <c r="N57" i="144" s="1"/>
  <c r="N58" i="144" s="1"/>
  <c r="N59" i="144" s="1"/>
  <c r="N60" i="144" s="1"/>
  <c r="N61" i="144" s="1"/>
  <c r="N62" i="144" s="1"/>
  <c r="N63" i="144" s="1"/>
  <c r="N64" i="144" s="1"/>
  <c r="N65" i="144" s="1"/>
  <c r="N66" i="144" s="1"/>
  <c r="N67" i="144" s="1"/>
  <c r="N68" i="144" s="1"/>
  <c r="N69" i="144" s="1"/>
  <c r="N70" i="144" s="1"/>
  <c r="N71" i="144" s="1"/>
  <c r="N72" i="144" s="1"/>
  <c r="N73" i="144" s="1"/>
  <c r="N74" i="144" s="1"/>
  <c r="N75" i="144" s="1"/>
  <c r="N76" i="144" s="1"/>
  <c r="N77" i="144" s="1"/>
  <c r="N78" i="144" s="1"/>
  <c r="N79" i="144" s="1"/>
  <c r="N80" i="144" s="1"/>
  <c r="N81" i="144" s="1"/>
  <c r="N82" i="144" s="1"/>
  <c r="N83" i="144" s="1"/>
  <c r="N84" i="144" s="1"/>
  <c r="N85" i="144" s="1"/>
  <c r="N86" i="144" s="1"/>
  <c r="N87" i="144" s="1"/>
  <c r="N88" i="144" s="1"/>
  <c r="N89" i="144" s="1"/>
  <c r="O21" i="144"/>
  <c r="O22" i="144" s="1"/>
  <c r="O23" i="144" s="1"/>
  <c r="O24" i="144" s="1"/>
  <c r="O25" i="144" s="1"/>
  <c r="O26" i="144" s="1"/>
  <c r="O27" i="144" s="1"/>
  <c r="O28" i="144" s="1"/>
  <c r="O29" i="144" s="1"/>
  <c r="O30" i="144" s="1"/>
  <c r="O31" i="144" s="1"/>
  <c r="O32" i="144" s="1"/>
  <c r="O33" i="144" s="1"/>
  <c r="O34" i="144" s="1"/>
  <c r="O35" i="144" s="1"/>
  <c r="O36" i="144" s="1"/>
  <c r="O37" i="144" s="1"/>
  <c r="O38" i="144" s="1"/>
  <c r="O39" i="144" s="1"/>
  <c r="O40" i="144" s="1"/>
  <c r="O41" i="144" s="1"/>
  <c r="O42" i="144" s="1"/>
  <c r="O43" i="144" s="1"/>
  <c r="O44" i="144" s="1"/>
  <c r="O45" i="144" s="1"/>
  <c r="O46" i="144" s="1"/>
  <c r="O47" i="144" s="1"/>
  <c r="O48" i="144" s="1"/>
  <c r="O49" i="144" s="1"/>
  <c r="O50" i="144" s="1"/>
  <c r="O51" i="144" s="1"/>
  <c r="O52" i="144" s="1"/>
  <c r="O53" i="144" s="1"/>
  <c r="O54" i="144" s="1"/>
  <c r="O55" i="144" s="1"/>
  <c r="O56" i="144" s="1"/>
  <c r="O57" i="144" s="1"/>
  <c r="O58" i="144" s="1"/>
  <c r="O59" i="144" s="1"/>
  <c r="O60" i="144" s="1"/>
  <c r="O61" i="144" s="1"/>
  <c r="O62" i="144" s="1"/>
  <c r="O63" i="144" s="1"/>
  <c r="O64" i="144" s="1"/>
  <c r="O65" i="144" s="1"/>
  <c r="O66" i="144" s="1"/>
  <c r="O67" i="144" s="1"/>
  <c r="O68" i="144" s="1"/>
  <c r="O69" i="144" s="1"/>
  <c r="O70" i="144" s="1"/>
  <c r="O71" i="144" s="1"/>
  <c r="O72" i="144" s="1"/>
  <c r="O73" i="144" s="1"/>
  <c r="O74" i="144" s="1"/>
  <c r="O75" i="144" s="1"/>
  <c r="O76" i="144" s="1"/>
  <c r="O77" i="144" s="1"/>
  <c r="O78" i="144" s="1"/>
  <c r="O79" i="144" s="1"/>
  <c r="O80" i="144" s="1"/>
  <c r="O81" i="144" s="1"/>
  <c r="O82" i="144" s="1"/>
  <c r="O83" i="144" s="1"/>
  <c r="O84" i="144" s="1"/>
  <c r="O85" i="144" s="1"/>
  <c r="O86" i="144" s="1"/>
  <c r="O87" i="144" s="1"/>
  <c r="O88" i="144" s="1"/>
  <c r="O89" i="144" s="1"/>
  <c r="L10" i="147" l="1"/>
  <c r="J13" i="147"/>
  <c r="J14" i="147" s="1"/>
  <c r="L7" i="147"/>
  <c r="L13" i="147" s="1"/>
  <c r="L14" i="147" s="1"/>
  <c r="K13" i="147"/>
  <c r="K14" i="147" s="1"/>
  <c r="S7" i="147" l="1"/>
  <c r="N7" i="147"/>
  <c r="O31" i="153"/>
  <c r="S31" i="153"/>
  <c r="K31" i="153"/>
  <c r="K32" i="153" s="1"/>
  <c r="K18" i="153" l="1"/>
  <c r="M32" i="153"/>
  <c r="O32" i="153" s="1"/>
  <c r="O33" i="153" s="1"/>
  <c r="O34" i="153" s="1"/>
  <c r="O35" i="153" s="1"/>
  <c r="O36" i="153" s="1"/>
  <c r="O37" i="153" s="1"/>
  <c r="O38" i="153" s="1"/>
  <c r="O39" i="153" s="1"/>
  <c r="O40" i="153" s="1"/>
  <c r="O41" i="153" s="1"/>
  <c r="O42" i="153" s="1"/>
  <c r="O43" i="153" s="1"/>
  <c r="O44" i="153" s="1"/>
  <c r="O45" i="153" s="1"/>
  <c r="O46" i="153" s="1"/>
  <c r="O47" i="153" s="1"/>
  <c r="O48" i="153" s="1"/>
  <c r="O49" i="153" s="1"/>
  <c r="O50" i="153" s="1"/>
  <c r="O51" i="153" s="1"/>
  <c r="O52" i="153" s="1"/>
  <c r="O53" i="153" s="1"/>
  <c r="O54" i="153" s="1"/>
  <c r="O55" i="153" s="1"/>
  <c r="O56" i="153" s="1"/>
  <c r="O57" i="153" s="1"/>
  <c r="O58" i="153" s="1"/>
  <c r="O59" i="153" s="1"/>
  <c r="O60" i="153" s="1"/>
  <c r="O61" i="153" s="1"/>
  <c r="O62" i="153" s="1"/>
  <c r="O63" i="153" s="1"/>
  <c r="O64" i="153" s="1"/>
  <c r="O65" i="153" s="1"/>
  <c r="O66" i="153" s="1"/>
  <c r="O67" i="153" s="1"/>
  <c r="O68" i="153" s="1"/>
  <c r="O69" i="153" s="1"/>
  <c r="O70" i="153" s="1"/>
  <c r="O71" i="153" s="1"/>
  <c r="O72" i="153" s="1"/>
  <c r="O73" i="153" s="1"/>
  <c r="O74" i="153" s="1"/>
  <c r="O75" i="153" s="1"/>
  <c r="O76" i="153" s="1"/>
  <c r="O77" i="153" s="1"/>
  <c r="O78" i="153" s="1"/>
  <c r="O79" i="153" s="1"/>
  <c r="O80" i="153" s="1"/>
  <c r="O81" i="153" s="1"/>
  <c r="O82" i="153" s="1"/>
  <c r="O83" i="153" s="1"/>
  <c r="O84" i="153" s="1"/>
  <c r="O85" i="153" s="1"/>
  <c r="O86" i="153" s="1"/>
  <c r="O87" i="153" s="1"/>
  <c r="O88" i="153" s="1"/>
  <c r="O89" i="153" s="1"/>
  <c r="O90" i="153" s="1"/>
  <c r="O91" i="153" s="1"/>
  <c r="O92" i="153" s="1"/>
  <c r="O93" i="153" s="1"/>
  <c r="O94" i="153" s="1"/>
  <c r="O95" i="153" s="1"/>
  <c r="N31" i="153"/>
  <c r="N32" i="153" s="1"/>
  <c r="N33" i="153" s="1"/>
  <c r="N34" i="153" s="1"/>
  <c r="N35" i="153" s="1"/>
  <c r="N36" i="153" s="1"/>
  <c r="N37" i="153" s="1"/>
  <c r="N38" i="153" s="1"/>
  <c r="N39" i="153" s="1"/>
  <c r="N40" i="153" s="1"/>
  <c r="N41" i="153" s="1"/>
  <c r="N42" i="153" s="1"/>
  <c r="N43" i="153" s="1"/>
  <c r="N44" i="153" s="1"/>
  <c r="N45" i="153" s="1"/>
  <c r="N46" i="153" s="1"/>
  <c r="N47" i="153" s="1"/>
  <c r="N48" i="153" s="1"/>
  <c r="N49" i="153" s="1"/>
  <c r="N50" i="153" s="1"/>
  <c r="N51" i="153" s="1"/>
  <c r="N52" i="153" s="1"/>
  <c r="N53" i="153" s="1"/>
  <c r="N54" i="153" s="1"/>
  <c r="N55" i="153" s="1"/>
  <c r="N56" i="153" s="1"/>
  <c r="N57" i="153" s="1"/>
  <c r="N58" i="153" s="1"/>
  <c r="N59" i="153" s="1"/>
  <c r="N60" i="153" s="1"/>
  <c r="N61" i="153" s="1"/>
  <c r="N62" i="153" s="1"/>
  <c r="N63" i="153" s="1"/>
  <c r="N64" i="153" s="1"/>
  <c r="N65" i="153" s="1"/>
  <c r="N66" i="153" s="1"/>
  <c r="N67" i="153" s="1"/>
  <c r="N68" i="153" s="1"/>
  <c r="N69" i="153" s="1"/>
  <c r="N70" i="153" s="1"/>
  <c r="N71" i="153" s="1"/>
  <c r="N72" i="153" s="1"/>
  <c r="N73" i="153" s="1"/>
  <c r="N74" i="153" s="1"/>
  <c r="N75" i="153" s="1"/>
  <c r="N76" i="153" s="1"/>
  <c r="N77" i="153" s="1"/>
  <c r="N78" i="153" s="1"/>
  <c r="N79" i="153" s="1"/>
  <c r="N80" i="153" s="1"/>
  <c r="N81" i="153" s="1"/>
  <c r="N82" i="153" s="1"/>
  <c r="N83" i="153" s="1"/>
  <c r="N84" i="153" s="1"/>
  <c r="N85" i="153" s="1"/>
  <c r="N86" i="153" s="1"/>
  <c r="N87" i="153" s="1"/>
  <c r="N88" i="153" s="1"/>
  <c r="N89" i="153" s="1"/>
  <c r="N90" i="153" s="1"/>
  <c r="N91" i="153" s="1"/>
  <c r="N92" i="153" s="1"/>
  <c r="N93" i="153" s="1"/>
  <c r="N94" i="153" s="1"/>
  <c r="N95" i="153" s="1"/>
  <c r="S32" i="153" l="1"/>
  <c r="S33" i="153" s="1"/>
  <c r="S34" i="153" s="1"/>
  <c r="S35" i="153" s="1"/>
  <c r="S36" i="153" s="1"/>
  <c r="S37" i="153" s="1"/>
  <c r="S38" i="153" s="1"/>
  <c r="S39" i="153" s="1"/>
  <c r="S40" i="153" s="1"/>
  <c r="S41" i="153" s="1"/>
  <c r="S42" i="153" s="1"/>
  <c r="S43" i="153" s="1"/>
  <c r="S44" i="153" s="1"/>
  <c r="S45" i="153" s="1"/>
  <c r="S46" i="153" s="1"/>
  <c r="S47" i="153" s="1"/>
  <c r="S48" i="153" s="1"/>
  <c r="S49" i="153" s="1"/>
  <c r="S50" i="153" s="1"/>
  <c r="S51" i="153" s="1"/>
  <c r="S52" i="153" s="1"/>
  <c r="S53" i="153" s="1"/>
  <c r="S54" i="153" s="1"/>
  <c r="S55" i="153" s="1"/>
  <c r="S56" i="153" s="1"/>
  <c r="S57" i="153" s="1"/>
  <c r="S58" i="153" s="1"/>
  <c r="S59" i="153" s="1"/>
  <c r="S60" i="153" s="1"/>
  <c r="S61" i="153" s="1"/>
  <c r="S62" i="153" s="1"/>
  <c r="S63" i="153" s="1"/>
  <c r="S64" i="153" s="1"/>
  <c r="S65" i="153" s="1"/>
  <c r="S66" i="153" s="1"/>
  <c r="S67" i="153" s="1"/>
  <c r="S68" i="153" s="1"/>
  <c r="S69" i="153" s="1"/>
  <c r="S70" i="153" s="1"/>
  <c r="S71" i="153" s="1"/>
  <c r="S72" i="153" s="1"/>
  <c r="S73" i="153" s="1"/>
  <c r="S74" i="153" s="1"/>
  <c r="S75" i="153" s="1"/>
  <c r="S76" i="153" s="1"/>
  <c r="S77" i="153" s="1"/>
  <c r="S78" i="153" s="1"/>
  <c r="S79" i="153" s="1"/>
  <c r="S80" i="153" s="1"/>
  <c r="S81" i="153" s="1"/>
  <c r="S82" i="153" s="1"/>
  <c r="S83" i="153" s="1"/>
  <c r="S84" i="153" s="1"/>
  <c r="S85" i="153" s="1"/>
  <c r="S86" i="153" s="1"/>
  <c r="S87" i="153" s="1"/>
  <c r="S88" i="153" s="1"/>
  <c r="S89" i="153" s="1"/>
  <c r="S90" i="153" s="1"/>
  <c r="S91" i="153" s="1"/>
  <c r="S92" i="153" s="1"/>
  <c r="S93" i="153" s="1"/>
  <c r="S94" i="153" s="1"/>
  <c r="S95" i="153" s="1"/>
  <c r="M18" i="153"/>
  <c r="R14" i="153" l="1"/>
  <c r="L15" i="153" s="1"/>
  <c r="W10" i="153"/>
  <c r="Q14" i="153"/>
  <c r="K15" i="153" s="1"/>
  <c r="T10" i="153" l="1"/>
  <c r="X10" i="15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1B974A-487B-4114-AF07-AB829F875E4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638E3B86-95E8-4558-947B-FF6234B3019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AE29503E-1F5F-4EE6-8586-696B172054C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E927F4B-D1B3-410B-92DD-3C47FF6546B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E7DDD5D-4CBC-40F0-8B0A-09F0A8608CD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C346EED-E6EB-4D1D-A6E1-E0AFAA5E6B7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6FD86AE-AFE5-497A-9B11-9C449F1B6B33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A4421287-170B-41E2-8240-FA1AD3AA782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5DCB729-410C-499E-982F-24418148BE8E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CA0F9B3-221E-4105-ACD7-1E8A811EB56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E55" authorId="1" shapeId="0" xr:uid="{5DD98C90-1A37-4595-A390-3407E13471D9}">
      <text>
        <r>
          <rPr>
            <b/>
            <sz val="9"/>
            <color indexed="81"/>
            <rFont val="돋움"/>
            <family val="3"/>
            <charset val="129"/>
          </rPr>
          <t>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누락</t>
        </r>
        <r>
          <rPr>
            <b/>
            <sz val="9"/>
            <color indexed="81"/>
            <rFont val="Tahoma"/>
            <family val="2"/>
          </rPr>
          <t xml:space="preserve"> /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번으로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사용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219B3A38-758C-40A4-8D5F-9F289A77854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0116B79-5041-4C74-8758-C85BEAD43B6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DC206888-EB1F-4C59-9B1A-7CC51240859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17126665-BBC4-410A-8A48-908B2E9FA88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A5497986-AAFF-43CF-8284-2A2EAD3F9135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F3508CD9-CCC2-405E-95A6-1EEF4F9CD69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5BF34C9E-21A3-4E74-A2B9-2C40F0BB358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612A322-12AE-47D3-B3D1-FC1FE9248ACB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41701AB-9B95-4FBF-B83F-F82F085B28B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9450310B-821A-4837-9B80-5AA95E351E6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8202627-6381-40FF-9FE9-E32C04B7C1E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253CE1B-7174-4C26-A195-ED660E92B87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0D18949-04E9-4B8E-9EAD-17EA65CA0C0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EADAC8E-ABCE-4A5A-8503-B999229C2F7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B178B63F-5D33-4594-ACD0-08F9B5D8FCDE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EFB4AB9F-0301-4D11-A918-B2F859C0443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5FD67B51-B5F6-4FD7-96A5-172A049A8A6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157B7279-091D-4B20-BD8A-ED5C2A11E775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35879E5E-DEB8-482B-8C47-113A08F1F6F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FBCDAFFA-7971-4A74-9A39-9FEDD578AE17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5AA1C3CB-7D33-4FE4-ACC0-FBBE8CE5398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BE55E13-D663-453D-AA2A-2094C1C2F27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0FF6FAA9-B5B3-4C62-B4A0-BF7DF9AC77F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7A772E7D-1DF2-45A6-9476-7124B283A1B7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04452FFE-FED3-41B4-B47B-5C46B0C0B6C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7ACF31C-B7E9-41B2-9180-84136EE10E83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C885CB0A-747D-4BE7-8B60-C555824EE4F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46FA92DB-2B9A-4975-B6DF-FF83C21F9AB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1EB35600-3314-45DB-A660-9B5101DA382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ECA23A2-2079-4143-B4B1-8EA277B038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468A55C-C238-4558-B2DC-186A48D0915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E439775C-94EA-49FD-AB25-5DDC9675E07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5462F9F-488B-471E-BE7F-791B68A675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856E786-6CAB-4514-8291-B63D26F6178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03E6A9F-9C2C-4DA4-8062-C82766C0A86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D608139-1D2A-4E43-B227-391AC3F5614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55608856-9C5F-4134-A99B-B455FF0372D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17961E69-672D-44BA-B1EB-260F9087E954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1" shapeId="0" xr:uid="{6E398463-53E7-43B5-8C86-F621D4706361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32" authorId="1" shapeId="0" xr:uid="{1DEF2F4C-8F2F-4F3A-B567-4E39903E4796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2" authorId="1" shapeId="0" xr:uid="{9E19A13F-D3B1-41D2-B67F-A9B1FF3C64E4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598B22EF-131A-4FB0-A911-EAB74266418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6ABAA447-33A3-4CD0-8120-63CD70B5268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003E95FC-BC71-4BBF-984C-931418C5EAF6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1" shapeId="0" xr:uid="{BDF56AE3-F23B-49FB-A481-79CE1B7A8393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1" authorId="1" shapeId="0" xr:uid="{98CE55B6-71AA-486D-99FC-3B32BDFFA0C8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94" authorId="1" shapeId="0" xr:uid="{6F3B2FF9-7DB0-4F1E-8501-1DEFDD6C3066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87DCA54B-A4CA-4505-B04F-E2657D8A0875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C107688-8499-4816-B7C6-A5ECB6ADB27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29BEF985-5317-4794-BE51-8427E3C90B7E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2" authorId="1" shapeId="0" xr:uid="{9340577F-7F22-4DB8-BA6C-A935BC601E98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2" authorId="1" shapeId="0" xr:uid="{53DD9B87-B9B3-4E98-BA9C-3420DDCD3C81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93" authorId="1" shapeId="0" xr:uid="{08C648D8-E78D-41AD-A7AB-DDD775C48163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95E2802C-1EE2-4DF5-8523-B4FA3021477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F2A757F0-82B6-44B8-A981-C9CF51A4B7D0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776B9A47-9598-4E52-97C1-4D4EF57C601C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4" authorId="1" shapeId="0" xr:uid="{988C5224-D9AF-4015-83C2-DDAFA76EC208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4" authorId="1" shapeId="0" xr:uid="{8205AB20-BC45-44BE-BB2A-3D1D3D6EF393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CFD89B37-7161-4C2A-A41F-01094E81B15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87F51FED-DAB6-4EE5-BBE0-289E3B537A65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3D4CA121-7D3A-4FDD-8AA8-A438F7EDFE3B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1" shapeId="0" xr:uid="{3120C9DB-B7AB-42BB-9917-8D109B5A64C4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39" authorId="1" shapeId="0" xr:uid="{4EB32225-FD27-47E7-B0A3-106871B83A9F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88" authorId="1" shapeId="0" xr:uid="{7C7BB319-48D8-4311-A183-DF4C98BD1A7D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278C6477-7360-4E06-9E75-0B593ED002C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23B00BBC-5E48-4F0F-8154-BF92E781C34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5D61E4B2-586F-408B-866A-74A1F3ECEB57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1" shapeId="0" xr:uid="{EF8898D8-8404-4F16-AB63-88DCAD3B446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1" authorId="1" shapeId="0" xr:uid="{0D0FCC17-5B8F-4847-A843-1DF03AC12F11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92" authorId="1" shapeId="0" xr:uid="{A91F300A-8958-4CC6-BF29-E3AB0EC2F932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4419AA98-B866-409A-A471-442E4C25DC0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4AA803EA-307A-47C2-A82D-17F81D7EF597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8" authorId="1" shapeId="0" xr:uid="{B5074175-AC9C-4082-9DAE-5558742BF398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1" authorId="1" shapeId="0" xr:uid="{D0716F7F-64B3-4588-869B-24881C114B1E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1" authorId="1" shapeId="0" xr:uid="{78ABEE6B-B954-45C8-8899-959DD4208088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88" authorId="1" shapeId="0" xr:uid="{C695D1D5-CB43-4123-BEB2-84C967230806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1" authorId="0" shapeId="0" xr:uid="{E1378A27-C3E4-4B7A-B9A9-1ECC3B6E13E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D1B3D7D8-D75F-4537-8A77-A39EA3ECC2F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19" authorId="1" shapeId="0" xr:uid="{B35AD853-9F2B-4787-81ED-DBC036D1FA6D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1EBB67CE-454D-434D-9494-E4DDA46DA84B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5" authorId="1" shapeId="0" xr:uid="{1687E1C1-85A3-4495-8937-5E14BBBD3EB0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89" authorId="1" shapeId="0" xr:uid="{352C1805-2918-406C-B3DB-26A1E5CCF293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2" authorId="0" shapeId="0" xr:uid="{3975B2E6-65BE-4720-BFAF-A21BD478D30B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2" authorId="0" shapeId="0" xr:uid="{F38517B6-63AA-4722-AFB5-3DAE260561E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2" authorId="0" shapeId="0" xr:uid="{D5FF2D30-F1A1-48D6-9132-BDC2B26368EA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20" authorId="1" shapeId="0" xr:uid="{3A65C898-6DBF-4CAF-81DD-D655F0451B7C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0" authorId="1" shapeId="0" xr:uid="{8556BF2B-27DE-4F33-80F3-76481F4EC1C7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0" authorId="1" shapeId="0" xr:uid="{BDD556D5-78C4-408F-B285-0C55D6ECC15A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98" authorId="1" shapeId="0" xr:uid="{DDFFA865-374C-420F-9860-7E7799EBEDF3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2" authorId="0" shapeId="0" xr:uid="{CD046A4F-2C64-499F-B3A4-6C65C6E636E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2" authorId="0" shapeId="0" xr:uid="{31BCED77-552D-40F1-A852-E7558B2A46D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F20" authorId="1" shapeId="0" xr:uid="{FF2803EA-B49E-4533-9686-3AC168083355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8" authorId="1" shapeId="0" xr:uid="{2A45BCEA-60A3-40A6-B14A-143A8D3F2A69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C29" authorId="1" shapeId="0" xr:uid="{0822E26A-A846-4973-AA01-C6E90479903C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39" authorId="1" shapeId="0" xr:uid="{F048BC40-CB06-4B70-8FF6-B29310765713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2" authorId="0" shapeId="0" xr:uid="{7C33144E-1E70-466B-A01E-72A70BB5B57B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2" authorId="0" shapeId="0" xr:uid="{96E892B9-2F43-4363-A900-4A7770B2269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2" authorId="0" shapeId="0" xr:uid="{B2B86392-105C-465D-81EF-E3B9C07CB55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G13" authorId="1" shapeId="0" xr:uid="{513FBA66-7B0F-44D3-A91A-91B7DDE8B5FB}">
      <text>
        <r>
          <rPr>
            <b/>
            <sz val="9"/>
            <color indexed="81"/>
            <rFont val="돋움"/>
            <family val="3"/>
            <charset val="129"/>
          </rPr>
          <t>이선희</t>
        </r>
        <r>
          <rPr>
            <b/>
            <sz val="9"/>
            <color indexed="81"/>
            <rFont val="Tahoma"/>
            <family val="2"/>
          </rPr>
          <t xml:space="preserve"> (LEE SUN HEE):</t>
        </r>
        <r>
          <rPr>
            <sz val="9"/>
            <color indexed="81"/>
            <rFont val="Tahoma"/>
            <family val="2"/>
          </rPr>
          <t xml:space="preserve">
50 / 52981010</t>
        </r>
      </text>
    </comment>
    <comment ref="M13" authorId="1" shapeId="0" xr:uid="{CA034378-CD01-4280-B96E-7B890F26B3AB}">
      <text>
        <r>
          <rPr>
            <b/>
            <sz val="9"/>
            <color indexed="81"/>
            <rFont val="돋움"/>
            <family val="3"/>
            <charset val="129"/>
          </rPr>
          <t>이선희</t>
        </r>
        <r>
          <rPr>
            <b/>
            <sz val="9"/>
            <color indexed="81"/>
            <rFont val="Tahoma"/>
            <family val="2"/>
          </rPr>
          <t xml:space="preserve"> (LEE SUN HEE):</t>
        </r>
        <r>
          <rPr>
            <sz val="9"/>
            <color indexed="81"/>
            <rFont val="Tahoma"/>
            <family val="2"/>
          </rPr>
          <t xml:space="preserve">
50 / 52981010</t>
        </r>
      </text>
    </comment>
    <comment ref="F20" authorId="1" shapeId="0" xr:uid="{E521A6C3-7B21-4C7F-AB83-3F8C42833D62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6" authorId="1" shapeId="0" xr:uid="{AC7038F1-452E-4956-A8F2-A163BA35CA0F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임대료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야근비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 3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--&gt; 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D46" authorId="1" shapeId="0" xr:uid="{C750F842-DE62-433C-A499-8549B11C6A0A}">
      <text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인출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 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) 
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</text>
    </comment>
    <comment ref="C94" authorId="1" shapeId="0" xr:uid="{2D3853A9-7AC9-4D86-AEB1-E286CC8633A6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급여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
(</t>
        </r>
        <r>
          <rPr>
            <b/>
            <sz val="9"/>
            <color indexed="81"/>
            <rFont val="돋움"/>
            <family val="3"/>
            <charset val="129"/>
          </rPr>
          <t>인건비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<sst xmlns="http://schemas.openxmlformats.org/spreadsheetml/2006/main" count="15777" uniqueCount="1706">
  <si>
    <t>3월 전도금 사용 내역</t>
    <phoneticPr fontId="4" type="noConversion"/>
  </si>
  <si>
    <t>대계정</t>
    <phoneticPr fontId="11" type="noConversion"/>
  </si>
  <si>
    <t>소계정</t>
    <phoneticPr fontId="11" type="noConversion"/>
  </si>
  <si>
    <t>금액
(RMB)</t>
    <phoneticPr fontId="11" type="noConversion"/>
  </si>
  <si>
    <t>금액
(USD)</t>
    <phoneticPr fontId="11" type="noConversion"/>
  </si>
  <si>
    <t>금액
(KRW)</t>
    <phoneticPr fontId="11" type="noConversion"/>
  </si>
  <si>
    <t>대계정</t>
    <phoneticPr fontId="11" type="noConversion"/>
  </si>
  <si>
    <t>금액
(RMB)</t>
    <phoneticPr fontId="11" type="noConversion"/>
  </si>
  <si>
    <t>금액
(USD)</t>
    <phoneticPr fontId="11" type="noConversion"/>
  </si>
  <si>
    <t>금액
(KRW)</t>
    <phoneticPr fontId="11" type="noConversion"/>
  </si>
  <si>
    <t>소모품비</t>
  </si>
  <si>
    <t>업무추진비</t>
  </si>
  <si>
    <t>일반</t>
  </si>
  <si>
    <t>여비교통비</t>
  </si>
  <si>
    <t>해외</t>
  </si>
  <si>
    <t>지급임차료</t>
  </si>
  <si>
    <t>사무실관리</t>
    <phoneticPr fontId="4" type="noConversion"/>
  </si>
  <si>
    <t>차량임차료</t>
    <phoneticPr fontId="4" type="noConversion"/>
  </si>
  <si>
    <t>차량임차료</t>
    <phoneticPr fontId="4" type="noConversion"/>
  </si>
  <si>
    <t>통신비</t>
  </si>
  <si>
    <t>기타</t>
    <phoneticPr fontId="4" type="noConversion"/>
  </si>
  <si>
    <t>해외지사비</t>
  </si>
  <si>
    <t>Total</t>
    <phoneticPr fontId="4" type="noConversion"/>
  </si>
  <si>
    <t>보증금</t>
    <phoneticPr fontId="8" type="noConversion"/>
  </si>
  <si>
    <t>날짜</t>
    <phoneticPr fontId="11" type="noConversion"/>
  </si>
  <si>
    <t>내역</t>
    <phoneticPr fontId="11" type="noConversion"/>
  </si>
  <si>
    <t>증빙번호</t>
    <phoneticPr fontId="11" type="noConversion"/>
  </si>
  <si>
    <t>대계정</t>
    <phoneticPr fontId="11" type="noConversion"/>
  </si>
  <si>
    <t>소계정</t>
    <phoneticPr fontId="11" type="noConversion"/>
  </si>
  <si>
    <t>입금</t>
    <phoneticPr fontId="11" type="noConversion"/>
  </si>
  <si>
    <t>출금</t>
    <phoneticPr fontId="11" type="noConversion"/>
  </si>
  <si>
    <t>잔액</t>
    <phoneticPr fontId="11" type="noConversion"/>
  </si>
  <si>
    <t>비고</t>
    <phoneticPr fontId="11" type="noConversion"/>
  </si>
  <si>
    <t>RMB</t>
    <phoneticPr fontId="11" type="noConversion"/>
  </si>
  <si>
    <t>USD</t>
    <phoneticPr fontId="11" type="noConversion"/>
  </si>
  <si>
    <t>USD</t>
    <phoneticPr fontId="11" type="noConversion"/>
  </si>
  <si>
    <t>RMB</t>
    <phoneticPr fontId="11" type="noConversion"/>
  </si>
  <si>
    <t>USD</t>
    <phoneticPr fontId="11" type="noConversion"/>
  </si>
  <si>
    <t xml:space="preserve">통장 일자 </t>
    <phoneticPr fontId="11" type="noConversion"/>
  </si>
  <si>
    <t>지급</t>
    <phoneticPr fontId="4" type="noConversion"/>
  </si>
  <si>
    <t>송금액</t>
    <phoneticPr fontId="11" type="noConversion"/>
  </si>
  <si>
    <t>입금</t>
    <phoneticPr fontId="4" type="noConversion"/>
  </si>
  <si>
    <t>출금</t>
    <phoneticPr fontId="11" type="noConversion"/>
  </si>
  <si>
    <t>잔액</t>
    <phoneticPr fontId="11" type="noConversion"/>
  </si>
  <si>
    <t>지급시
환율</t>
    <phoneticPr fontId="4" type="noConversion"/>
  </si>
  <si>
    <t>환산요율</t>
  </si>
  <si>
    <t>전표번호</t>
    <phoneticPr fontId="4" type="noConversion"/>
  </si>
  <si>
    <t>USD</t>
    <phoneticPr fontId="11" type="noConversion"/>
  </si>
  <si>
    <t>수수료</t>
    <phoneticPr fontId="11" type="noConversion"/>
  </si>
  <si>
    <t>RMB</t>
    <phoneticPr fontId="11" type="noConversion"/>
  </si>
  <si>
    <t>USD 입금</t>
    <phoneticPr fontId="8" type="noConversion"/>
  </si>
  <si>
    <t>은행 내역 참고</t>
  </si>
  <si>
    <t>USD-&gt;RMB 입금</t>
    <phoneticPr fontId="8" type="noConversion"/>
  </si>
  <si>
    <t>사무실 Rent Deposit비용 선 지불 건</t>
    <phoneticPr fontId="8" type="noConversion"/>
  </si>
  <si>
    <t>사무실 Rent Deposit 잔액</t>
    <phoneticPr fontId="8" type="noConversion"/>
  </si>
  <si>
    <t>이자</t>
    <phoneticPr fontId="8" type="noConversion"/>
  </si>
  <si>
    <t>Deposit 입금</t>
    <phoneticPr fontId="8" type="noConversion"/>
  </si>
  <si>
    <t>USD 입금</t>
    <phoneticPr fontId="8" type="noConversion"/>
  </si>
  <si>
    <t>사무실 명판 제작 금액</t>
    <phoneticPr fontId="8" type="noConversion"/>
  </si>
  <si>
    <t>첨부 영수증 참고</t>
    <phoneticPr fontId="8" type="noConversion"/>
  </si>
  <si>
    <t>잡이익</t>
    <phoneticPr fontId="3" type="noConversion"/>
  </si>
  <si>
    <t>계약서, 영수증 차월 제공</t>
    <phoneticPr fontId="8" type="noConversion"/>
  </si>
  <si>
    <t>해외지사비</t>
    <phoneticPr fontId="8" type="noConversion"/>
  </si>
  <si>
    <t>송금 수수료</t>
    <phoneticPr fontId="8" type="noConversion"/>
  </si>
  <si>
    <t>해외지사비</t>
    <phoneticPr fontId="8" type="noConversion"/>
  </si>
  <si>
    <t>기존 잔고</t>
    <phoneticPr fontId="3" type="noConversion"/>
  </si>
  <si>
    <t xml:space="preserve">사무실 Rent 비용 </t>
    <phoneticPr fontId="8" type="noConversion"/>
  </si>
  <si>
    <t>사무실 Rent 비용</t>
    <phoneticPr fontId="8" type="noConversion"/>
  </si>
  <si>
    <t>보증금</t>
    <phoneticPr fontId="8" type="noConversion"/>
  </si>
  <si>
    <t>보증금</t>
    <phoneticPr fontId="3" type="noConversion"/>
  </si>
  <si>
    <t>주택 지원비</t>
    <phoneticPr fontId="8" type="noConversion"/>
  </si>
  <si>
    <t>신순연 책임 주택 지원금</t>
    <phoneticPr fontId="3" type="noConversion"/>
  </si>
  <si>
    <t>잡이익</t>
    <phoneticPr fontId="3" type="noConversion"/>
  </si>
  <si>
    <r>
      <t>U</t>
    </r>
    <r>
      <rPr>
        <sz val="10"/>
        <color indexed="9"/>
        <rFont val="맑은 고딕"/>
        <family val="3"/>
        <charset val="129"/>
        <scheme val="minor"/>
      </rPr>
      <t>SD</t>
    </r>
    <phoneticPr fontId="11" type="noConversion"/>
  </si>
  <si>
    <t>3/28 송금 환율(1218.3)</t>
    <phoneticPr fontId="8" type="noConversion"/>
  </si>
  <si>
    <t>지급임차료</t>
    <phoneticPr fontId="8" type="noConversion"/>
  </si>
  <si>
    <t>사무실</t>
    <phoneticPr fontId="3" type="noConversion"/>
  </si>
  <si>
    <t>해외지사비</t>
    <phoneticPr fontId="8" type="noConversion"/>
  </si>
  <si>
    <t>3/28 보증금 입금(1234.5)</t>
    <phoneticPr fontId="8" type="noConversion"/>
  </si>
  <si>
    <t>4월 20일</t>
    <phoneticPr fontId="8" type="noConversion"/>
  </si>
  <si>
    <t>4월 24일</t>
    <phoneticPr fontId="8" type="noConversion"/>
  </si>
  <si>
    <t>4월 사무실 Rent비</t>
  </si>
  <si>
    <t>3~4월 사무실 관리비 미납 금액</t>
  </si>
  <si>
    <t>전화기</t>
  </si>
  <si>
    <t>Hot Pot</t>
  </si>
  <si>
    <t>A4용지 및 생수 등</t>
  </si>
  <si>
    <t>냉장고</t>
  </si>
  <si>
    <t>빈프로젝트 및 막 &amp; 막 설치</t>
  </si>
  <si>
    <t>회의실 Table</t>
  </si>
  <si>
    <t>의자</t>
  </si>
  <si>
    <t>모니터(3대)</t>
  </si>
  <si>
    <t>Print기</t>
  </si>
  <si>
    <t>작은 책장</t>
  </si>
  <si>
    <t>3~4월 사무실 관리비 미납 금액</t>
    <phoneticPr fontId="8" type="noConversion"/>
  </si>
  <si>
    <t>전화기</t>
    <phoneticPr fontId="8" type="noConversion"/>
  </si>
  <si>
    <t>Hot Pot</t>
    <phoneticPr fontId="8" type="noConversion"/>
  </si>
  <si>
    <t>A4용지 및 생수 등</t>
    <phoneticPr fontId="8" type="noConversion"/>
  </si>
  <si>
    <t>냉장고</t>
    <phoneticPr fontId="8" type="noConversion"/>
  </si>
  <si>
    <t>빈프로젝트 및 막 &amp; 막 설치</t>
    <phoneticPr fontId="8" type="noConversion"/>
  </si>
  <si>
    <t>회의실 Table</t>
    <phoneticPr fontId="8" type="noConversion"/>
  </si>
  <si>
    <t>의자</t>
    <phoneticPr fontId="8" type="noConversion"/>
  </si>
  <si>
    <t>모니터(3대)</t>
    <phoneticPr fontId="8" type="noConversion"/>
  </si>
  <si>
    <t>Print기</t>
    <phoneticPr fontId="8" type="noConversion"/>
  </si>
  <si>
    <t>작은 책장</t>
    <phoneticPr fontId="8" type="noConversion"/>
  </si>
  <si>
    <t>4월 사무실 Rent비_3/10 송금</t>
    <phoneticPr fontId="8" type="noConversion"/>
  </si>
  <si>
    <t>지급임차료</t>
    <phoneticPr fontId="3" type="noConversion"/>
  </si>
  <si>
    <t>사무실관리</t>
    <phoneticPr fontId="3" type="noConversion"/>
  </si>
  <si>
    <t>해외지사비</t>
    <phoneticPr fontId="3" type="noConversion"/>
  </si>
  <si>
    <t>4월 사무실 Rent비_3/28 보증금 송금</t>
    <phoneticPr fontId="8" type="noConversion"/>
  </si>
  <si>
    <t>3/10 송금 환율(1234.5)</t>
    <phoneticPr fontId="8" type="noConversion"/>
  </si>
  <si>
    <t>3/28 송금 환율(1218.3)</t>
    <phoneticPr fontId="8" type="noConversion"/>
  </si>
  <si>
    <t>4월 전도금 사용 내역</t>
    <phoneticPr fontId="4" type="noConversion"/>
  </si>
  <si>
    <t xml:space="preserve">4월 환율 차이 </t>
    <phoneticPr fontId="3" type="noConversion"/>
  </si>
  <si>
    <t>기존통장 5월 외화송금</t>
    <phoneticPr fontId="3" type="noConversion"/>
  </si>
  <si>
    <t>송금수수료</t>
    <phoneticPr fontId="3" type="noConversion"/>
  </si>
  <si>
    <t>은행 수수료</t>
    <phoneticPr fontId="3" type="noConversion"/>
  </si>
  <si>
    <t>통신비</t>
    <phoneticPr fontId="3" type="noConversion"/>
  </si>
  <si>
    <r>
      <t xml:space="preserve">사무실 </t>
    </r>
    <r>
      <rPr>
        <sz val="10"/>
        <color theme="1"/>
        <rFont val="맑은 고딕"/>
        <family val="3"/>
        <charset val="129"/>
        <scheme val="minor"/>
      </rPr>
      <t>Wifi비용(3월)</t>
    </r>
    <phoneticPr fontId="3" type="noConversion"/>
  </si>
  <si>
    <r>
      <t xml:space="preserve">사무실 </t>
    </r>
    <r>
      <rPr>
        <sz val="10"/>
        <color theme="1"/>
        <rFont val="맑은 고딕"/>
        <family val="3"/>
        <charset val="129"/>
        <scheme val="minor"/>
      </rPr>
      <t>Wifi비용(4월)</t>
    </r>
    <phoneticPr fontId="3" type="noConversion"/>
  </si>
  <si>
    <r>
      <t>사무실 물</t>
    </r>
    <r>
      <rPr>
        <sz val="10"/>
        <color theme="1"/>
        <rFont val="맑은 고딕"/>
        <family val="3"/>
        <charset val="129"/>
        <scheme val="minor"/>
      </rPr>
      <t>/전기/에어컨 비용(4월)</t>
    </r>
    <phoneticPr fontId="3" type="noConversion"/>
  </si>
  <si>
    <r>
      <t xml:space="preserve">인터넷 </t>
    </r>
    <r>
      <rPr>
        <sz val="10"/>
        <color theme="1"/>
        <rFont val="맑은 고딕"/>
        <family val="3"/>
        <charset val="129"/>
        <scheme val="minor"/>
      </rPr>
      <t>Recruiting비용</t>
    </r>
    <phoneticPr fontId="3" type="noConversion"/>
  </si>
  <si>
    <t>사무실 비품</t>
    <phoneticPr fontId="3" type="noConversion"/>
  </si>
  <si>
    <r>
      <t>C</t>
    </r>
    <r>
      <rPr>
        <sz val="10"/>
        <color theme="1"/>
        <rFont val="맑은 고딕"/>
        <family val="3"/>
        <charset val="129"/>
        <scheme val="minor"/>
      </rPr>
      <t>SOT T2, T6 출입증 신청 비용</t>
    </r>
    <phoneticPr fontId="3" type="noConversion"/>
  </si>
  <si>
    <t>프린트 비용 및 프린트 설치 비용</t>
    <phoneticPr fontId="3" type="noConversion"/>
  </si>
  <si>
    <t>택배비</t>
    <phoneticPr fontId="3" type="noConversion"/>
  </si>
  <si>
    <t>업무추진비</t>
    <phoneticPr fontId="3" type="noConversion"/>
  </si>
  <si>
    <t>은행 수수료</t>
    <phoneticPr fontId="3" type="noConversion"/>
  </si>
  <si>
    <t>시내교통비</t>
    <phoneticPr fontId="3" type="noConversion"/>
  </si>
  <si>
    <r>
      <t>업무추진비-</t>
    </r>
    <r>
      <rPr>
        <sz val="10"/>
        <color theme="1"/>
        <rFont val="맑은 고딕"/>
        <family val="3"/>
        <charset val="129"/>
        <scheme val="minor"/>
      </rPr>
      <t>csot coffee shop</t>
    </r>
    <phoneticPr fontId="3" type="noConversion"/>
  </si>
  <si>
    <t>인증서</t>
    <phoneticPr fontId="3" type="noConversion"/>
  </si>
  <si>
    <t>주재원 대행 수수료</t>
    <phoneticPr fontId="3" type="noConversion"/>
  </si>
  <si>
    <t>주재원 5대보험</t>
    <phoneticPr fontId="3" type="noConversion"/>
  </si>
  <si>
    <t>주재원 수당</t>
    <phoneticPr fontId="3" type="noConversion"/>
  </si>
  <si>
    <t>주재원 개인소득세</t>
    <phoneticPr fontId="3" type="noConversion"/>
  </si>
  <si>
    <t>주재원 주택 수당</t>
    <phoneticPr fontId="3" type="noConversion"/>
  </si>
  <si>
    <t>OTP 도구 비용</t>
    <phoneticPr fontId="3" type="noConversion"/>
  </si>
  <si>
    <t>사무실 청소비(5월)_3월 환율</t>
    <phoneticPr fontId="3" type="noConversion"/>
  </si>
  <si>
    <t>사무실 청소비(5월)_5월 환율</t>
    <phoneticPr fontId="3" type="noConversion"/>
  </si>
  <si>
    <t>해외지사비</t>
    <phoneticPr fontId="3" type="noConversion"/>
  </si>
  <si>
    <t>통신비</t>
    <phoneticPr fontId="3" type="noConversion"/>
  </si>
  <si>
    <t>기타</t>
    <phoneticPr fontId="3" type="noConversion"/>
  </si>
  <si>
    <t>5월 전도금 사용 내역</t>
    <phoneticPr fontId="4" type="noConversion"/>
  </si>
  <si>
    <t>3/28 보증금 입금(1,274.6)</t>
    <phoneticPr fontId="8" type="noConversion"/>
  </si>
  <si>
    <t xml:space="preserve">신규 인력 채용 </t>
    <phoneticPr fontId="3" type="noConversion"/>
  </si>
  <si>
    <t>업무추진비</t>
    <phoneticPr fontId="3" type="noConversion"/>
  </si>
  <si>
    <t>일반</t>
    <phoneticPr fontId="3" type="noConversion"/>
  </si>
  <si>
    <t>여비교통비</t>
    <phoneticPr fontId="3" type="noConversion"/>
  </si>
  <si>
    <t>해외</t>
    <phoneticPr fontId="3" type="noConversion"/>
  </si>
  <si>
    <t>3/28 송금 환율(1218.3)</t>
    <phoneticPr fontId="8" type="noConversion"/>
  </si>
  <si>
    <t>날짜</t>
    <phoneticPr fontId="11" type="noConversion"/>
  </si>
  <si>
    <t>내역</t>
    <phoneticPr fontId="11" type="noConversion"/>
  </si>
  <si>
    <t>증빙번호</t>
    <phoneticPr fontId="11" type="noConversion"/>
  </si>
  <si>
    <t>대계정</t>
    <phoneticPr fontId="11" type="noConversion"/>
  </si>
  <si>
    <t>소계정</t>
    <phoneticPr fontId="11" type="noConversion"/>
  </si>
  <si>
    <t>입금</t>
    <phoneticPr fontId="11" type="noConversion"/>
  </si>
  <si>
    <t>출금</t>
    <phoneticPr fontId="11" type="noConversion"/>
  </si>
  <si>
    <t>RMB</t>
    <phoneticPr fontId="11" type="noConversion"/>
  </si>
  <si>
    <t>USD</t>
    <phoneticPr fontId="11" type="noConversion"/>
  </si>
  <si>
    <t>기존 잔고</t>
    <phoneticPr fontId="3" type="noConversion"/>
  </si>
  <si>
    <t>잡이익</t>
    <phoneticPr fontId="3" type="noConversion"/>
  </si>
  <si>
    <t>USD 입금</t>
    <phoneticPr fontId="8" type="noConversion"/>
  </si>
  <si>
    <t>송금 수수료</t>
    <phoneticPr fontId="8" type="noConversion"/>
  </si>
  <si>
    <t>해외지사비</t>
    <phoneticPr fontId="8" type="noConversion"/>
  </si>
  <si>
    <t>사무실 Rent Deposit비용 선 지불 건</t>
    <phoneticPr fontId="8" type="noConversion"/>
  </si>
  <si>
    <t>계약서, 영수증 차월 제공</t>
    <phoneticPr fontId="8" type="noConversion"/>
  </si>
  <si>
    <t>보증금</t>
    <phoneticPr fontId="8" type="noConversion"/>
  </si>
  <si>
    <t>사무실 Rent Deposit 잔액</t>
    <phoneticPr fontId="8" type="noConversion"/>
  </si>
  <si>
    <t xml:space="preserve">사무실 Rent 비용 </t>
    <phoneticPr fontId="8" type="noConversion"/>
  </si>
  <si>
    <t>지급임차료</t>
    <phoneticPr fontId="8" type="noConversion"/>
  </si>
  <si>
    <t>사무실</t>
    <phoneticPr fontId="3" type="noConversion"/>
  </si>
  <si>
    <t>이자</t>
    <phoneticPr fontId="8" type="noConversion"/>
  </si>
  <si>
    <t>Deposit 입금</t>
    <phoneticPr fontId="8" type="noConversion"/>
  </si>
  <si>
    <t>주택 지원비</t>
    <phoneticPr fontId="8" type="noConversion"/>
  </si>
  <si>
    <t>사무실 명판 제작 금액</t>
    <phoneticPr fontId="8" type="noConversion"/>
  </si>
  <si>
    <t>첨부 영수증 참고</t>
    <phoneticPr fontId="8" type="noConversion"/>
  </si>
  <si>
    <t>4/10 송금 환율(1,274.6)</t>
    <phoneticPr fontId="8" type="noConversion"/>
  </si>
  <si>
    <t>3/10 송금 환율(1234.5)</t>
    <phoneticPr fontId="8" type="noConversion"/>
  </si>
  <si>
    <t>가구류</t>
    <phoneticPr fontId="4" type="noConversion"/>
  </si>
  <si>
    <t>기타집기</t>
    <phoneticPr fontId="4" type="noConversion"/>
  </si>
  <si>
    <t>보증금</t>
    <phoneticPr fontId="3" type="noConversion"/>
  </si>
  <si>
    <t>사무실임차료</t>
    <phoneticPr fontId="4" type="noConversion"/>
  </si>
  <si>
    <t>4월 사무실 Rent비_3/28 송금</t>
    <phoneticPr fontId="8" type="noConversion"/>
  </si>
  <si>
    <t>은행계좌</t>
    <phoneticPr fontId="3" type="noConversion"/>
  </si>
  <si>
    <t>통장내역</t>
    <phoneticPr fontId="3" type="noConversion"/>
  </si>
  <si>
    <t>사무실운영비</t>
    <phoneticPr fontId="3" type="noConversion"/>
  </si>
  <si>
    <t>택배</t>
    <phoneticPr fontId="3" type="noConversion"/>
  </si>
  <si>
    <t>사무비품</t>
    <phoneticPr fontId="3" type="noConversion"/>
  </si>
  <si>
    <t>청소비</t>
    <phoneticPr fontId="3" type="noConversion"/>
  </si>
  <si>
    <t>신순연</t>
    <phoneticPr fontId="3" type="noConversion"/>
  </si>
  <si>
    <t>사무실 Wifi</t>
    <phoneticPr fontId="3" type="noConversion"/>
  </si>
  <si>
    <t>수신인 잘못 송금 내역 입금처리</t>
    <phoneticPr fontId="3" type="noConversion"/>
  </si>
  <si>
    <t>중고차-&gt;신차로 계약변경에 따른 차액 납부</t>
    <phoneticPr fontId="3" type="noConversion"/>
  </si>
  <si>
    <t>입금</t>
    <phoneticPr fontId="3" type="noConversion"/>
  </si>
  <si>
    <t>이자 입금</t>
    <phoneticPr fontId="3" type="noConversion"/>
  </si>
  <si>
    <t>은행 수수료</t>
    <phoneticPr fontId="3" type="noConversion"/>
  </si>
  <si>
    <t>5월 사무실 Rent비</t>
    <phoneticPr fontId="3" type="noConversion"/>
  </si>
  <si>
    <t>6월 사무실 Rent비</t>
    <phoneticPr fontId="3" type="noConversion"/>
  </si>
  <si>
    <t>사무실 에어컨 및 전기/물 비용</t>
    <phoneticPr fontId="3" type="noConversion"/>
  </si>
  <si>
    <t>2021년 개인소득세 추가 납부(신순연)</t>
    <phoneticPr fontId="3" type="noConversion"/>
  </si>
  <si>
    <t>차량 Rent비 잘 못 입금</t>
    <phoneticPr fontId="3" type="noConversion"/>
  </si>
  <si>
    <t>시내교통비</t>
    <phoneticPr fontId="3" type="noConversion"/>
  </si>
  <si>
    <t>통신비</t>
    <phoneticPr fontId="3" type="noConversion"/>
  </si>
  <si>
    <r>
      <t xml:space="preserve">차량 </t>
    </r>
    <r>
      <rPr>
        <sz val="10"/>
        <color theme="1"/>
        <rFont val="맑은 고딕"/>
        <family val="3"/>
        <charset val="129"/>
        <scheme val="minor"/>
      </rPr>
      <t>Rent비 잘 못 입금 부분 환금</t>
    </r>
    <phoneticPr fontId="3" type="noConversion"/>
  </si>
  <si>
    <t>차량 Rent비 1차</t>
    <phoneticPr fontId="3" type="noConversion"/>
  </si>
  <si>
    <t>차량 Rent비 차액 추가 납부</t>
    <phoneticPr fontId="3" type="noConversion"/>
  </si>
  <si>
    <t>주재원 대행 수수료</t>
    <phoneticPr fontId="3" type="noConversion"/>
  </si>
  <si>
    <t>주재원 수당</t>
    <phoneticPr fontId="3" type="noConversion"/>
  </si>
  <si>
    <t>주재원 개인소득세</t>
    <phoneticPr fontId="3" type="noConversion"/>
  </si>
  <si>
    <t>주재원 주택 수당</t>
    <phoneticPr fontId="3" type="noConversion"/>
  </si>
  <si>
    <t>은행 수수료</t>
    <phoneticPr fontId="3" type="noConversion"/>
  </si>
  <si>
    <t>신순연</t>
    <phoneticPr fontId="3" type="noConversion"/>
  </si>
  <si>
    <t>김명관</t>
    <phoneticPr fontId="3" type="noConversion"/>
  </si>
  <si>
    <t>주재원 5대보험_5월</t>
    <phoneticPr fontId="3" type="noConversion"/>
  </si>
  <si>
    <t>주재원 5대보험_6월</t>
    <phoneticPr fontId="3" type="noConversion"/>
  </si>
  <si>
    <t>송금수수료</t>
    <phoneticPr fontId="3" type="noConversion"/>
  </si>
  <si>
    <t>해외지사비</t>
    <phoneticPr fontId="3" type="noConversion"/>
  </si>
  <si>
    <t>지급임차료</t>
    <phoneticPr fontId="3" type="noConversion"/>
  </si>
  <si>
    <t>사무실관리</t>
    <phoneticPr fontId="3" type="noConversion"/>
  </si>
  <si>
    <t>중연-4.5월 기장비</t>
    <phoneticPr fontId="3" type="noConversion"/>
  </si>
  <si>
    <t>중연-22년 사무용품비</t>
    <phoneticPr fontId="3" type="noConversion"/>
  </si>
  <si>
    <t>중연-취업비자</t>
    <phoneticPr fontId="3" type="noConversion"/>
  </si>
  <si>
    <t>중연-세무국방문(세무승인)</t>
    <phoneticPr fontId="3" type="noConversion"/>
  </si>
  <si>
    <t>중연-실비(도장)</t>
    <phoneticPr fontId="3" type="noConversion"/>
  </si>
  <si>
    <t>여비교통비</t>
    <phoneticPr fontId="3" type="noConversion"/>
  </si>
  <si>
    <t>해외</t>
    <phoneticPr fontId="3" type="noConversion"/>
  </si>
  <si>
    <t>통신비</t>
    <phoneticPr fontId="3" type="noConversion"/>
  </si>
  <si>
    <t>차량임차료</t>
  </si>
  <si>
    <t>차량임차료</t>
    <phoneticPr fontId="3" type="noConversion"/>
  </si>
  <si>
    <t>16,000 수신인 잘못 송금 -&gt; 이후 재입금으로 내용 삭제 하였으나 수수료 발생</t>
    <phoneticPr fontId="3" type="noConversion"/>
  </si>
  <si>
    <t>5/10 송금 환율(1,274.6)</t>
    <phoneticPr fontId="8" type="noConversion"/>
  </si>
  <si>
    <t>6/10 송금 환율(1,257.6)</t>
    <phoneticPr fontId="8" type="noConversion"/>
  </si>
  <si>
    <t>6월 전도금 사용 내역</t>
    <phoneticPr fontId="4" type="noConversion"/>
  </si>
  <si>
    <t>입금</t>
    <phoneticPr fontId="8" type="noConversion"/>
  </si>
  <si>
    <t>사무실 운영세금(4,5,6월분 7월 납부)</t>
    <phoneticPr fontId="8" type="noConversion"/>
  </si>
  <si>
    <t>주재원 주택 Deposit 2개월 분(김명관)</t>
    <phoneticPr fontId="8" type="noConversion"/>
  </si>
  <si>
    <t>사무실 에어컨 및 전기/물 비용</t>
    <phoneticPr fontId="8" type="noConversion"/>
  </si>
  <si>
    <t>사무실 운영비(T2/T6출입증 신청, 사무비품 등)</t>
    <phoneticPr fontId="8" type="noConversion"/>
  </si>
  <si>
    <t>시내교통비(pan shi qiang)</t>
    <phoneticPr fontId="8" type="noConversion"/>
  </si>
  <si>
    <t>업무추진비</t>
    <phoneticPr fontId="8" type="noConversion"/>
  </si>
  <si>
    <t>시내교통비(신순연)</t>
    <phoneticPr fontId="8" type="noConversion"/>
  </si>
  <si>
    <t>사무실 임대료</t>
    <phoneticPr fontId="8" type="noConversion"/>
  </si>
  <si>
    <t>차량 Rent비</t>
    <phoneticPr fontId="8" type="noConversion"/>
  </si>
  <si>
    <t>세무대행비</t>
    <phoneticPr fontId="8" type="noConversion"/>
  </si>
  <si>
    <t>김명관 통신비</t>
    <phoneticPr fontId="8" type="noConversion"/>
  </si>
  <si>
    <t>업무추진비(6월분)</t>
    <phoneticPr fontId="8" type="noConversion"/>
  </si>
  <si>
    <t>여비교통비(김명관 책임 7월 호텔 투숙비)</t>
    <phoneticPr fontId="8" type="noConversion"/>
  </si>
  <si>
    <t>주재원 5대보험</t>
    <phoneticPr fontId="3" type="noConversion"/>
  </si>
  <si>
    <t>신순연</t>
    <phoneticPr fontId="8" type="noConversion"/>
  </si>
  <si>
    <t>김명관책임 건강검진</t>
    <phoneticPr fontId="3" type="noConversion"/>
  </si>
  <si>
    <t>김명관책임 비자발급</t>
    <phoneticPr fontId="3" type="noConversion"/>
  </si>
  <si>
    <t>은행수수료</t>
    <phoneticPr fontId="3" type="noConversion"/>
  </si>
  <si>
    <t>주차비</t>
    <phoneticPr fontId="8" type="noConversion"/>
  </si>
  <si>
    <t>톨비</t>
    <phoneticPr fontId="3" type="noConversion"/>
  </si>
  <si>
    <t>주유비</t>
    <phoneticPr fontId="3" type="noConversion"/>
  </si>
  <si>
    <t>사무실운영비(명함)</t>
    <phoneticPr fontId="3" type="noConversion"/>
  </si>
  <si>
    <t>사무실운영비(택배비)</t>
    <phoneticPr fontId="3" type="noConversion"/>
  </si>
  <si>
    <t>사무실운영비(청소비)</t>
    <phoneticPr fontId="3" type="noConversion"/>
  </si>
  <si>
    <t>사무실 운영비(print설치비)</t>
    <phoneticPr fontId="8" type="noConversion"/>
  </si>
  <si>
    <t>통신비(신순연)</t>
    <phoneticPr fontId="3" type="noConversion"/>
  </si>
  <si>
    <t>통신비(사무실 wifi비)</t>
    <phoneticPr fontId="3" type="noConversion"/>
  </si>
  <si>
    <t>▶ 업무추진비 사용 내역</t>
  </si>
  <si>
    <t>NO</t>
  </si>
  <si>
    <t>정산일자</t>
  </si>
  <si>
    <t>사용일자</t>
  </si>
  <si>
    <t>사용처</t>
  </si>
  <si>
    <t>사용금액</t>
  </si>
  <si>
    <t>사용목적(상세 기재)</t>
  </si>
  <si>
    <t>고객명</t>
  </si>
  <si>
    <t>RMB</t>
  </si>
  <si>
    <t>동부</t>
  </si>
  <si>
    <t>심천 한 식당</t>
    <phoneticPr fontId="8" type="noConversion"/>
  </si>
  <si>
    <t>심천 중 식당</t>
    <phoneticPr fontId="8" type="noConversion"/>
  </si>
  <si>
    <t>CSOT</t>
    <phoneticPr fontId="8" type="noConversion"/>
  </si>
  <si>
    <t>사무실 운영세금(4,5,6월분 7월 납부)_7월 환율</t>
    <phoneticPr fontId="8" type="noConversion"/>
  </si>
  <si>
    <t>7/10 송금 환율(1,299.3)</t>
    <phoneticPr fontId="8" type="noConversion"/>
  </si>
  <si>
    <t>사무실 운영세금(4,5,6월분 7월 납부)_6월 환율</t>
    <phoneticPr fontId="8" type="noConversion"/>
  </si>
  <si>
    <t>해외지사비</t>
    <phoneticPr fontId="3" type="noConversion"/>
  </si>
  <si>
    <t>보증금</t>
    <phoneticPr fontId="3" type="noConversion"/>
  </si>
  <si>
    <t>여비교통비</t>
    <phoneticPr fontId="3" type="noConversion"/>
  </si>
  <si>
    <t>통신비</t>
    <phoneticPr fontId="3" type="noConversion"/>
  </si>
  <si>
    <t>기타</t>
    <phoneticPr fontId="3" type="noConversion"/>
  </si>
  <si>
    <t>업무추진비</t>
    <phoneticPr fontId="3" type="noConversion"/>
  </si>
  <si>
    <t>일반</t>
    <phoneticPr fontId="3" type="noConversion"/>
  </si>
  <si>
    <t>지급임차료</t>
    <phoneticPr fontId="3" type="noConversion"/>
  </si>
  <si>
    <t>차량임차료</t>
    <phoneticPr fontId="3" type="noConversion"/>
  </si>
  <si>
    <t>사무실관리</t>
    <phoneticPr fontId="3" type="noConversion"/>
  </si>
  <si>
    <t>김명관</t>
    <phoneticPr fontId="3" type="noConversion"/>
  </si>
  <si>
    <t>현채인</t>
    <phoneticPr fontId="3" type="noConversion"/>
  </si>
  <si>
    <t>송금수수료</t>
    <phoneticPr fontId="8" type="noConversion"/>
  </si>
  <si>
    <t>6/10 송금 환율(1,257.6)</t>
    <phoneticPr fontId="8" type="noConversion"/>
  </si>
  <si>
    <t>주재원 주택 Deposit 2개월 분(김명관)
영수증 Scan본상 계산 잘못 됨. (14000x2+7.2=28007.2)</t>
    <phoneticPr fontId="8" type="noConversion"/>
  </si>
  <si>
    <t>대계정</t>
    <phoneticPr fontId="8" type="noConversion"/>
  </si>
  <si>
    <t>소모품비</t>
    <phoneticPr fontId="8" type="noConversion"/>
  </si>
  <si>
    <t>업무추진비</t>
    <phoneticPr fontId="8" type="noConversion"/>
  </si>
  <si>
    <t>여비교통비</t>
    <phoneticPr fontId="8" type="noConversion"/>
  </si>
  <si>
    <t>지급임차료</t>
    <phoneticPr fontId="8" type="noConversion"/>
  </si>
  <si>
    <t>통신비</t>
    <phoneticPr fontId="8" type="noConversion"/>
  </si>
  <si>
    <t>해외지사비</t>
    <phoneticPr fontId="8" type="noConversion"/>
  </si>
  <si>
    <t>보증금</t>
    <phoneticPr fontId="8" type="noConversion"/>
  </si>
  <si>
    <t>Total</t>
    <phoneticPr fontId="8" type="noConversion"/>
  </si>
  <si>
    <t>날짜</t>
    <phoneticPr fontId="8" type="noConversion"/>
  </si>
  <si>
    <t>입금</t>
    <phoneticPr fontId="8" type="noConversion"/>
  </si>
  <si>
    <t>RMB</t>
    <phoneticPr fontId="8" type="noConversion"/>
  </si>
  <si>
    <t>7월 전도금 사용 내역</t>
    <phoneticPr fontId="8" type="noConversion"/>
  </si>
  <si>
    <t>사무실 임대료</t>
  </si>
  <si>
    <t>차량 Rent비</t>
  </si>
  <si>
    <t>세무대행비</t>
  </si>
  <si>
    <t>사무실 에어컨 및 전기/물 비용</t>
  </si>
  <si>
    <t>주차비,주유비, 톨비</t>
  </si>
  <si>
    <t>여비교통비(김명관책임 HKC출장 건)</t>
  </si>
  <si>
    <t>주택 중계비(김명관 책임)</t>
  </si>
  <si>
    <t>시내교통비(판스챵 책임)</t>
  </si>
  <si>
    <t>택배비(판스챵 책임)</t>
  </si>
  <si>
    <t>통신비(판스챵 책임)</t>
  </si>
  <si>
    <t>사무실 운영비(Print&amp;Scan, 택배, 청소, 생수7월분 등)</t>
  </si>
  <si>
    <t>여비교통비(김명관책임 ESWIN출장 건)</t>
  </si>
  <si>
    <t xml:space="preserve">7월 환율 차이 </t>
    <phoneticPr fontId="3" type="noConversion"/>
  </si>
  <si>
    <t>주차비 900, 주유비 2,063, 톨비 4</t>
    <phoneticPr fontId="8" type="noConversion"/>
  </si>
  <si>
    <t>지급임차료</t>
    <phoneticPr fontId="8" type="noConversion"/>
  </si>
  <si>
    <t>사무실관리</t>
    <phoneticPr fontId="8" type="noConversion"/>
  </si>
  <si>
    <t>차량임차료</t>
    <phoneticPr fontId="8" type="noConversion"/>
  </si>
  <si>
    <t>해외지사비</t>
    <phoneticPr fontId="3" type="noConversion"/>
  </si>
  <si>
    <t>해외</t>
    <phoneticPr fontId="8" type="noConversion"/>
  </si>
  <si>
    <t>업무추진비</t>
    <phoneticPr fontId="8" type="noConversion"/>
  </si>
  <si>
    <t>일반</t>
    <phoneticPr fontId="8" type="noConversion"/>
  </si>
  <si>
    <t>여비교통비</t>
    <phoneticPr fontId="3" type="noConversion"/>
  </si>
  <si>
    <t>통신비</t>
    <phoneticPr fontId="8" type="noConversion"/>
  </si>
  <si>
    <t>기타</t>
    <phoneticPr fontId="8" type="noConversion"/>
  </si>
  <si>
    <t>주재원 수당_7월</t>
    <phoneticPr fontId="3" type="noConversion"/>
  </si>
  <si>
    <t>주재원 수당_8월</t>
    <phoneticPr fontId="3" type="noConversion"/>
  </si>
  <si>
    <t>주재원 개인소득세</t>
    <phoneticPr fontId="3" type="noConversion"/>
  </si>
  <si>
    <t>신순연</t>
    <phoneticPr fontId="8" type="noConversion"/>
  </si>
  <si>
    <t>8월 전도금 사용 내역</t>
    <phoneticPr fontId="8" type="noConversion"/>
  </si>
  <si>
    <t xml:space="preserve">신순연 통신비 </t>
    <phoneticPr fontId="8" type="noConversion"/>
  </si>
  <si>
    <t>통신비(판스챵 책임)</t>
    <phoneticPr fontId="8" type="noConversion"/>
  </si>
  <si>
    <t>7/10 송금 환율(1,299.3)</t>
    <phoneticPr fontId="8" type="noConversion"/>
  </si>
  <si>
    <t>8/10 송금 환율(1305.1)</t>
    <phoneticPr fontId="8" type="noConversion"/>
  </si>
  <si>
    <t>사무실 에어컨 및 전기/물 비용 (1434.43 환불 예정)</t>
    <phoneticPr fontId="8" type="noConversion"/>
  </si>
  <si>
    <t>생수구입</t>
    <phoneticPr fontId="8" type="noConversion"/>
  </si>
  <si>
    <t>통신비(김명관 책임)</t>
    <phoneticPr fontId="3" type="noConversion"/>
  </si>
  <si>
    <t>은행수수료</t>
    <phoneticPr fontId="3" type="noConversion"/>
  </si>
  <si>
    <t>사무실운영비</t>
    <phoneticPr fontId="3" type="noConversion"/>
  </si>
  <si>
    <t>해외지사비</t>
    <phoneticPr fontId="3" type="noConversion"/>
  </si>
  <si>
    <t>주재원 5대보험</t>
    <phoneticPr fontId="3" type="noConversion"/>
  </si>
  <si>
    <t>주재원 개인소득세</t>
    <phoneticPr fontId="3" type="noConversion"/>
  </si>
  <si>
    <t>주재원 수당</t>
    <phoneticPr fontId="3" type="noConversion"/>
  </si>
  <si>
    <t>차량 Rent비</t>
    <phoneticPr fontId="3" type="noConversion"/>
  </si>
  <si>
    <t>차량 기사비</t>
    <phoneticPr fontId="3" type="noConversion"/>
  </si>
  <si>
    <t>주차비</t>
    <phoneticPr fontId="3" type="noConversion"/>
  </si>
  <si>
    <t>주유비</t>
    <phoneticPr fontId="3" type="noConversion"/>
  </si>
  <si>
    <t>톨비</t>
    <phoneticPr fontId="3" type="noConversion"/>
  </si>
  <si>
    <t>기사 야근비용</t>
    <phoneticPr fontId="3" type="noConversion"/>
  </si>
  <si>
    <t>세무대행비</t>
    <phoneticPr fontId="3" type="noConversion"/>
  </si>
  <si>
    <t>사무실 에어컨 및 전기/물 비용</t>
    <phoneticPr fontId="3" type="noConversion"/>
  </si>
  <si>
    <t>시내교통비(Pan shi qiang)</t>
    <phoneticPr fontId="3" type="noConversion"/>
  </si>
  <si>
    <t>해외</t>
    <phoneticPr fontId="8" type="noConversion"/>
  </si>
  <si>
    <t>IC 구입</t>
    <phoneticPr fontId="3" type="noConversion"/>
  </si>
  <si>
    <t>한국 택배비</t>
    <phoneticPr fontId="3" type="noConversion"/>
  </si>
  <si>
    <t>통신비((Pan shi qiang)</t>
    <phoneticPr fontId="3" type="noConversion"/>
  </si>
  <si>
    <t>지급임차료</t>
    <phoneticPr fontId="8" type="noConversion"/>
  </si>
  <si>
    <t>사무실임차</t>
    <phoneticPr fontId="8" type="noConversion"/>
  </si>
  <si>
    <t>차량</t>
    <phoneticPr fontId="8" type="noConversion"/>
  </si>
  <si>
    <t>여비교통비</t>
    <phoneticPr fontId="8" type="noConversion"/>
  </si>
  <si>
    <t>통신비</t>
    <phoneticPr fontId="8" type="noConversion"/>
  </si>
  <si>
    <t>기타</t>
    <phoneticPr fontId="8" type="noConversion"/>
  </si>
  <si>
    <t>9월 전도금 사용 내역</t>
    <phoneticPr fontId="8" type="noConversion"/>
  </si>
  <si>
    <t>잡이익</t>
  </si>
  <si>
    <t>주재원 5대보험</t>
    <phoneticPr fontId="3" type="noConversion"/>
  </si>
  <si>
    <t>사무실 임대료_8월</t>
    <phoneticPr fontId="3" type="noConversion"/>
  </si>
  <si>
    <t>사무실 임대료_9월</t>
    <phoneticPr fontId="3" type="noConversion"/>
  </si>
  <si>
    <t>은행수수료</t>
    <phoneticPr fontId="3" type="noConversion"/>
  </si>
  <si>
    <t>해외지사비</t>
    <phoneticPr fontId="3" type="noConversion"/>
  </si>
  <si>
    <t>예금이자</t>
    <phoneticPr fontId="3" type="noConversion"/>
  </si>
  <si>
    <t>주재원 대행 수수료</t>
    <phoneticPr fontId="3" type="noConversion"/>
  </si>
  <si>
    <t>신순연</t>
    <phoneticPr fontId="3" type="noConversion"/>
  </si>
  <si>
    <t>주재원 개인소득세</t>
    <phoneticPr fontId="3" type="noConversion"/>
  </si>
  <si>
    <t>주재원 주택 수당</t>
    <phoneticPr fontId="3" type="noConversion"/>
  </si>
  <si>
    <t>김명관</t>
    <phoneticPr fontId="3" type="noConversion"/>
  </si>
  <si>
    <t>현채인</t>
    <phoneticPr fontId="3" type="noConversion"/>
  </si>
  <si>
    <t>잡이익</t>
    <phoneticPr fontId="3" type="noConversion"/>
  </si>
  <si>
    <t>주재원 수당</t>
    <phoneticPr fontId="3" type="noConversion"/>
  </si>
  <si>
    <t>8/10 송금 환율(1305.1)</t>
    <phoneticPr fontId="8" type="noConversion"/>
  </si>
  <si>
    <t>9/10 송금 환율(1381.2)</t>
    <phoneticPr fontId="8" type="noConversion"/>
  </si>
  <si>
    <t>10월 전도금 사용 내역</t>
    <phoneticPr fontId="8" type="noConversion"/>
  </si>
  <si>
    <t>통신비(사무실 wifi비) 9, 10월</t>
    <phoneticPr fontId="3" type="noConversion"/>
  </si>
  <si>
    <t>은행수수료</t>
    <phoneticPr fontId="3" type="noConversion"/>
  </si>
  <si>
    <t>9월 사무실 관리비 중복 입금 반환 입금</t>
    <phoneticPr fontId="3" type="noConversion"/>
  </si>
  <si>
    <t>사무실 운영세금(7, 8, 9월 분)</t>
    <phoneticPr fontId="3" type="noConversion"/>
  </si>
  <si>
    <t>차량 Rent비</t>
    <phoneticPr fontId="3" type="noConversion"/>
  </si>
  <si>
    <t>차량 기사비</t>
    <phoneticPr fontId="3" type="noConversion"/>
  </si>
  <si>
    <t>기사 야근비용</t>
    <phoneticPr fontId="3" type="noConversion"/>
  </si>
  <si>
    <t>세무대행비</t>
    <phoneticPr fontId="3" type="noConversion"/>
  </si>
  <si>
    <t>사무실 에어컨 및 전기/물 비용</t>
    <phoneticPr fontId="3" type="noConversion"/>
  </si>
  <si>
    <t>신순연</t>
    <phoneticPr fontId="3" type="noConversion"/>
  </si>
  <si>
    <t>주유비, 주차비, 톨비</t>
    <phoneticPr fontId="3" type="noConversion"/>
  </si>
  <si>
    <t>주유비 1291, 주치바 900, 톨비 14</t>
    <phoneticPr fontId="3" type="noConversion"/>
  </si>
  <si>
    <t>여비교통비(Pan Shi Qiang 출장 교통비 및 숙박비)</t>
    <phoneticPr fontId="3" type="noConversion"/>
  </si>
  <si>
    <t>시내교통비(Pan Shi Qiang)</t>
    <phoneticPr fontId="3" type="noConversion"/>
  </si>
  <si>
    <t>통신비(Pan Shi Qiang)</t>
    <phoneticPr fontId="3" type="noConversion"/>
  </si>
  <si>
    <t>업무추진비(김명관 책임)</t>
    <phoneticPr fontId="3" type="noConversion"/>
  </si>
  <si>
    <r>
      <t>통신비(김명관</t>
    </r>
    <r>
      <rPr>
        <sz val="10"/>
        <color theme="1"/>
        <rFont val="맑은 고딕"/>
        <family val="3"/>
        <charset val="129"/>
        <scheme val="minor"/>
      </rPr>
      <t xml:space="preserve"> 책임)</t>
    </r>
    <phoneticPr fontId="3" type="noConversion"/>
  </si>
  <si>
    <t>청소비 9,10월</t>
    <phoneticPr fontId="3" type="noConversion"/>
  </si>
  <si>
    <t>택배</t>
    <phoneticPr fontId="3" type="noConversion"/>
  </si>
  <si>
    <t>Print 및 Scan비</t>
    <phoneticPr fontId="3" type="noConversion"/>
  </si>
  <si>
    <r>
      <t>사무실 운영비</t>
    </r>
    <r>
      <rPr>
        <sz val="10"/>
        <color theme="1"/>
        <rFont val="맑은 고딕"/>
        <family val="3"/>
        <charset val="129"/>
        <scheme val="minor"/>
      </rPr>
      <t>(신순연 책임 한국 등록증 연장 의뢰 비용)</t>
    </r>
    <phoneticPr fontId="3" type="noConversion"/>
  </si>
  <si>
    <r>
      <t>9월</t>
    </r>
    <r>
      <rPr>
        <sz val="10"/>
        <color theme="1"/>
        <rFont val="맑은 고딕"/>
        <family val="3"/>
        <charset val="129"/>
        <scheme val="minor"/>
      </rPr>
      <t xml:space="preserve"> 사무실 관리비 에어컨, 전기/물 비용</t>
    </r>
    <phoneticPr fontId="3" type="noConversion"/>
  </si>
  <si>
    <t>사무실 임대료_9월 환율</t>
    <phoneticPr fontId="3" type="noConversion"/>
  </si>
  <si>
    <t>사무실 임대료_10월 환율</t>
    <phoneticPr fontId="3" type="noConversion"/>
  </si>
  <si>
    <r>
      <t>휴가비(신순연</t>
    </r>
    <r>
      <rPr>
        <sz val="10"/>
        <color theme="1"/>
        <rFont val="맑은 고딕"/>
        <family val="3"/>
        <charset val="129"/>
        <scheme val="minor"/>
      </rPr>
      <t xml:space="preserve"> 책임, 심천 to 서월 왕복 항공권, 핵산 검사 비용 및 격리 비용)</t>
    </r>
    <phoneticPr fontId="3" type="noConversion"/>
  </si>
  <si>
    <t>지급임차료</t>
    <phoneticPr fontId="8" type="noConversion"/>
  </si>
  <si>
    <t>차량임차료</t>
    <phoneticPr fontId="3" type="noConversion"/>
  </si>
  <si>
    <t>해외지사비</t>
    <phoneticPr fontId="3" type="noConversion"/>
  </si>
  <si>
    <t>여비교통비</t>
    <phoneticPr fontId="3" type="noConversion"/>
  </si>
  <si>
    <t>해외</t>
    <phoneticPr fontId="3" type="noConversion"/>
  </si>
  <si>
    <t>통신비</t>
    <phoneticPr fontId="3" type="noConversion"/>
  </si>
  <si>
    <t>업무추진비</t>
    <phoneticPr fontId="3" type="noConversion"/>
  </si>
  <si>
    <t>기타</t>
    <phoneticPr fontId="3" type="noConversion"/>
  </si>
  <si>
    <t>4.09 추가 인출 완료</t>
    <phoneticPr fontId="3" type="noConversion"/>
  </si>
  <si>
    <t>신순연 책임 시내교통비 인출 시 발생 수수료 *교통비 재입금</t>
    <phoneticPr fontId="3" type="noConversion"/>
  </si>
  <si>
    <t>10/10 송금 환율(1,410.3)</t>
    <phoneticPr fontId="8" type="noConversion"/>
  </si>
  <si>
    <t>9/10 송금 환율(1381.2)</t>
    <phoneticPr fontId="8" type="noConversion"/>
  </si>
  <si>
    <t>USD 입금</t>
  </si>
  <si>
    <t>신순연 책임_Print 및 Sacn비용(사무실 운영비)</t>
  </si>
  <si>
    <t>사무실관리비</t>
    <phoneticPr fontId="3" type="noConversion"/>
  </si>
  <si>
    <t>주유비</t>
    <phoneticPr fontId="3" type="noConversion"/>
  </si>
  <si>
    <t>주차비</t>
    <phoneticPr fontId="3" type="noConversion"/>
  </si>
  <si>
    <t>톨비</t>
    <phoneticPr fontId="3" type="noConversion"/>
  </si>
  <si>
    <t>업무추진비</t>
    <phoneticPr fontId="3" type="noConversion"/>
  </si>
  <si>
    <t>통신비(Pan Shi Qiang 책임)</t>
    <phoneticPr fontId="3" type="noConversion"/>
  </si>
  <si>
    <t>시내교통비</t>
    <phoneticPr fontId="3" type="noConversion"/>
  </si>
  <si>
    <t>택배비용</t>
    <phoneticPr fontId="3" type="noConversion"/>
  </si>
  <si>
    <t>사무비품</t>
    <phoneticPr fontId="3" type="noConversion"/>
  </si>
  <si>
    <t>청소비</t>
    <phoneticPr fontId="3" type="noConversion"/>
  </si>
  <si>
    <t>주재원 주택 수당_10월 환율</t>
    <phoneticPr fontId="3" type="noConversion"/>
  </si>
  <si>
    <t>주재원 주택 수당_11월 환율</t>
    <phoneticPr fontId="3" type="noConversion"/>
  </si>
  <si>
    <t>해외지사비</t>
    <phoneticPr fontId="3" type="noConversion"/>
  </si>
  <si>
    <t>지급임차료</t>
    <phoneticPr fontId="3" type="noConversion"/>
  </si>
  <si>
    <t>사무실관리</t>
    <phoneticPr fontId="3" type="noConversion"/>
  </si>
  <si>
    <t>사무실 에어컨, 수도, 전기, 관리비</t>
    <phoneticPr fontId="8" type="noConversion"/>
  </si>
  <si>
    <t>여비교통비</t>
    <phoneticPr fontId="3" type="noConversion"/>
  </si>
  <si>
    <t>해외</t>
    <phoneticPr fontId="3" type="noConversion"/>
  </si>
  <si>
    <t>통신비</t>
    <phoneticPr fontId="3" type="noConversion"/>
  </si>
  <si>
    <t>업무추진비</t>
    <phoneticPr fontId="3" type="noConversion"/>
  </si>
  <si>
    <t>사무실 Internet비용</t>
    <phoneticPr fontId="3" type="noConversion"/>
  </si>
  <si>
    <t>기타</t>
    <phoneticPr fontId="3" type="noConversion"/>
  </si>
  <si>
    <t>은행수수료</t>
  </si>
  <si>
    <t>11월 전도금 사용 내역</t>
    <phoneticPr fontId="8" type="noConversion"/>
  </si>
  <si>
    <t>사무비품(생수,쓰레기봉투)</t>
    <phoneticPr fontId="3" type="noConversion"/>
  </si>
  <si>
    <t>11/10 송금 환율(1368.3)</t>
    <phoneticPr fontId="8" type="noConversion"/>
  </si>
  <si>
    <t>12월 전도금 사용 내역</t>
    <phoneticPr fontId="8" type="noConversion"/>
  </si>
  <si>
    <t>이자 입금</t>
    <phoneticPr fontId="3" type="noConversion"/>
  </si>
  <si>
    <t>신순연</t>
    <phoneticPr fontId="3" type="noConversion"/>
  </si>
  <si>
    <t>김명관</t>
    <phoneticPr fontId="3" type="noConversion"/>
  </si>
  <si>
    <t>판책임</t>
    <phoneticPr fontId="3" type="noConversion"/>
  </si>
  <si>
    <t>주재원 5대보험</t>
    <phoneticPr fontId="3" type="noConversion"/>
  </si>
  <si>
    <t>주재원 개인소득세</t>
    <phoneticPr fontId="3" type="noConversion"/>
  </si>
  <si>
    <t>주재원수당</t>
    <phoneticPr fontId="3" type="noConversion"/>
  </si>
  <si>
    <t>주택수당</t>
    <phoneticPr fontId="3" type="noConversion"/>
  </si>
  <si>
    <t>주재원 대행 수수료</t>
    <phoneticPr fontId="3" type="noConversion"/>
  </si>
  <si>
    <t>은행수수료</t>
    <phoneticPr fontId="3" type="noConversion"/>
  </si>
  <si>
    <t>사무실 임대료</t>
    <phoneticPr fontId="3" type="noConversion"/>
  </si>
  <si>
    <t>세무대행비</t>
    <phoneticPr fontId="3" type="noConversion"/>
  </si>
  <si>
    <t>차량 Rent비</t>
    <phoneticPr fontId="3" type="noConversion"/>
  </si>
  <si>
    <t>차량 기사비</t>
    <phoneticPr fontId="3" type="noConversion"/>
  </si>
  <si>
    <t>기사 야근비용</t>
    <phoneticPr fontId="3" type="noConversion"/>
  </si>
  <si>
    <t>사무실관리비</t>
    <phoneticPr fontId="3" type="noConversion"/>
  </si>
  <si>
    <t>주유비</t>
    <phoneticPr fontId="3" type="noConversion"/>
  </si>
  <si>
    <t>주차비</t>
    <phoneticPr fontId="3" type="noConversion"/>
  </si>
  <si>
    <t>톨비</t>
    <phoneticPr fontId="3" type="noConversion"/>
  </si>
  <si>
    <t>여비교통비_김명관_HKC충칭 출장건</t>
    <phoneticPr fontId="3" type="noConversion"/>
  </si>
  <si>
    <t>업무추진비_신순연</t>
    <phoneticPr fontId="3" type="noConversion"/>
  </si>
  <si>
    <t>사무실 운영비_신순연</t>
    <phoneticPr fontId="3" type="noConversion"/>
  </si>
  <si>
    <t>여비교통비_신순연_HKC충칭 출장건</t>
    <phoneticPr fontId="3" type="noConversion"/>
  </si>
  <si>
    <t>시내교통비_신순연</t>
    <phoneticPr fontId="3" type="noConversion"/>
  </si>
  <si>
    <t>사무실 Internet비용</t>
    <phoneticPr fontId="3" type="noConversion"/>
  </si>
  <si>
    <t>업무추진비_김명관</t>
    <phoneticPr fontId="3" type="noConversion"/>
  </si>
  <si>
    <t>청소비</t>
    <phoneticPr fontId="3" type="noConversion"/>
  </si>
  <si>
    <t>통신비_신순연</t>
    <phoneticPr fontId="3" type="noConversion"/>
  </si>
  <si>
    <t>사무실 에어컨, 수도, 전기, 관리비</t>
    <phoneticPr fontId="3" type="noConversion"/>
  </si>
  <si>
    <t>사무비품</t>
    <phoneticPr fontId="3" type="noConversion"/>
  </si>
  <si>
    <t>택배</t>
    <phoneticPr fontId="3" type="noConversion"/>
  </si>
  <si>
    <t>해외지사비</t>
    <phoneticPr fontId="3" type="noConversion"/>
  </si>
  <si>
    <t>주택수당_11월 환율</t>
    <phoneticPr fontId="3" type="noConversion"/>
  </si>
  <si>
    <t>사무실관리</t>
  </si>
  <si>
    <t>업무추진비</t>
    <phoneticPr fontId="3" type="noConversion"/>
  </si>
  <si>
    <t>일반</t>
    <phoneticPr fontId="3" type="noConversion"/>
  </si>
  <si>
    <t>여비교통비</t>
    <phoneticPr fontId="3" type="noConversion"/>
  </si>
  <si>
    <t>해외</t>
    <phoneticPr fontId="3" type="noConversion"/>
  </si>
  <si>
    <t>통신비</t>
    <phoneticPr fontId="3" type="noConversion"/>
  </si>
  <si>
    <t>기타</t>
    <phoneticPr fontId="3" type="noConversion"/>
  </si>
  <si>
    <t>4(영수증 다음주 Update)</t>
    <phoneticPr fontId="3" type="noConversion"/>
  </si>
  <si>
    <t>11/10 송금 환율(1368.3)</t>
    <phoneticPr fontId="8" type="noConversion"/>
  </si>
  <si>
    <t>12/10 송금 환율(1306.6)</t>
    <phoneticPr fontId="8" type="noConversion"/>
  </si>
  <si>
    <t>신순연</t>
    <phoneticPr fontId="3" type="noConversion"/>
  </si>
  <si>
    <t>업체 춘절 휴가로 인해 영수증 미확보, 차월 입수 예정</t>
    <phoneticPr fontId="3" type="noConversion"/>
  </si>
  <si>
    <t>항공료 4838, 호텔비 930</t>
    <phoneticPr fontId="3" type="noConversion"/>
  </si>
  <si>
    <t>사무실 운영세금(2022년 10월, 11월, 12월 해당)</t>
    <phoneticPr fontId="3" type="noConversion"/>
  </si>
  <si>
    <t>USD 입금 및 RMB 환전</t>
    <phoneticPr fontId="3" type="noConversion"/>
  </si>
  <si>
    <t>주재원 5대보험</t>
    <phoneticPr fontId="3" type="noConversion"/>
  </si>
  <si>
    <t>주재원 개인소득세</t>
    <phoneticPr fontId="3" type="noConversion"/>
  </si>
  <si>
    <t>주재원수당</t>
    <phoneticPr fontId="3" type="noConversion"/>
  </si>
  <si>
    <t>주택수당</t>
    <phoneticPr fontId="3" type="noConversion"/>
  </si>
  <si>
    <t>주재원 대행 수수료</t>
    <phoneticPr fontId="3" type="noConversion"/>
  </si>
  <si>
    <t>은행수수료</t>
    <phoneticPr fontId="3" type="noConversion"/>
  </si>
  <si>
    <t>사무실 임대료</t>
    <phoneticPr fontId="3" type="noConversion"/>
  </si>
  <si>
    <t>차량 Rent비</t>
    <phoneticPr fontId="3" type="noConversion"/>
  </si>
  <si>
    <t>차량 기사비</t>
    <phoneticPr fontId="3" type="noConversion"/>
  </si>
  <si>
    <t>세무대행비</t>
    <phoneticPr fontId="3" type="noConversion"/>
  </si>
  <si>
    <t>사무실 에어컨, 수도, 전기, 관리비</t>
    <phoneticPr fontId="3" type="noConversion"/>
  </si>
  <si>
    <t>주차비</t>
    <phoneticPr fontId="3" type="noConversion"/>
  </si>
  <si>
    <t>주유비</t>
    <phoneticPr fontId="3" type="noConversion"/>
  </si>
  <si>
    <t>톨비</t>
    <phoneticPr fontId="3" type="noConversion"/>
  </si>
  <si>
    <t>사무실운영비(물류비)_pan책임</t>
    <phoneticPr fontId="3" type="noConversion"/>
  </si>
  <si>
    <t>통신비_pan책임</t>
    <phoneticPr fontId="3" type="noConversion"/>
  </si>
  <si>
    <t>업무추진비_pan책임</t>
    <phoneticPr fontId="3" type="noConversion"/>
  </si>
  <si>
    <t>여비교통비_김명관_HKC H2 출장건</t>
    <phoneticPr fontId="3" type="noConversion"/>
  </si>
  <si>
    <t>업무추진비_김명관</t>
    <phoneticPr fontId="3" type="noConversion"/>
  </si>
  <si>
    <t>여비교통비_신순연</t>
    <phoneticPr fontId="3" type="noConversion"/>
  </si>
  <si>
    <t>사무실 wifi</t>
    <phoneticPr fontId="3" type="noConversion"/>
  </si>
  <si>
    <t>시내교통비_신순연</t>
    <phoneticPr fontId="3" type="noConversion"/>
  </si>
  <si>
    <t>업무추진비_신순연</t>
    <phoneticPr fontId="3" type="noConversion"/>
  </si>
  <si>
    <t>사무실 운영비(진단키트, 소독제, 택배비, 청소비)</t>
    <phoneticPr fontId="3" type="noConversion"/>
  </si>
  <si>
    <t>1월 전도금 사용 내역</t>
    <phoneticPr fontId="8" type="noConversion"/>
  </si>
  <si>
    <t>주택수당_12월 환율</t>
    <phoneticPr fontId="3" type="noConversion"/>
  </si>
  <si>
    <t>주택수당_1월 환율</t>
    <phoneticPr fontId="3" type="noConversion"/>
  </si>
  <si>
    <t>해외지사비</t>
    <phoneticPr fontId="3" type="noConversion"/>
  </si>
  <si>
    <t>여비교통비</t>
    <phoneticPr fontId="3" type="noConversion"/>
  </si>
  <si>
    <t>해외</t>
    <phoneticPr fontId="3" type="noConversion"/>
  </si>
  <si>
    <t>통신비</t>
    <phoneticPr fontId="3" type="noConversion"/>
  </si>
  <si>
    <t>기타</t>
    <phoneticPr fontId="3" type="noConversion"/>
  </si>
  <si>
    <t>업무추진비</t>
    <phoneticPr fontId="3" type="noConversion"/>
  </si>
  <si>
    <t>일반</t>
    <phoneticPr fontId="3" type="noConversion"/>
  </si>
  <si>
    <t>여비교통비_pan책임</t>
    <phoneticPr fontId="3" type="noConversion"/>
  </si>
  <si>
    <t>통신비_신순연</t>
    <phoneticPr fontId="3" type="noConversion"/>
  </si>
  <si>
    <t>통신비_김명관</t>
    <phoneticPr fontId="3" type="noConversion"/>
  </si>
  <si>
    <t>12/10 송금 환율(1306.6)</t>
    <phoneticPr fontId="8" type="noConversion"/>
  </si>
  <si>
    <t>영수증 6851.89로 합산 / 87로 인출 -&gt; 신순연 책임이 덜 받기로 함 0.2</t>
    <phoneticPr fontId="3" type="noConversion"/>
  </si>
  <si>
    <t>1/10 송금 환율(1,246.8)</t>
    <phoneticPr fontId="8" type="noConversion"/>
  </si>
  <si>
    <t>2월 전도금 사용 내역</t>
    <phoneticPr fontId="8" type="noConversion"/>
  </si>
  <si>
    <t>USD 입금 및 RMB 환전</t>
    <phoneticPr fontId="8" type="noConversion"/>
  </si>
  <si>
    <t>사무실 에어컨, 수도, 전기, 관리비</t>
    <phoneticPr fontId="8" type="noConversion"/>
  </si>
  <si>
    <t>세무대행비</t>
    <phoneticPr fontId="8" type="noConversion"/>
  </si>
  <si>
    <t>여비교통비_김명관_HKC H2 출장건_항공료</t>
    <phoneticPr fontId="8" type="noConversion"/>
  </si>
  <si>
    <t>여비교통비_김명관_HKC H2 출장건_숙박비</t>
    <phoneticPr fontId="8" type="noConversion"/>
  </si>
  <si>
    <t>휴가비_김명관 책임</t>
    <phoneticPr fontId="8" type="noConversion"/>
  </si>
  <si>
    <t>여비교통비_신순연_HKC H2 출장건(항공료 + 숙박비)</t>
    <phoneticPr fontId="8" type="noConversion"/>
  </si>
  <si>
    <t>통신비_신순연(사무실 wifi비용 미포함_차월 정산 예정)</t>
    <phoneticPr fontId="8" type="noConversion"/>
  </si>
  <si>
    <t>시내교통비_신순연</t>
    <phoneticPr fontId="8" type="noConversion"/>
  </si>
  <si>
    <t>설 선물(Gift Card)</t>
    <phoneticPr fontId="8" type="noConversion"/>
  </si>
  <si>
    <t>업무추진비_신순연</t>
    <phoneticPr fontId="8" type="noConversion"/>
  </si>
  <si>
    <t>사무실 운영비</t>
    <phoneticPr fontId="8" type="noConversion"/>
  </si>
  <si>
    <t>기사님 1월 야근비</t>
    <phoneticPr fontId="8" type="noConversion"/>
  </si>
  <si>
    <t>USD 입금 및 RMB 환전</t>
    <phoneticPr fontId="3" type="noConversion"/>
  </si>
  <si>
    <t>사무실 임대료</t>
    <phoneticPr fontId="3" type="noConversion"/>
  </si>
  <si>
    <t>사무실 에어컨, 수도, 전기, 관리비</t>
    <phoneticPr fontId="3" type="noConversion"/>
  </si>
  <si>
    <t>세무대행비</t>
    <phoneticPr fontId="3" type="noConversion"/>
  </si>
  <si>
    <t>여비교통비_김명관_HKC H2 출장건_항공료</t>
    <phoneticPr fontId="3" type="noConversion"/>
  </si>
  <si>
    <t>여비교통비_김명관_HKC H2 출장건_숙박비</t>
    <phoneticPr fontId="3" type="noConversion"/>
  </si>
  <si>
    <t>휴가비_김명관 책임</t>
    <phoneticPr fontId="3" type="noConversion"/>
  </si>
  <si>
    <t>여비교통비_신순연_HKC H2 출장건(항공료 + 숙박비)</t>
    <phoneticPr fontId="3" type="noConversion"/>
  </si>
  <si>
    <t>통신비_신순연(사무실 wifi비용 미포함_차월 정산 예정)</t>
    <phoneticPr fontId="3" type="noConversion"/>
  </si>
  <si>
    <t>시내교통비_신순연</t>
    <phoneticPr fontId="3" type="noConversion"/>
  </si>
  <si>
    <t>설 선물(Gift Card)</t>
    <phoneticPr fontId="3" type="noConversion"/>
  </si>
  <si>
    <t>업무추진비_신순연</t>
    <phoneticPr fontId="3" type="noConversion"/>
  </si>
  <si>
    <t>사무실 운영비</t>
    <phoneticPr fontId="3" type="noConversion"/>
  </si>
  <si>
    <t>OC 구매 비용</t>
    <phoneticPr fontId="3" type="noConversion"/>
  </si>
  <si>
    <t>기사님 1월 야근비</t>
    <phoneticPr fontId="3" type="noConversion"/>
  </si>
  <si>
    <t>사무실 임대료 / 영수증 추후 업뎃</t>
    <phoneticPr fontId="8" type="noConversion"/>
  </si>
  <si>
    <t>지급임차료</t>
    <phoneticPr fontId="3" type="noConversion"/>
  </si>
  <si>
    <t>사무실</t>
    <phoneticPr fontId="3" type="noConversion"/>
  </si>
  <si>
    <t>해외지사비</t>
    <phoneticPr fontId="3" type="noConversion"/>
  </si>
  <si>
    <t>주차비</t>
    <phoneticPr fontId="3" type="noConversion"/>
  </si>
  <si>
    <t>주유비</t>
    <phoneticPr fontId="3" type="noConversion"/>
  </si>
  <si>
    <t>톨비</t>
    <phoneticPr fontId="3" type="noConversion"/>
  </si>
  <si>
    <t>업무추진비</t>
    <phoneticPr fontId="3" type="noConversion"/>
  </si>
  <si>
    <t>택배비</t>
    <phoneticPr fontId="3" type="noConversion"/>
  </si>
  <si>
    <t>통신비</t>
    <phoneticPr fontId="3" type="noConversion"/>
  </si>
  <si>
    <t>시내교통비</t>
    <phoneticPr fontId="3" type="noConversion"/>
  </si>
  <si>
    <t>청소비</t>
    <phoneticPr fontId="3" type="noConversion"/>
  </si>
  <si>
    <t>사무실운영비(프린트설치)</t>
    <phoneticPr fontId="3" type="noConversion"/>
  </si>
  <si>
    <t>업무추진비</t>
    <phoneticPr fontId="3" type="noConversion"/>
  </si>
  <si>
    <t>일반</t>
    <phoneticPr fontId="3" type="noConversion"/>
  </si>
  <si>
    <t>해외지사비</t>
    <phoneticPr fontId="3" type="noConversion"/>
  </si>
  <si>
    <t>소모품비</t>
    <phoneticPr fontId="3" type="noConversion"/>
  </si>
  <si>
    <t>신순연</t>
    <phoneticPr fontId="3" type="noConversion"/>
  </si>
  <si>
    <t>김명관</t>
    <phoneticPr fontId="3" type="noConversion"/>
  </si>
  <si>
    <t>판책임</t>
    <phoneticPr fontId="3" type="noConversion"/>
  </si>
  <si>
    <t>주택수당</t>
    <phoneticPr fontId="3" type="noConversion"/>
  </si>
  <si>
    <t>해외지사비</t>
    <phoneticPr fontId="3" type="noConversion"/>
  </si>
  <si>
    <t>김명관</t>
    <phoneticPr fontId="3" type="noConversion"/>
  </si>
  <si>
    <t>주재원수당_1월 환율</t>
    <phoneticPr fontId="3" type="noConversion"/>
  </si>
  <si>
    <t>주재원수당_2월 환율</t>
    <phoneticPr fontId="3" type="noConversion"/>
  </si>
  <si>
    <t>소모품비 (제품기술팀)</t>
    <phoneticPr fontId="3" type="noConversion"/>
  </si>
  <si>
    <t>기사 2월 야근비용</t>
    <phoneticPr fontId="3" type="noConversion"/>
  </si>
  <si>
    <t>현채인급여</t>
    <phoneticPr fontId="3" type="noConversion"/>
  </si>
  <si>
    <t>1/10 송금 환율(1,246.8)</t>
    <phoneticPr fontId="8" type="noConversion"/>
  </si>
  <si>
    <t>2/10 송금 환율(1,263.1)</t>
    <phoneticPr fontId="8" type="noConversion"/>
  </si>
  <si>
    <t>DB6T8930 사전 평가 용 75UD OC 4매 구매 금액</t>
  </si>
  <si>
    <t>사무실 에어컨, 수도, 전기, 관리비</t>
  </si>
  <si>
    <t>통신비_김명관 책임</t>
  </si>
  <si>
    <t>여비교통비_출장 숙박 및 항공비_김명관 책임</t>
  </si>
  <si>
    <t>업무추진비_김명관 책임</t>
  </si>
  <si>
    <t>시내교통비_김명관 책임</t>
  </si>
  <si>
    <t>시내교통비_신순연 책임</t>
  </si>
  <si>
    <t>여비교통비_출장 숙박 및 항공비_신순연 책임(도시와 도시사이의 장거리 택시비 포함)</t>
  </si>
  <si>
    <t>업무추진비_신순연 책임</t>
  </si>
  <si>
    <t>USD 입금 및 RMB 환전</t>
    <phoneticPr fontId="3" type="noConversion"/>
  </si>
  <si>
    <t>OC 구매 비용(제품기술팀) / Open cell set 6,000. 구동 보드 800 / 1,259,879원</t>
    <phoneticPr fontId="8" type="noConversion"/>
  </si>
  <si>
    <t>잡이익</t>
    <phoneticPr fontId="3" type="noConversion"/>
  </si>
  <si>
    <t>기사 3월 야근비용</t>
    <phoneticPr fontId="3" type="noConversion"/>
  </si>
  <si>
    <t>3.16~4.15 월세 증가분은 차월에 같이 정산 하기로 협의 함</t>
  </si>
  <si>
    <t>톨비</t>
    <phoneticPr fontId="3" type="noConversion"/>
  </si>
  <si>
    <t>주차비</t>
    <phoneticPr fontId="3" type="noConversion"/>
  </si>
  <si>
    <t>주유비</t>
    <phoneticPr fontId="3" type="noConversion"/>
  </si>
  <si>
    <t>통신비(판책임)</t>
    <phoneticPr fontId="3" type="noConversion"/>
  </si>
  <si>
    <t>택배비</t>
    <phoneticPr fontId="3" type="noConversion"/>
  </si>
  <si>
    <t>시내교통비(판책임)</t>
    <phoneticPr fontId="3" type="noConversion"/>
  </si>
  <si>
    <t>사무실운영비(택배비)</t>
    <phoneticPr fontId="3" type="noConversion"/>
  </si>
  <si>
    <t>사무실운영비(Scan)</t>
    <phoneticPr fontId="3" type="noConversion"/>
  </si>
  <si>
    <t>사무실운영비(사무용품)</t>
    <phoneticPr fontId="3" type="noConversion"/>
  </si>
  <si>
    <t>사무실운영비(청소비)</t>
    <phoneticPr fontId="3" type="noConversion"/>
  </si>
  <si>
    <t>통신비_신순연 책임</t>
    <phoneticPr fontId="3" type="noConversion"/>
  </si>
  <si>
    <t>주택보증금</t>
    <phoneticPr fontId="3" type="noConversion"/>
  </si>
  <si>
    <t>부동산중개수수료</t>
    <phoneticPr fontId="3" type="noConversion"/>
  </si>
  <si>
    <t>3/13 60,000 출금 수수료 -&gt; 3/21, 22 회사 통장으로 반환하여 내역 삭제</t>
    <phoneticPr fontId="3" type="noConversion"/>
  </si>
  <si>
    <t>해외지사비</t>
    <phoneticPr fontId="3" type="noConversion"/>
  </si>
  <si>
    <t>소모품비</t>
    <phoneticPr fontId="3" type="noConversion"/>
  </si>
  <si>
    <t>지급임차료</t>
    <phoneticPr fontId="3" type="noConversion"/>
  </si>
  <si>
    <t>차량임차료</t>
    <phoneticPr fontId="3" type="noConversion"/>
  </si>
  <si>
    <t>사무실관리</t>
    <phoneticPr fontId="3" type="noConversion"/>
  </si>
  <si>
    <t>여비교통비</t>
    <phoneticPr fontId="3" type="noConversion"/>
  </si>
  <si>
    <t>해외</t>
    <phoneticPr fontId="3" type="noConversion"/>
  </si>
  <si>
    <t>통신비</t>
    <phoneticPr fontId="3" type="noConversion"/>
  </si>
  <si>
    <t>기타</t>
    <phoneticPr fontId="3" type="noConversion"/>
  </si>
  <si>
    <t>업무추진비</t>
    <phoneticPr fontId="3" type="noConversion"/>
  </si>
  <si>
    <t>일반</t>
    <phoneticPr fontId="3" type="noConversion"/>
  </si>
  <si>
    <t>사무실 임대료_2월 환율</t>
    <phoneticPr fontId="3" type="noConversion"/>
  </si>
  <si>
    <t>사무실 임대료_3월 환율</t>
    <phoneticPr fontId="3" type="noConversion"/>
  </si>
  <si>
    <t>3월 전도금 사용 내역</t>
    <phoneticPr fontId="8" type="noConversion"/>
  </si>
  <si>
    <t>D2A240</t>
  </si>
  <si>
    <t>3/10 송금 환율(1,319.7)</t>
    <phoneticPr fontId="8" type="noConversion"/>
  </si>
  <si>
    <t>2/10 송금 환율(1,263.1)</t>
    <phoneticPr fontId="8" type="noConversion"/>
  </si>
  <si>
    <t>4월 전도금 사용 내역</t>
    <phoneticPr fontId="8" type="noConversion"/>
  </si>
  <si>
    <t>USD 입금 및 RMB 환전</t>
  </si>
  <si>
    <t>신순연</t>
    <phoneticPr fontId="3" type="noConversion"/>
  </si>
  <si>
    <t>김명관</t>
    <phoneticPr fontId="3" type="noConversion"/>
  </si>
  <si>
    <t>판책임</t>
    <phoneticPr fontId="3" type="noConversion"/>
  </si>
  <si>
    <t>OC 구매 비용(제품기술팀)</t>
    <phoneticPr fontId="3" type="noConversion"/>
  </si>
  <si>
    <t>제품기술팀</t>
  </si>
  <si>
    <t>사무실 Internet비용(1월 &amp; 2월 사용 분)</t>
    <phoneticPr fontId="3" type="noConversion"/>
  </si>
  <si>
    <t>1원 더 적게 인출</t>
    <phoneticPr fontId="3" type="noConversion"/>
  </si>
  <si>
    <t>사무실 운영 세금(1월~3월 분)</t>
    <phoneticPr fontId="3" type="noConversion"/>
  </si>
  <si>
    <t>주재원 5대보험</t>
    <phoneticPr fontId="3" type="noConversion"/>
  </si>
  <si>
    <t>주재원 개인소득세</t>
    <phoneticPr fontId="3" type="noConversion"/>
  </si>
  <si>
    <t>주재원수당</t>
    <phoneticPr fontId="3" type="noConversion"/>
  </si>
  <si>
    <t>주택수당</t>
    <phoneticPr fontId="3" type="noConversion"/>
  </si>
  <si>
    <t>주재원 대행 수수료</t>
    <phoneticPr fontId="3" type="noConversion"/>
  </si>
  <si>
    <t>현채인급여</t>
    <phoneticPr fontId="3" type="noConversion"/>
  </si>
  <si>
    <t>은행수수료</t>
    <phoneticPr fontId="3" type="noConversion"/>
  </si>
  <si>
    <t>사무실 임대료(3월 임대료 상승 분 차액 추가)</t>
    <phoneticPr fontId="3" type="noConversion"/>
  </si>
  <si>
    <t>사무실 관리비(전기, 수도, 에어컨)</t>
    <phoneticPr fontId="3" type="noConversion"/>
  </si>
  <si>
    <t>차량 Rent비</t>
    <phoneticPr fontId="3" type="noConversion"/>
  </si>
  <si>
    <t>차량 기사비</t>
    <phoneticPr fontId="3" type="noConversion"/>
  </si>
  <si>
    <t>세무대행사(3월분기장비, 2023년도장부비, 취업비자연장, 가족비자(2명), 증치세)</t>
    <phoneticPr fontId="3" type="noConversion"/>
  </si>
  <si>
    <t>택배비</t>
    <phoneticPr fontId="3" type="noConversion"/>
  </si>
  <si>
    <t>통신비_판책임</t>
    <phoneticPr fontId="3" type="noConversion"/>
  </si>
  <si>
    <t>시내교통비_판책임</t>
    <phoneticPr fontId="3" type="noConversion"/>
  </si>
  <si>
    <t>Liu Ming Liang(주차비)</t>
    <phoneticPr fontId="3" type="noConversion"/>
  </si>
  <si>
    <t>Liu Ming Liang(주유비)</t>
    <phoneticPr fontId="3" type="noConversion"/>
  </si>
  <si>
    <t>Liu Ming Liang(톨비)</t>
    <phoneticPr fontId="3" type="noConversion"/>
  </si>
  <si>
    <t>업무추진비(김명관 책임)</t>
    <phoneticPr fontId="3" type="noConversion"/>
  </si>
  <si>
    <t>비자연장용 건강검진비용(김명관 책임)</t>
    <phoneticPr fontId="3" type="noConversion"/>
  </si>
  <si>
    <t>여비교통비_춟장교통비 및 숙박비(김명관 책임)</t>
    <phoneticPr fontId="3" type="noConversion"/>
  </si>
  <si>
    <t>사무실운영비(사무용품)</t>
    <phoneticPr fontId="3" type="noConversion"/>
  </si>
  <si>
    <t>사무실운영비(청소비)</t>
    <phoneticPr fontId="3" type="noConversion"/>
  </si>
  <si>
    <t>사무실운영비(택배비)</t>
    <phoneticPr fontId="3" type="noConversion"/>
  </si>
  <si>
    <t>사무실운영비(CSOT 출입증 연장 관련)</t>
    <phoneticPr fontId="3" type="noConversion"/>
  </si>
  <si>
    <t>DB6T8930 사전 평가용 Code Writing기기 구매(본사 응기팀 송부)</t>
    <phoneticPr fontId="3" type="noConversion"/>
  </si>
  <si>
    <t>DB6T8930 비교 분석 용 경쟁사 IC 구매(본사 응기팀 송부)</t>
    <phoneticPr fontId="3" type="noConversion"/>
  </si>
  <si>
    <t>여비교통비_춟장교통비 및 숙박비(신순연 책임)</t>
    <phoneticPr fontId="3" type="noConversion"/>
  </si>
  <si>
    <t>사무실 Internet비용</t>
    <phoneticPr fontId="3" type="noConversion"/>
  </si>
  <si>
    <t>통신비_신순연 책임</t>
    <phoneticPr fontId="3" type="noConversion"/>
  </si>
  <si>
    <t>업무추진비(신순연 책임)</t>
    <phoneticPr fontId="3" type="noConversion"/>
  </si>
  <si>
    <t>시내교통비</t>
    <phoneticPr fontId="3" type="noConversion"/>
  </si>
  <si>
    <t>해외지사비</t>
    <phoneticPr fontId="3" type="noConversion"/>
  </si>
  <si>
    <t>지급임차료</t>
    <phoneticPr fontId="3" type="noConversion"/>
  </si>
  <si>
    <t>사무실관리</t>
    <phoneticPr fontId="3" type="noConversion"/>
  </si>
  <si>
    <t>차량임차료</t>
    <phoneticPr fontId="3" type="noConversion"/>
  </si>
  <si>
    <t>통신비</t>
    <phoneticPr fontId="3" type="noConversion"/>
  </si>
  <si>
    <t>기타</t>
    <phoneticPr fontId="3" type="noConversion"/>
  </si>
  <si>
    <t>여비교통비</t>
    <phoneticPr fontId="3" type="noConversion"/>
  </si>
  <si>
    <t>해외</t>
    <phoneticPr fontId="3" type="noConversion"/>
  </si>
  <si>
    <t>업무추진비</t>
    <phoneticPr fontId="3" type="noConversion"/>
  </si>
  <si>
    <t>일반</t>
    <phoneticPr fontId="3" type="noConversion"/>
  </si>
  <si>
    <t>4/10 송금 환율(1,318.9)</t>
    <phoneticPr fontId="8" type="noConversion"/>
  </si>
  <si>
    <t>3/10 송금 환율(1,319.7)</t>
    <phoneticPr fontId="8" type="noConversion"/>
  </si>
  <si>
    <t>[</t>
    <phoneticPr fontId="3" type="noConversion"/>
  </si>
  <si>
    <t>Internet Recruiting 비용</t>
    <phoneticPr fontId="8" type="noConversion"/>
  </si>
  <si>
    <t>Internet Banking 인증서 Download</t>
    <phoneticPr fontId="8" type="noConversion"/>
  </si>
  <si>
    <t>사무실 관리비(전기, 수도, 에어컨)</t>
    <phoneticPr fontId="8" type="noConversion"/>
  </si>
  <si>
    <t>세무대행사</t>
    <phoneticPr fontId="8" type="noConversion"/>
  </si>
  <si>
    <t>김명관 책임_자녀 학비</t>
    <phoneticPr fontId="8" type="noConversion"/>
  </si>
  <si>
    <t>김명관 책임_업무추진비</t>
    <phoneticPr fontId="8" type="noConversion"/>
  </si>
  <si>
    <t>김명관 책임_비자 연장용 비용</t>
    <phoneticPr fontId="8" type="noConversion"/>
  </si>
  <si>
    <t>김명관_시내교통비</t>
    <phoneticPr fontId="8" type="noConversion"/>
  </si>
  <si>
    <t>김명관_Su Zhou 출장건</t>
    <phoneticPr fontId="8" type="noConversion"/>
  </si>
  <si>
    <t>김명관_Bei Jing 출장건</t>
    <phoneticPr fontId="8" type="noConversion"/>
  </si>
  <si>
    <t>신순연_Bei Jing 출장건</t>
    <phoneticPr fontId="8" type="noConversion"/>
  </si>
  <si>
    <t>신순연_업무추진비</t>
    <phoneticPr fontId="8" type="noConversion"/>
  </si>
  <si>
    <t>신순연_시내교통비</t>
    <phoneticPr fontId="8" type="noConversion"/>
  </si>
  <si>
    <t>.01 더 적게 인출</t>
    <phoneticPr fontId="3" type="noConversion"/>
  </si>
  <si>
    <t>Pan Shi Qiang책임</t>
  </si>
  <si>
    <t>사무용품비</t>
    <phoneticPr fontId="3" type="noConversion"/>
  </si>
  <si>
    <t>IC담는 작은 박스 구입</t>
    <phoneticPr fontId="3" type="noConversion"/>
  </si>
  <si>
    <t>Liu Ming Liang(주차비)</t>
    <phoneticPr fontId="8" type="noConversion"/>
  </si>
  <si>
    <t>Liu Ming Liang(주유비)</t>
    <phoneticPr fontId="8" type="noConversion"/>
  </si>
  <si>
    <t>Liu Ming Liang(톨비)</t>
    <phoneticPr fontId="8" type="noConversion"/>
  </si>
  <si>
    <t>사무실운영비_택배비</t>
    <phoneticPr fontId="3" type="noConversion"/>
  </si>
  <si>
    <t>사무실운영비_사무비품</t>
    <phoneticPr fontId="3" type="noConversion"/>
  </si>
  <si>
    <t>사무실운영비_청소비</t>
    <phoneticPr fontId="3" type="noConversion"/>
  </si>
  <si>
    <t>사무실운영비_스캔, 프린트</t>
    <phoneticPr fontId="3" type="noConversion"/>
  </si>
  <si>
    <t>사무실운영비_IC 구입</t>
    <phoneticPr fontId="3" type="noConversion"/>
  </si>
  <si>
    <t>/신순연 책임.</t>
    <phoneticPr fontId="8" type="noConversion"/>
  </si>
  <si>
    <t>일자</t>
    <phoneticPr fontId="8" type="noConversion"/>
  </si>
  <si>
    <t>내용</t>
    <phoneticPr fontId="8" type="noConversion"/>
  </si>
  <si>
    <t>인원</t>
    <phoneticPr fontId="8" type="noConversion"/>
  </si>
  <si>
    <t>시간</t>
    <phoneticPr fontId="8" type="noConversion"/>
  </si>
  <si>
    <t>비용</t>
    <phoneticPr fontId="8" type="noConversion"/>
  </si>
  <si>
    <t>비고</t>
    <phoneticPr fontId="8" type="noConversion"/>
  </si>
  <si>
    <t>심천지사</t>
    <phoneticPr fontId="8" type="noConversion"/>
  </si>
  <si>
    <t>5월 전도금 사용 내역</t>
    <phoneticPr fontId="8" type="noConversion"/>
  </si>
  <si>
    <t>이자</t>
  </si>
  <si>
    <t>사무실 관리비(전기, 수도, 에어컨)</t>
  </si>
  <si>
    <t>김명관 책임_시내교통비</t>
  </si>
  <si>
    <t>김명관 책임_한국 출장 항공 및 숙박비</t>
  </si>
  <si>
    <t>김명관 책임_T10 출장 항공 및 숙박비 일부</t>
  </si>
  <si>
    <t>김명관 책임_T10 출장 항공 및 숙박비 부족부분 추가 입금</t>
  </si>
  <si>
    <t>김명관 책임_충칭 출장 항공 및 숙박비</t>
  </si>
  <si>
    <t>김명관 책임_업무추진비</t>
  </si>
  <si>
    <t>신순연 책임_충창 출장 항공 및 숙박비</t>
  </si>
  <si>
    <t>신순연 책임_HKC H4 출장 항공 및 숙박비</t>
  </si>
  <si>
    <t>신순연 책임_한국 출장 항공 및 숙박비</t>
  </si>
  <si>
    <t>신순연 책임_업무추진비</t>
  </si>
  <si>
    <t>KRW</t>
  </si>
  <si>
    <t>심천지사, 강정호 부사장, 이상태 수석, 반영일 부장</t>
    <phoneticPr fontId="8" type="noConversion"/>
  </si>
  <si>
    <t>김명관 책임, 신순연 책임, 강정호 부사장, 이상태 수석, Sam부장</t>
    <phoneticPr fontId="8" type="noConversion"/>
  </si>
  <si>
    <t>청두 중 식당</t>
    <phoneticPr fontId="8" type="noConversion"/>
  </si>
  <si>
    <t>BOE</t>
    <phoneticPr fontId="8" type="noConversion"/>
  </si>
  <si>
    <t>신순연 책임, Shen Li Xia, Yu Yong</t>
    <phoneticPr fontId="8" type="noConversion"/>
  </si>
  <si>
    <t>Ji Guo Dong, 신순연 책임, 외 1명</t>
    <phoneticPr fontId="8" type="noConversion"/>
  </si>
  <si>
    <t>LSI</t>
    <phoneticPr fontId="8" type="noConversion"/>
  </si>
  <si>
    <t>/김명관 책임, 신순연 책임.</t>
    <phoneticPr fontId="8" type="noConversion"/>
  </si>
  <si>
    <t>CSOT/LGE</t>
    <phoneticPr fontId="8" type="noConversion"/>
  </si>
  <si>
    <t>CSOT(Tony총감, Jed Han전문가, Li Yin Shi), LGE 2명, 김명관 책임, 신순연 책임.</t>
    <phoneticPr fontId="8" type="noConversion"/>
  </si>
  <si>
    <t>LGE</t>
    <phoneticPr fontId="8" type="noConversion"/>
  </si>
  <si>
    <t>LGE 2명 추가 금액 발생</t>
    <phoneticPr fontId="8" type="noConversion"/>
  </si>
  <si>
    <t>Li Yin Shi, 신순연 책임.</t>
    <phoneticPr fontId="8" type="noConversion"/>
  </si>
  <si>
    <t>TCL</t>
    <phoneticPr fontId="8" type="noConversion"/>
  </si>
  <si>
    <t>Lin Jie Ting, 김명관 책임, 신순연 책임.</t>
    <phoneticPr fontId="8" type="noConversion"/>
  </si>
  <si>
    <t>심천 coffee shop</t>
    <phoneticPr fontId="8" type="noConversion"/>
  </si>
  <si>
    <t>TCL/CSOT</t>
    <phoneticPr fontId="8" type="noConversion"/>
  </si>
  <si>
    <t>Lin Jie Ting, 김명관 책임, 신순연 책임, 외 2명</t>
    <phoneticPr fontId="8" type="noConversion"/>
  </si>
  <si>
    <t>Huang Lei Jing, 신순연 책임, 외1명</t>
    <phoneticPr fontId="8" type="noConversion"/>
  </si>
  <si>
    <t>Liu Kai Yu, 신순연 책임.</t>
    <phoneticPr fontId="8" type="noConversion"/>
  </si>
  <si>
    <t>Lan Qing Sheng, 신순연 책임.</t>
    <phoneticPr fontId="8" type="noConversion"/>
  </si>
  <si>
    <t>Kiwi/ANAX</t>
    <phoneticPr fontId="8" type="noConversion"/>
  </si>
  <si>
    <t>Zhao Nian, 신순연 책임.</t>
    <phoneticPr fontId="8" type="noConversion"/>
  </si>
  <si>
    <t>충칭 중 식당</t>
    <phoneticPr fontId="8" type="noConversion"/>
  </si>
  <si>
    <t>HKC</t>
    <phoneticPr fontId="8" type="noConversion"/>
  </si>
  <si>
    <t>Liao Yi Jiang, Li Jing Ru과장, 김명관 책임, 신순연 책임.</t>
    <phoneticPr fontId="8" type="noConversion"/>
  </si>
  <si>
    <t>Fu Wei, 김명관 책임, 신순연 책임.</t>
    <phoneticPr fontId="8" type="noConversion"/>
  </si>
  <si>
    <t>단오 선물</t>
    <phoneticPr fontId="8" type="noConversion"/>
  </si>
  <si>
    <t>Gu Tao과장, Fu Wei부장</t>
    <phoneticPr fontId="8" type="noConversion"/>
  </si>
  <si>
    <t>신생아 선물</t>
    <phoneticPr fontId="8" type="noConversion"/>
  </si>
  <si>
    <t>Gu Tao과장</t>
    <phoneticPr fontId="8" type="noConversion"/>
  </si>
  <si>
    <t>Tony총감 술 선물</t>
    <phoneticPr fontId="8" type="noConversion"/>
  </si>
  <si>
    <t>Tony총감</t>
    <phoneticPr fontId="8" type="noConversion"/>
  </si>
  <si>
    <t>CSOT(Tony총감, Jed Han전문가), LGE 2명, 김명관 책임</t>
    <phoneticPr fontId="8" type="noConversion"/>
  </si>
  <si>
    <t>쑤저우 중 식당</t>
    <phoneticPr fontId="8" type="noConversion"/>
  </si>
  <si>
    <t>Meng Xiang대리점 2명, T10 조달 인원, 김명관 책임.</t>
    <phoneticPr fontId="8" type="noConversion"/>
  </si>
  <si>
    <t>기사 6월 야근비용</t>
    <phoneticPr fontId="3" type="noConversion"/>
  </si>
  <si>
    <t>Pan Shi Qiang책임(시내교통비)</t>
    <phoneticPr fontId="3" type="noConversion"/>
  </si>
  <si>
    <t>Pan Shi Qiang책임(통신비)</t>
    <phoneticPr fontId="3" type="noConversion"/>
  </si>
  <si>
    <t>Pan Shi Qiang책임(택배비)</t>
    <phoneticPr fontId="3" type="noConversion"/>
  </si>
  <si>
    <t>사무실운영비_지사 설립용 사진 촬영</t>
    <phoneticPr fontId="3" type="noConversion"/>
  </si>
  <si>
    <t>주재원 개인소득세_4월 환율</t>
    <phoneticPr fontId="3" type="noConversion"/>
  </si>
  <si>
    <t>주재원 개인소득세_5월 환율</t>
    <phoneticPr fontId="3" type="noConversion"/>
  </si>
  <si>
    <t>신순연 책임_시내교통비</t>
    <phoneticPr fontId="3" type="noConversion"/>
  </si>
  <si>
    <t>사무실 운영 세금(지사 폐쇄로 인한 5월 ~6/12까지 발생 세금 납부)</t>
    <phoneticPr fontId="3" type="noConversion"/>
  </si>
  <si>
    <t>세무대행사</t>
    <phoneticPr fontId="3" type="noConversion"/>
  </si>
  <si>
    <t>회계감사보고서 4,600 증치세6% 276, 22년 법인세 보고 포함</t>
    <phoneticPr fontId="3" type="noConversion"/>
  </si>
  <si>
    <t>6/10 송금 환율(1,300.5)</t>
    <phoneticPr fontId="8" type="noConversion"/>
  </si>
  <si>
    <t>B2D320</t>
    <phoneticPr fontId="3" type="noConversion"/>
  </si>
  <si>
    <t>6월 전도금 사용 내역</t>
    <phoneticPr fontId="8" type="noConversion"/>
  </si>
  <si>
    <t>주재원 개인소득세_5월 환율</t>
    <phoneticPr fontId="3" type="noConversion"/>
  </si>
  <si>
    <t>김명관 책임_시내교통비</t>
    <phoneticPr fontId="8" type="noConversion"/>
  </si>
  <si>
    <t>신순연 책임_여비교통비(T10 출장 숙박 및 항공편)</t>
    <phoneticPr fontId="8" type="noConversion"/>
  </si>
  <si>
    <t>신순연 책임_업무추진비</t>
    <phoneticPr fontId="8" type="noConversion"/>
  </si>
  <si>
    <t>50UD OC 구입 비용</t>
    <phoneticPr fontId="8" type="noConversion"/>
  </si>
  <si>
    <t>수수료</t>
    <phoneticPr fontId="8" type="noConversion"/>
  </si>
  <si>
    <t>6월 구매 한 55 &amp; 65 OC &amp; 75 Backlight 비용 정산</t>
    <phoneticPr fontId="8" type="noConversion"/>
  </si>
  <si>
    <t>651로 인출</t>
    <phoneticPr fontId="3" type="noConversion"/>
  </si>
  <si>
    <t>Pan Shi Qiang책임(업무추진비)</t>
    <phoneticPr fontId="3" type="noConversion"/>
  </si>
  <si>
    <t>Pan Shi Qiang책임(출장비)</t>
    <phoneticPr fontId="3" type="noConversion"/>
  </si>
  <si>
    <t>사무실 운영비(Print &amp; Scan비용)</t>
    <phoneticPr fontId="3" type="noConversion"/>
  </si>
  <si>
    <t>사무실 운영비(청소비)</t>
    <phoneticPr fontId="3" type="noConversion"/>
  </si>
  <si>
    <t>김명관 책임_시내교통비</t>
    <phoneticPr fontId="3" type="noConversion"/>
  </si>
  <si>
    <t>김명관 책임_업무추진비</t>
    <phoneticPr fontId="3" type="noConversion"/>
  </si>
  <si>
    <t>신순연 책임_여비교통비(T10 출장 숙박 및 항공편)</t>
    <phoneticPr fontId="3" type="noConversion"/>
  </si>
  <si>
    <t>신순연 책임_업무추진비</t>
    <phoneticPr fontId="3" type="noConversion"/>
  </si>
  <si>
    <t>50UD OC 구입 비용</t>
    <phoneticPr fontId="3" type="noConversion"/>
  </si>
  <si>
    <t>잔액 본사로 송금</t>
    <phoneticPr fontId="3" type="noConversion"/>
  </si>
  <si>
    <t>/김명관 책임.</t>
    <phoneticPr fontId="8" type="noConversion"/>
  </si>
  <si>
    <t>잡손실</t>
    <phoneticPr fontId="3" type="noConversion"/>
  </si>
  <si>
    <t>사무실</t>
    <phoneticPr fontId="8" type="noConversion"/>
  </si>
  <si>
    <t>미수금</t>
    <phoneticPr fontId="8" type="noConversion"/>
  </si>
  <si>
    <t>D2A410</t>
    <phoneticPr fontId="8" type="noConversion"/>
  </si>
  <si>
    <t>6/10 송금 환율(1,300.5) -&gt; DBG  기존 잔액</t>
    <phoneticPr fontId="8" type="noConversion"/>
  </si>
  <si>
    <t>7/26 송금 환율(1.265.40) -&gt; 8월 처리 예정</t>
    <phoneticPr fontId="8" type="noConversion"/>
  </si>
  <si>
    <t>잔액 본사로 송금 / 입금통장 금액 77,990.58 -&gt; 290</t>
    <phoneticPr fontId="8" type="noConversion"/>
  </si>
  <si>
    <t>잡손실</t>
    <phoneticPr fontId="8" type="noConversion"/>
  </si>
  <si>
    <t>651로 인출 차액 잡손실 처리</t>
    <phoneticPr fontId="3" type="noConversion"/>
  </si>
  <si>
    <t xml:space="preserve">7/26 입금 전도금 차액 USD 0.06 차액 잡손실 처리 </t>
    <phoneticPr fontId="8" type="noConversion"/>
  </si>
  <si>
    <t>USD입금 and RMB 환전</t>
    <phoneticPr fontId="8" type="noConversion"/>
  </si>
  <si>
    <t>Zhang Liang_출장 항공권_숙박비_시내교통비</t>
    <phoneticPr fontId="8" type="noConversion"/>
  </si>
  <si>
    <t>Li Peng_출장 항공권_숙박비_시내교통비</t>
    <phoneticPr fontId="8" type="noConversion"/>
  </si>
  <si>
    <t>김명관_휴가비</t>
    <phoneticPr fontId="8" type="noConversion"/>
  </si>
  <si>
    <t>김명관_업무추진비</t>
    <phoneticPr fontId="8" type="noConversion"/>
  </si>
  <si>
    <t>김명관_자녀교육비</t>
    <phoneticPr fontId="8" type="noConversion"/>
  </si>
  <si>
    <t>신순연 H2 출장 항공권 및 숙박비</t>
    <phoneticPr fontId="8" type="noConversion"/>
  </si>
  <si>
    <t>신순연_휴가비</t>
    <phoneticPr fontId="8" type="noConversion"/>
  </si>
  <si>
    <t>신순연_신규채용2명 NB PC 및 System설치비</t>
    <phoneticPr fontId="8" type="noConversion"/>
  </si>
  <si>
    <t>신순연_사무실 Wifi 비용 및 통신비</t>
    <phoneticPr fontId="8" type="noConversion"/>
  </si>
  <si>
    <t>Coffee Shop</t>
    <phoneticPr fontId="8" type="noConversion"/>
  </si>
  <si>
    <t>USD입금 and RMB 환전</t>
    <phoneticPr fontId="3" type="noConversion"/>
  </si>
  <si>
    <t>Zhang Liang_출장 항공권_숙박비_시내교통비</t>
    <phoneticPr fontId="3" type="noConversion"/>
  </si>
  <si>
    <t>Li Peng_출장 항공권_숙박비_시내교통비</t>
    <phoneticPr fontId="3" type="noConversion"/>
  </si>
  <si>
    <t>김명관_시내교통비</t>
    <phoneticPr fontId="3" type="noConversion"/>
  </si>
  <si>
    <t>김명관_휴가비</t>
    <phoneticPr fontId="3" type="noConversion"/>
  </si>
  <si>
    <t>김명관_업무추진비</t>
    <phoneticPr fontId="3" type="noConversion"/>
  </si>
  <si>
    <t>김명관_자녀교육비</t>
    <phoneticPr fontId="3" type="noConversion"/>
  </si>
  <si>
    <t>신순연 H2 출장 항공권 및 숙박비</t>
    <phoneticPr fontId="3" type="noConversion"/>
  </si>
  <si>
    <t>신순연_휴가비</t>
    <phoneticPr fontId="3" type="noConversion"/>
  </si>
  <si>
    <t>신순연_신규채용2명 NB PC 및 System설치비</t>
    <phoneticPr fontId="3" type="noConversion"/>
  </si>
  <si>
    <t>신순연_시내교통비</t>
    <phoneticPr fontId="3" type="noConversion"/>
  </si>
  <si>
    <t>신순연_업무추진비</t>
    <phoneticPr fontId="3" type="noConversion"/>
  </si>
  <si>
    <t>신순연 책임_시내교통비, 2,937.18로 9원 적게 인출</t>
    <phoneticPr fontId="8" type="noConversion"/>
  </si>
  <si>
    <t xml:space="preserve">6월 구매 한 55 &amp; 65 OC &amp; 75 Backlight 비용 정산(제품기술팀 소모품비 귀속) </t>
    <phoneticPr fontId="8" type="noConversion"/>
  </si>
  <si>
    <t>현채인 5대보험</t>
    <phoneticPr fontId="3" type="noConversion"/>
  </si>
  <si>
    <t>대행 수수료</t>
    <phoneticPr fontId="3" type="noConversion"/>
  </si>
  <si>
    <t>Pan Shi Qiang_출장</t>
    <phoneticPr fontId="3" type="noConversion"/>
  </si>
  <si>
    <t>Pan Shi Qiang_통신비</t>
    <phoneticPr fontId="3" type="noConversion"/>
  </si>
  <si>
    <t>Pan Shi Qiang_택배비</t>
    <phoneticPr fontId="3" type="noConversion"/>
  </si>
  <si>
    <t>Pan Shi Qiang_시내교통비</t>
    <phoneticPr fontId="3" type="noConversion"/>
  </si>
  <si>
    <t>신순연_통신비</t>
    <phoneticPr fontId="3" type="noConversion"/>
  </si>
  <si>
    <t>신순연_사무실 Wifi</t>
    <phoneticPr fontId="3" type="noConversion"/>
  </si>
  <si>
    <t>신순연_출입증 신청 보험 구매</t>
    <phoneticPr fontId="3" type="noConversion"/>
  </si>
  <si>
    <t>신순연_택배비</t>
    <phoneticPr fontId="3" type="noConversion"/>
  </si>
  <si>
    <t>신순연_청소비</t>
    <phoneticPr fontId="3" type="noConversion"/>
  </si>
  <si>
    <t>김명관</t>
    <phoneticPr fontId="8" type="noConversion"/>
  </si>
  <si>
    <t>4번 적게 인출분 추가 인출</t>
    <phoneticPr fontId="8" type="noConversion"/>
  </si>
  <si>
    <t>현채인 일비</t>
    <phoneticPr fontId="3" type="noConversion"/>
  </si>
  <si>
    <t>수수료</t>
  </si>
  <si>
    <t>7/26 송금 환율(1,265.40) (100048149)</t>
  </si>
  <si>
    <t>8/4 송금 환율(1,280) (100048150)</t>
  </si>
  <si>
    <t>8/10 송금 환율(1,318.3) (100048151)</t>
  </si>
  <si>
    <t>현채인 5대보험(회사부담)</t>
    <phoneticPr fontId="3" type="noConversion"/>
  </si>
  <si>
    <t>현채인 급여</t>
    <phoneticPr fontId="3" type="noConversion"/>
  </si>
  <si>
    <t>주재원 보험</t>
    <phoneticPr fontId="3" type="noConversion"/>
  </si>
  <si>
    <r>
      <rPr>
        <sz val="10"/>
        <rFont val="새굴림"/>
        <family val="3"/>
        <charset val="134"/>
      </rPr>
      <t>张亮</t>
    </r>
    <r>
      <rPr>
        <sz val="10"/>
        <rFont val="Calibri"/>
        <family val="3"/>
      </rPr>
      <t>(Zhang Liang)</t>
    </r>
    <phoneticPr fontId="3" type="noConversion"/>
  </si>
  <si>
    <r>
      <t>李</t>
    </r>
    <r>
      <rPr>
        <sz val="10"/>
        <rFont val="새굴림"/>
        <family val="3"/>
        <charset val="134"/>
      </rPr>
      <t>鹏</t>
    </r>
    <r>
      <rPr>
        <sz val="10"/>
        <rFont val="맑은 고딕"/>
        <family val="3"/>
        <charset val="129"/>
        <scheme val="minor"/>
      </rPr>
      <t xml:space="preserve"> (Li Feng)</t>
    </r>
    <phoneticPr fontId="3" type="noConversion"/>
  </si>
  <si>
    <t>현채인 5대보험</t>
  </si>
  <si>
    <t>현채인수당</t>
  </si>
  <si>
    <t>현채인 대행 수수료</t>
  </si>
  <si>
    <t>현채인 대행 수수료</t>
    <phoneticPr fontId="3" type="noConversion"/>
  </si>
  <si>
    <t>현채인  5대보험</t>
    <phoneticPr fontId="3" type="noConversion"/>
  </si>
  <si>
    <t>현채인대행 수수료</t>
    <phoneticPr fontId="3" type="noConversion"/>
  </si>
  <si>
    <t>은행 이자</t>
    <phoneticPr fontId="3" type="noConversion"/>
  </si>
  <si>
    <t>세무대행사</t>
  </si>
  <si>
    <t>김명관_업무추진비</t>
  </si>
  <si>
    <t>김명관_시내교통비</t>
  </si>
  <si>
    <t>김명관_통신비</t>
  </si>
  <si>
    <t>신순연 한국 출장 항공권 및 숙박비</t>
  </si>
  <si>
    <t>신순연_시내교통비</t>
  </si>
  <si>
    <t>신순연_업무추진비(중에 추석 월병 7438.5RMB 포함)</t>
  </si>
  <si>
    <t>주재원 주재수당</t>
  </si>
  <si>
    <t>주재원 주택수당</t>
    <phoneticPr fontId="4" type="noConversion"/>
  </si>
  <si>
    <t>보험(주재원/현채인)</t>
  </si>
  <si>
    <t>세금(주재원/현채인)</t>
  </si>
  <si>
    <t>대행수수료</t>
    <phoneticPr fontId="4" type="noConversion"/>
  </si>
  <si>
    <t>현채인 월급</t>
    <phoneticPr fontId="4" type="noConversion"/>
  </si>
  <si>
    <t>현채인 월급</t>
  </si>
  <si>
    <t>대행수수료</t>
  </si>
  <si>
    <t>보험비(회사납부)</t>
    <phoneticPr fontId="3" type="noConversion"/>
  </si>
  <si>
    <r>
      <t>张</t>
    </r>
    <r>
      <rPr>
        <sz val="10"/>
        <rFont val="맑은 고딕"/>
        <family val="3"/>
        <charset val="134"/>
      </rPr>
      <t>亮(Zhang Liang)</t>
    </r>
  </si>
  <si>
    <t>林洁婷 임결정</t>
  </si>
  <si>
    <t>Zhang Liang(택배비)</t>
    <phoneticPr fontId="3" type="noConversion"/>
  </si>
  <si>
    <t>Zhang Liang(시내교통비)</t>
    <phoneticPr fontId="3" type="noConversion"/>
  </si>
  <si>
    <t>Pan Shi Qiang_출장_숙박비</t>
    <phoneticPr fontId="3" type="noConversion"/>
  </si>
  <si>
    <t>Pan Shi Qiang_출장_항공권</t>
    <phoneticPr fontId="3" type="noConversion"/>
  </si>
  <si>
    <t>신순연_경쟁사 IC 구입</t>
    <phoneticPr fontId="3" type="noConversion"/>
  </si>
  <si>
    <t>신순연_문서 프린트 및 스캔</t>
    <phoneticPr fontId="3" type="noConversion"/>
  </si>
  <si>
    <t>신순연_다과, 사무비품 구입</t>
    <phoneticPr fontId="3" type="noConversion"/>
  </si>
  <si>
    <t>신순연_명함 제작</t>
    <phoneticPr fontId="3" type="noConversion"/>
  </si>
  <si>
    <t>심천 일 식당</t>
    <phoneticPr fontId="8" type="noConversion"/>
  </si>
  <si>
    <t>편의점</t>
    <phoneticPr fontId="8" type="noConversion"/>
  </si>
  <si>
    <t>추석 월병 구입</t>
    <phoneticPr fontId="8" type="noConversion"/>
  </si>
  <si>
    <t>동종업계 관계 유지 및 정보 파악</t>
    <phoneticPr fontId="8" type="noConversion"/>
  </si>
  <si>
    <t>고객 관계 유지 및 정보 교류</t>
    <phoneticPr fontId="8" type="noConversion"/>
  </si>
  <si>
    <t>고객 관계 유지 및 개선</t>
    <phoneticPr fontId="8" type="noConversion"/>
  </si>
  <si>
    <t>Tcon업체 협업 기회 관련 교류 및 고객관계 유지 및 개선</t>
    <phoneticPr fontId="8" type="noConversion"/>
  </si>
  <si>
    <t>LXS</t>
    <phoneticPr fontId="8" type="noConversion"/>
  </si>
  <si>
    <t>Tony 총감, 권유석 팀장, 이상태 수석, 김명관 책임.</t>
    <phoneticPr fontId="8" type="noConversion"/>
  </si>
  <si>
    <t>강창한 실장, 김명관 책임.</t>
    <phoneticPr fontId="8" type="noConversion"/>
  </si>
  <si>
    <t>/권유석 팀장, 김명관 책임.</t>
    <phoneticPr fontId="8" type="noConversion"/>
  </si>
  <si>
    <t>Tony총감, 김명관 책임.</t>
    <phoneticPr fontId="8" type="noConversion"/>
  </si>
  <si>
    <t>Sam 부장, 이상태 수석, 권유석 팀장, 김명관 책임, 신순연 책임(점심)</t>
    <phoneticPr fontId="8" type="noConversion"/>
  </si>
  <si>
    <t>Huang Lei Jing, 왜 2명, 신순연 책임.</t>
    <phoneticPr fontId="8" type="noConversion"/>
  </si>
  <si>
    <t>Li Peng 상담, Liu Kai Yu Coffee Time</t>
    <phoneticPr fontId="8" type="noConversion"/>
  </si>
  <si>
    <t>ANAX/CSOT</t>
    <phoneticPr fontId="8" type="noConversion"/>
  </si>
  <si>
    <t>ANAX, 권유석 팀장, 김명관 책임, 신순연 책임/Xie Wei Zheng, Tan Wen Hao, 신순연 책임.</t>
    <phoneticPr fontId="8" type="noConversion"/>
  </si>
  <si>
    <t>Liu kai Yu, Chen Yun Dong, 왜 1명, 신순연 책임.</t>
    <phoneticPr fontId="8" type="noConversion"/>
  </si>
  <si>
    <t>Zhao Nian과장, 신순연 책임.</t>
    <phoneticPr fontId="8" type="noConversion"/>
  </si>
  <si>
    <t>CSOT/HKC</t>
    <phoneticPr fontId="8" type="noConversion"/>
  </si>
  <si>
    <t>추석 월병 선물</t>
    <phoneticPr fontId="8" type="noConversion"/>
  </si>
  <si>
    <t>Lecroy Diff Probe 구매 선 입금_8월 환율</t>
    <phoneticPr fontId="3" type="noConversion"/>
  </si>
  <si>
    <t>Lecroy Diff Probe 구매 선 입금_9월 환율</t>
    <phoneticPr fontId="3" type="noConversion"/>
  </si>
  <si>
    <t>차량</t>
    <phoneticPr fontId="3" type="noConversion"/>
  </si>
  <si>
    <t>현채인 보너스</t>
    <phoneticPr fontId="3" type="noConversion"/>
  </si>
  <si>
    <t xml:space="preserve">8/10 송금 환율(1,318.3)_100055345 </t>
    <phoneticPr fontId="3" type="noConversion"/>
  </si>
  <si>
    <t xml:space="preserve">9/10 송금 환율(1,333.4)_100055346 </t>
    <phoneticPr fontId="3" type="noConversion"/>
  </si>
  <si>
    <t>사무실 운영 세금</t>
    <phoneticPr fontId="8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</si>
  <si>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_빙부상 항공권 성인 2명 지원</t>
    </r>
    <phoneticPr fontId="8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</si>
  <si>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_업무추진비</t>
    </r>
    <phoneticPr fontId="8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</si>
  <si>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_시내교통비</t>
    </r>
    <phoneticPr fontId="8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</si>
  <si>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_통신비</t>
    </r>
    <phoneticPr fontId="8" type="noConversion"/>
  </si>
  <si>
    <t>신순연_택배비</t>
    <phoneticPr fontId="8" type="noConversion"/>
  </si>
  <si>
    <t>신순연_사무실 운영비</t>
    <phoneticPr fontId="8" type="noConversion"/>
  </si>
  <si>
    <t>주재원 주택수당</t>
  </si>
  <si>
    <t>보험비(회사납부)
公司缴纳部分合计</t>
  </si>
  <si>
    <t>김명관
책임</t>
  </si>
  <si>
    <t>신순연
책임</t>
  </si>
  <si>
    <t>FAE (Pan Shi Qiang)
7/1 입사</t>
  </si>
  <si>
    <t>张亮(Zhang Liang)
8/1 입사</t>
  </si>
  <si>
    <t>林洁婷 임결정
9/18 입사</t>
  </si>
  <si>
    <t>10/7-10/13</t>
    <phoneticPr fontId="8" type="noConversion"/>
  </si>
  <si>
    <t>10/16-10/18</t>
    <phoneticPr fontId="8" type="noConversion"/>
  </si>
  <si>
    <r>
      <t>Z</t>
    </r>
    <r>
      <rPr>
        <sz val="10"/>
        <color theme="1"/>
        <rFont val="맑은 고딕"/>
        <family val="3"/>
        <charset val="129"/>
        <scheme val="minor"/>
      </rPr>
      <t>hang Liang_출장 항공권</t>
    </r>
    <phoneticPr fontId="8" type="noConversion"/>
  </si>
  <si>
    <r>
      <t>Z</t>
    </r>
    <r>
      <rPr>
        <sz val="10"/>
        <color theme="1"/>
        <rFont val="맑은 고딕"/>
        <family val="3"/>
        <charset val="129"/>
        <scheme val="minor"/>
      </rPr>
      <t>hang Liang_출장 숙박비</t>
    </r>
    <phoneticPr fontId="8" type="noConversion"/>
  </si>
  <si>
    <r>
      <t>Z</t>
    </r>
    <r>
      <rPr>
        <sz val="10"/>
        <color theme="1"/>
        <rFont val="맑은 고딕"/>
        <family val="3"/>
        <charset val="129"/>
        <scheme val="minor"/>
      </rPr>
      <t>hang Liang_출장 시내교통비</t>
    </r>
    <phoneticPr fontId="8" type="noConversion"/>
  </si>
  <si>
    <t>Lin Jie Ting_출장 항공권_숙박비</t>
    <phoneticPr fontId="8" type="noConversion"/>
  </si>
  <si>
    <t>Lin Jie Ting_사무실 운영비</t>
    <phoneticPr fontId="8" type="noConversion"/>
  </si>
  <si>
    <t>Lin Jie Ting_업무추진비</t>
    <phoneticPr fontId="8" type="noConversion"/>
  </si>
  <si>
    <t>Lin Jie Ting_시내교통비</t>
    <phoneticPr fontId="8" type="noConversion"/>
  </si>
  <si>
    <t xml:space="preserve">영수증 3972.73 / 2원 덜 인출 </t>
    <phoneticPr fontId="8" type="noConversion"/>
  </si>
  <si>
    <t>고객 관계 유지 및 정보 파악</t>
    <phoneticPr fontId="8" type="noConversion"/>
  </si>
  <si>
    <t>Cui Ning Manager, Lin Jie Ting책임.</t>
    <phoneticPr fontId="8" type="noConversion"/>
  </si>
  <si>
    <t>Su Zhou 한 식당</t>
    <phoneticPr fontId="8" type="noConversion"/>
  </si>
  <si>
    <t>Zhu Cheng Zhi 과장, Lin Jie Ting책임, 김명관 책임.</t>
    <phoneticPr fontId="8" type="noConversion"/>
  </si>
  <si>
    <t>He Fei 중 식당</t>
    <phoneticPr fontId="8" type="noConversion"/>
  </si>
  <si>
    <t>ESWIN</t>
    <phoneticPr fontId="8" type="noConversion"/>
  </si>
  <si>
    <t>Zheng Yu Ting부장, Lin Jie Ting책임, 김명관 책임.</t>
    <phoneticPr fontId="8" type="noConversion"/>
  </si>
  <si>
    <t>Chong Qing 중 식당</t>
    <phoneticPr fontId="8" type="noConversion"/>
  </si>
  <si>
    <t>Wu Dun Huang 부장, Lin Jie Ting책임, 김명관 책임.</t>
    <phoneticPr fontId="8" type="noConversion"/>
  </si>
  <si>
    <t>Su Zhou Coffee Shop</t>
    <phoneticPr fontId="8" type="noConversion"/>
  </si>
  <si>
    <t>조달 미팅 Coffee 구매, Zhu Cheng Zhi 과장 외 2명</t>
    <phoneticPr fontId="8" type="noConversion"/>
  </si>
  <si>
    <t>Su Zhou 중 식당</t>
    <phoneticPr fontId="8" type="noConversion"/>
  </si>
  <si>
    <t>심천지사 신규 채용 인원 환영회</t>
    <phoneticPr fontId="8" type="noConversion"/>
  </si>
  <si>
    <t>Liu Kai Yu, 손선규 팀장, 김대용 책임, 여승진 수석, 신순연 책임.</t>
    <phoneticPr fontId="8" type="noConversion"/>
  </si>
  <si>
    <t>Huang Lei Jing, 신순연 책임, 왜 1명</t>
    <phoneticPr fontId="8" type="noConversion"/>
  </si>
  <si>
    <t>Lan Qing Sheng, 손선규 팀장, 김대용 책임, 여승진 수석, 신순연 책임.</t>
    <phoneticPr fontId="8" type="noConversion"/>
  </si>
  <si>
    <t>Chen Wei Feng, 손선규 팀장, 김대용 책임, 여승진 수석, 신순연 책임.</t>
    <phoneticPr fontId="8" type="noConversion"/>
  </si>
  <si>
    <t>Sam 전문가, 손선규 팀장, 김대용 책임, 여승진 수석, 신순연 책임.</t>
    <phoneticPr fontId="8" type="noConversion"/>
  </si>
  <si>
    <t>Liu Kai Yu, 윤추실 책임, 신순연 책임.</t>
    <phoneticPr fontId="8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</si>
  <si>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_10/16~10/19 출장_9월</t>
    </r>
    <phoneticPr fontId="8" type="noConversion"/>
  </si>
  <si>
    <r>
      <t>김명관 책임</t>
    </r>
    <r>
      <rPr>
        <sz val="10"/>
        <color theme="1"/>
        <rFont val="맑은 고딕"/>
        <family val="3"/>
        <charset val="129"/>
        <scheme val="minor"/>
      </rPr>
      <t>_10/16~10/19 출장_10월</t>
    </r>
    <phoneticPr fontId="8" type="noConversion"/>
  </si>
  <si>
    <t>9/10 송금 환율(1,333.4)</t>
    <phoneticPr fontId="3" type="noConversion"/>
  </si>
  <si>
    <t>10/10 송금 환율(1,348.3)</t>
    <phoneticPr fontId="3" type="noConversion"/>
  </si>
  <si>
    <t>지급수수료</t>
    <phoneticPr fontId="8" type="noConversion"/>
  </si>
  <si>
    <t>현채인 월급</t>
    <phoneticPr fontId="8" type="noConversion"/>
  </si>
  <si>
    <t>현채인 월급 보너스</t>
    <phoneticPr fontId="8" type="noConversion"/>
  </si>
  <si>
    <t>현채인 월급 일비</t>
    <phoneticPr fontId="8" type="noConversion"/>
  </si>
  <si>
    <t>11/10 송금 환율(1,309.00)</t>
    <phoneticPr fontId="3" type="noConversion"/>
  </si>
  <si>
    <t>일비</t>
  </si>
  <si>
    <t>김명관 책임</t>
    <phoneticPr fontId="3" type="noConversion"/>
  </si>
  <si>
    <t>신순연 책임</t>
    <phoneticPr fontId="3" type="noConversion"/>
  </si>
  <si>
    <t>FAE (Pan Shi Qiang)</t>
    <phoneticPr fontId="3" type="noConversion"/>
  </si>
  <si>
    <r>
      <t>张</t>
    </r>
    <r>
      <rPr>
        <sz val="10"/>
        <color theme="1"/>
        <rFont val="맑은 고딕"/>
        <family val="3"/>
        <charset val="129"/>
        <scheme val="minor"/>
      </rPr>
      <t>亮(Zhang Liang)</t>
    </r>
  </si>
  <si>
    <t>김명관 책임_통신비</t>
  </si>
  <si>
    <t>신순연_업무추진비</t>
  </si>
  <si>
    <t>신순연_사무실 Internet비용</t>
  </si>
  <si>
    <t>신순연_청소비_택배비_명함제작_Print/Scan_A4용지등 사무 비품 구입</t>
  </si>
  <si>
    <t>김명관 책임 시내교통비 추가 입금 부분 환불.</t>
  </si>
  <si>
    <t>차량 임대료 추가 입금 부분 환불</t>
  </si>
  <si>
    <t>Liu Ming Liang_주차비</t>
    <phoneticPr fontId="3" type="noConversion"/>
  </si>
  <si>
    <t>Liu Ming Liang_톨비</t>
    <phoneticPr fontId="3" type="noConversion"/>
  </si>
  <si>
    <t>Liu Ming Liang_주유비</t>
    <phoneticPr fontId="3" type="noConversion"/>
  </si>
  <si>
    <t>Chen Guo Liang_주차비</t>
    <phoneticPr fontId="3" type="noConversion"/>
  </si>
  <si>
    <t>Chen Guo Liang_톨비</t>
    <phoneticPr fontId="3" type="noConversion"/>
  </si>
  <si>
    <t>Chen Guo Liang_주유비</t>
    <phoneticPr fontId="3" type="noConversion"/>
  </si>
  <si>
    <t>Zhang Liang_H5 교통비</t>
    <phoneticPr fontId="3" type="noConversion"/>
  </si>
  <si>
    <t>Zhang Liang_톨비</t>
    <phoneticPr fontId="3" type="noConversion"/>
  </si>
  <si>
    <t>Zhang Liang_숙박비</t>
    <phoneticPr fontId="3" type="noConversion"/>
  </si>
  <si>
    <t>Zhang Liang_H1 왕복교통비</t>
    <phoneticPr fontId="3" type="noConversion"/>
  </si>
  <si>
    <t>Zhang Liang_H1 숙박비</t>
    <phoneticPr fontId="3" type="noConversion"/>
  </si>
  <si>
    <t>Zhang Liang_H2 왕복교통비</t>
    <phoneticPr fontId="3" type="noConversion"/>
  </si>
  <si>
    <t>Zhang Liang_H2 숙박비</t>
    <phoneticPr fontId="3" type="noConversion"/>
  </si>
  <si>
    <t>Zhang Liang_택배비</t>
    <phoneticPr fontId="3" type="noConversion"/>
  </si>
  <si>
    <t>Zhang Liang_시내교통비</t>
    <phoneticPr fontId="3" type="noConversion"/>
  </si>
  <si>
    <t>Zhang Liang_출장 교통비</t>
    <phoneticPr fontId="3" type="noConversion"/>
  </si>
  <si>
    <t>Zhang Liang_출장 숙박비</t>
    <phoneticPr fontId="3" type="noConversion"/>
  </si>
  <si>
    <t>Zhang Liang_통신비</t>
    <phoneticPr fontId="3" type="noConversion"/>
  </si>
  <si>
    <t>Lin Jie Ting(임결정)_출장 교통비</t>
    <phoneticPr fontId="3" type="noConversion"/>
  </si>
  <si>
    <t>Lin Jie Ting(임결정)_출장 숙박비</t>
    <phoneticPr fontId="3" type="noConversion"/>
  </si>
  <si>
    <t>Lin Jie Ting(임결정)_시내교통비</t>
    <phoneticPr fontId="3" type="noConversion"/>
  </si>
  <si>
    <t>Lin Jie Ting(임결정)_업무추진비</t>
    <phoneticPr fontId="3" type="noConversion"/>
  </si>
  <si>
    <t>김명관 책임_T10 출장 숙박비</t>
    <phoneticPr fontId="3" type="noConversion"/>
  </si>
  <si>
    <t>김명관 책임_T10 출장 항공권 및 교통비</t>
    <phoneticPr fontId="3" type="noConversion"/>
  </si>
  <si>
    <t>신순연_H2 출장 항공권 및 교통비</t>
    <phoneticPr fontId="3" type="noConversion"/>
  </si>
  <si>
    <t>신순연_H5 출장 항공권 및 교통비</t>
    <phoneticPr fontId="3" type="noConversion"/>
  </si>
  <si>
    <t>신순연_H5 출장 숙박비</t>
    <phoneticPr fontId="3" type="noConversion"/>
  </si>
  <si>
    <t>신순연_H1 출장 항공권</t>
    <phoneticPr fontId="3" type="noConversion"/>
  </si>
  <si>
    <t>신순연_H1 출장 숙박비</t>
    <phoneticPr fontId="3" type="noConversion"/>
  </si>
  <si>
    <t>469 더 많이 인출 (11/26 회수)</t>
    <phoneticPr fontId="3" type="noConversion"/>
  </si>
  <si>
    <t>201.6 추가 인출</t>
    <phoneticPr fontId="3" type="noConversion"/>
  </si>
  <si>
    <t>21.39 더 많이 인출(재입금)</t>
    <phoneticPr fontId="3" type="noConversion"/>
  </si>
  <si>
    <t>Lin Jie Ting(임결정)_업무추진비 추가 인출</t>
    <phoneticPr fontId="3" type="noConversion"/>
  </si>
  <si>
    <t>은행내역</t>
    <phoneticPr fontId="3" type="noConversion"/>
  </si>
  <si>
    <t>신순연_H2 출장  숙박비 11월 환율</t>
    <phoneticPr fontId="3" type="noConversion"/>
  </si>
  <si>
    <t>신순연_H2 출장  숙박비 10월 환율</t>
    <phoneticPr fontId="3" type="noConversion"/>
  </si>
  <si>
    <r>
      <t>liu</t>
    </r>
    <r>
      <rPr>
        <sz val="11"/>
        <color theme="1"/>
        <rFont val="맑은 고딕"/>
        <family val="3"/>
        <charset val="129"/>
        <scheme val="minor"/>
      </rPr>
      <t xml:space="preserve"> ming liang</t>
    </r>
    <phoneticPr fontId="8" type="noConversion"/>
  </si>
  <si>
    <r>
      <t>c</t>
    </r>
    <r>
      <rPr>
        <sz val="11"/>
        <color theme="1"/>
        <rFont val="맑은 고딕"/>
        <family val="3"/>
        <charset val="129"/>
        <scheme val="minor"/>
      </rPr>
      <t>hen guo liang</t>
    </r>
    <phoneticPr fontId="8" type="noConversion"/>
  </si>
  <si>
    <t>임결정</t>
    <phoneticPr fontId="8" type="noConversion"/>
  </si>
  <si>
    <t>coffee Shop</t>
    <phoneticPr fontId="8" type="noConversion"/>
  </si>
  <si>
    <t>Li Xue, Cui Ning, 임결정 책임.</t>
    <phoneticPr fontId="8" type="noConversion"/>
  </si>
  <si>
    <t>Wu Liang Song 부장, Weng Peng 과장, Ma Qiao Yi 과장, 김명관 책임, 임결정 책임.</t>
    <phoneticPr fontId="8" type="noConversion"/>
  </si>
  <si>
    <t>품질팀</t>
    <phoneticPr fontId="8" type="noConversion"/>
  </si>
  <si>
    <t>합비 중 식당</t>
    <phoneticPr fontId="8" type="noConversion"/>
  </si>
  <si>
    <t>Zheng Yu Ting, 권유석 팀장, 김명관 책임, 임결정 책임.</t>
    <phoneticPr fontId="8" type="noConversion"/>
  </si>
  <si>
    <t>구매 미팅</t>
    <phoneticPr fontId="8" type="noConversion"/>
  </si>
  <si>
    <t>Neo 총경리, 김명관 책임.</t>
    <phoneticPr fontId="8" type="noConversion"/>
  </si>
  <si>
    <t>Wu Han 중 식당</t>
    <phoneticPr fontId="8" type="noConversion"/>
  </si>
  <si>
    <t>T10 Wang Zhan Hua 부장, 성재웅 팀장, 김희진 수석, 신순연 책임.</t>
    <phoneticPr fontId="8" type="noConversion"/>
  </si>
  <si>
    <t>CSOT TPV Wuhan 향 CS Zhou Rui 과장, 성재웅 팀장, 김희진 수석, 신순연 책임.</t>
    <phoneticPr fontId="8" type="noConversion"/>
  </si>
  <si>
    <t xml:space="preserve">Lin Shi De과장, 성재웅 팀징, 김산홍 부장, 왕단 책임, 김희진 수석, 신순연 책임. </t>
    <phoneticPr fontId="8" type="noConversion"/>
  </si>
  <si>
    <t>품질 미팅.</t>
    <phoneticPr fontId="8" type="noConversion"/>
  </si>
  <si>
    <t xml:space="preserve"> </t>
    <phoneticPr fontId="3" type="noConversion"/>
  </si>
  <si>
    <t xml:space="preserve"> </t>
    <phoneticPr fontId="11" type="noConversion"/>
  </si>
  <si>
    <t>23년 X월 송금_(#)</t>
    <phoneticPr fontId="11" type="noConversion"/>
  </si>
  <si>
    <t>금액 (CNY)</t>
    <phoneticPr fontId="11" type="noConversion"/>
  </si>
  <si>
    <t>금액 (USD)</t>
    <phoneticPr fontId="11" type="noConversion"/>
  </si>
  <si>
    <t>금액 (KRW)</t>
    <phoneticPr fontId="11" type="noConversion"/>
  </si>
  <si>
    <t>업무추진비</t>
    <phoneticPr fontId="11" type="noConversion"/>
  </si>
  <si>
    <t>여비교통비</t>
    <phoneticPr fontId="11" type="noConversion"/>
  </si>
  <si>
    <t>해외</t>
    <phoneticPr fontId="11" type="noConversion"/>
  </si>
  <si>
    <t>사무실임차료</t>
  </si>
  <si>
    <t>지급임차료</t>
    <phoneticPr fontId="11" type="noConversion"/>
  </si>
  <si>
    <t>급여(incentive)</t>
    <phoneticPr fontId="8" type="noConversion"/>
  </si>
  <si>
    <t>성과급여조정</t>
    <phoneticPr fontId="8" type="noConversion"/>
  </si>
  <si>
    <r>
      <rPr>
        <b/>
        <sz val="9"/>
        <color rgb="FFFF0000"/>
        <rFont val="맑은 고딕"/>
        <family val="3"/>
        <charset val="129"/>
        <scheme val="major"/>
      </rPr>
      <t>(-)</t>
    </r>
    <r>
      <rPr>
        <sz val="9"/>
        <color theme="1"/>
        <rFont val="맑은 고딕"/>
        <family val="3"/>
        <charset val="129"/>
        <scheme val="major"/>
      </rPr>
      <t>잡이익</t>
    </r>
    <r>
      <rPr>
        <b/>
        <sz val="9"/>
        <color theme="1"/>
        <rFont val="맑은 고딕"/>
        <family val="3"/>
        <charset val="129"/>
        <scheme val="major"/>
      </rPr>
      <t>(50)</t>
    </r>
    <phoneticPr fontId="8" type="noConversion"/>
  </si>
  <si>
    <t>(-)잡이익</t>
    <phoneticPr fontId="8" type="noConversion"/>
  </si>
  <si>
    <t>담당자</t>
    <phoneticPr fontId="11" type="noConversion"/>
  </si>
  <si>
    <t>항목</t>
    <phoneticPr fontId="8" type="noConversion"/>
  </si>
  <si>
    <t>날짜</t>
  </si>
  <si>
    <t>내역</t>
  </si>
  <si>
    <t>담당자</t>
  </si>
  <si>
    <t>증빙번호</t>
  </si>
  <si>
    <t>대계정</t>
  </si>
  <si>
    <t>소계정</t>
  </si>
  <si>
    <t>CNY</t>
  </si>
  <si>
    <t>환산요율</t>
    <phoneticPr fontId="8" type="noConversion"/>
  </si>
  <si>
    <t>12월 송금</t>
  </si>
  <si>
    <r>
      <t>▶ 24년 01월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</si>
  <si>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24년 X월 송금_(#)</t>
  </si>
  <si>
    <t>25년 X월 송금_(#)</t>
  </si>
  <si>
    <t>26년 X월 송금_(#)</t>
  </si>
  <si>
    <t>27년 X월 송금_(#)</t>
  </si>
  <si>
    <t>28년 X월 송금_(#)</t>
  </si>
  <si>
    <t>29년 X월 송금_(#)</t>
  </si>
  <si>
    <t>30년 X월 송금_(#)</t>
  </si>
  <si>
    <t>31년 X월 송금_(#)</t>
  </si>
  <si>
    <t>32년 X월 송금_(#)</t>
  </si>
  <si>
    <t>33년 X월 송금_(#)</t>
  </si>
  <si>
    <t>23년 12월 송금_1307.90 (#100075874)</t>
    <phoneticPr fontId="11" type="noConversion"/>
  </si>
  <si>
    <t xml:space="preserve">11/10 송금 환율(1,309.00) #100075901 </t>
    <phoneticPr fontId="3" type="noConversion"/>
  </si>
  <si>
    <t xml:space="preserve">12/10 송금 환율(1,307.90) #100075905 </t>
    <phoneticPr fontId="3" type="noConversion"/>
  </si>
  <si>
    <t>합계</t>
    <phoneticPr fontId="3" type="noConversion"/>
  </si>
  <si>
    <t>Lecory Diff Probe 구매 잔액 처리</t>
    <phoneticPr fontId="3" type="noConversion"/>
  </si>
  <si>
    <t>USD입금 and RMB 환전</t>
  </si>
  <si>
    <t>Zhang Liang_출장 항공권_숙박비</t>
  </si>
  <si>
    <t>Zhang Liang_시내/시외 교통비</t>
    <phoneticPr fontId="3" type="noConversion"/>
  </si>
  <si>
    <t>Pan Shi Qiang_통신</t>
    <phoneticPr fontId="3" type="noConversion"/>
  </si>
  <si>
    <t>Pan Shi Qiang_택배</t>
    <phoneticPr fontId="3" type="noConversion"/>
  </si>
  <si>
    <t>Pan Shi Qiang_시내 교통비</t>
    <phoneticPr fontId="3" type="noConversion"/>
  </si>
  <si>
    <t>Lin Jie Ting(임결정)_출장비</t>
    <phoneticPr fontId="3" type="noConversion"/>
  </si>
  <si>
    <t>Lin Jie Ting(임결정)_시내/시외 교통비</t>
    <phoneticPr fontId="3" type="noConversion"/>
  </si>
  <si>
    <t>김명관 책임_출장비</t>
    <phoneticPr fontId="3" type="noConversion"/>
  </si>
  <si>
    <t>김명관 책임_통신비</t>
    <phoneticPr fontId="3" type="noConversion"/>
  </si>
  <si>
    <t>신순연_출장비</t>
    <phoneticPr fontId="3" type="noConversion"/>
  </si>
  <si>
    <t>신순연_사무실 운영비(청소비, 택배비, 사무비품등)</t>
    <phoneticPr fontId="3" type="noConversion"/>
  </si>
  <si>
    <t xml:space="preserve">신순연_사무실 Wifi </t>
    <phoneticPr fontId="3" type="noConversion"/>
  </si>
  <si>
    <t>김명관 교육비</t>
    <phoneticPr fontId="3" type="noConversion"/>
  </si>
  <si>
    <t>김명관 교육비 잘못 송금</t>
    <phoneticPr fontId="3" type="noConversion"/>
  </si>
  <si>
    <t>신순연_택배</t>
    <phoneticPr fontId="3" type="noConversion"/>
  </si>
  <si>
    <t>사무실 운영세금(23년10월~12월 분)</t>
    <phoneticPr fontId="8" type="noConversion"/>
  </si>
  <si>
    <t>사무실 운영세금(23년10월~12월 분)</t>
  </si>
  <si>
    <t>Tektronix Diff Probe 구매 선입금 은행수수료</t>
    <phoneticPr fontId="3" type="noConversion"/>
  </si>
  <si>
    <t>차량 기사비</t>
  </si>
  <si>
    <t>기사 야근비용</t>
  </si>
  <si>
    <t>보너스</t>
  </si>
  <si>
    <t>김명관
책임</t>
    <phoneticPr fontId="4" type="noConversion"/>
  </si>
  <si>
    <t>신순연
책임</t>
    <phoneticPr fontId="4" type="noConversion"/>
  </si>
  <si>
    <t>FAE (Pan Shi Qiang)
7/1 입사</t>
    <phoneticPr fontId="4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</si>
  <si>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8/1 입사</t>
    </r>
    <phoneticPr fontId="4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</si>
  <si>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9/18 입사</t>
    </r>
    <phoneticPr fontId="4" type="noConversion"/>
  </si>
  <si>
    <t>Zhang Liang_사무비품</t>
    <phoneticPr fontId="3" type="noConversion"/>
  </si>
  <si>
    <t>Pan Shi Qiang_출장 교통</t>
    <phoneticPr fontId="3" type="noConversion"/>
  </si>
  <si>
    <t>Lin Jie Ting(임결정)_택배</t>
    <phoneticPr fontId="3" type="noConversion"/>
  </si>
  <si>
    <t>영수증 차액 0.6 안받음</t>
    <phoneticPr fontId="3" type="noConversion"/>
  </si>
  <si>
    <t>@1307.90(7.1614)</t>
    <phoneticPr fontId="3" type="noConversion"/>
  </si>
  <si>
    <t>1월 송금</t>
    <phoneticPr fontId="3" type="noConversion"/>
  </si>
  <si>
    <t>@1312.1(7.1453)</t>
    <phoneticPr fontId="3" type="noConversion"/>
  </si>
  <si>
    <t>사무실임차료</t>
    <phoneticPr fontId="3" type="noConversion"/>
  </si>
  <si>
    <t>24년 1월 송금_1312.1 (#)</t>
    <phoneticPr fontId="11" type="noConversion"/>
  </si>
  <si>
    <t xml:space="preserve">5,568 반환 / 2월 정산 </t>
    <phoneticPr fontId="3" type="noConversion"/>
  </si>
  <si>
    <t>6,000 반환 / 2월 정산</t>
    <phoneticPr fontId="3" type="noConversion"/>
  </si>
  <si>
    <t>Tektronix Diff Probe 구매 선입금 수수료</t>
    <phoneticPr fontId="3" type="noConversion"/>
  </si>
  <si>
    <t>참석자</t>
  </si>
  <si>
    <t>고객</t>
  </si>
  <si>
    <t>24년 2월 송금_1,327.20 (#)</t>
    <phoneticPr fontId="11" type="noConversion"/>
  </si>
  <si>
    <t>Chen Guo Liang 잘못 송금 시 발생 수수료 -&gt; 반환</t>
    <phoneticPr fontId="3" type="noConversion"/>
  </si>
  <si>
    <t>Lin Jie Ting(임결정)_춘절 선물</t>
    <phoneticPr fontId="3" type="noConversion"/>
  </si>
  <si>
    <t>신순연_춘절 선물</t>
    <phoneticPr fontId="3" type="noConversion"/>
  </si>
  <si>
    <t>2월 송금</t>
  </si>
  <si>
    <t>2월 송금</t>
    <phoneticPr fontId="3" type="noConversion"/>
  </si>
  <si>
    <t>@1312.1(7.1453)</t>
  </si>
  <si>
    <t>@1327.2(7.1808)</t>
  </si>
  <si>
    <t>@1327.2(7.1808)</t>
    <phoneticPr fontId="3" type="noConversion"/>
  </si>
  <si>
    <t>성과급여조정</t>
    <phoneticPr fontId="3" type="noConversion"/>
  </si>
  <si>
    <t>24년 3월 송금_1,323.10 (#)</t>
    <phoneticPr fontId="11" type="noConversion"/>
  </si>
  <si>
    <r>
      <t>▶ 24년 03월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</si>
  <si>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r>
      <t>▶ 24년 02월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</si>
  <si>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인터넷 뱅킹 비용</t>
  </si>
  <si>
    <t>사전 평가 용 OC 구매</t>
  </si>
  <si>
    <t>이전 사무실 Deposite 입금</t>
  </si>
  <si>
    <t>Zhang Liang_업무추진비</t>
    <phoneticPr fontId="3" type="noConversion"/>
  </si>
  <si>
    <t>Pan Shi Qiang_업무추진비</t>
  </si>
  <si>
    <t>Pan Shi Qiang_사무비품</t>
    <phoneticPr fontId="3" type="noConversion"/>
  </si>
  <si>
    <t>Lin Jie Ting_업무추진비</t>
  </si>
  <si>
    <t>Lin Jie Ting_이사비용</t>
  </si>
  <si>
    <t>Lin Jie Ting_사무비품</t>
  </si>
  <si>
    <t>Lin Jie Ting_출장 교통</t>
  </si>
  <si>
    <t>Lin Jie Ting_시내 교통비</t>
  </si>
  <si>
    <t>Pan Shi Qiang_출장비</t>
    <phoneticPr fontId="3" type="noConversion"/>
  </si>
  <si>
    <t>구 사무실 관리비(2월 27일 이전)</t>
  </si>
  <si>
    <t>신규 사무실 보증금</t>
    <phoneticPr fontId="3" type="noConversion"/>
  </si>
  <si>
    <t>신규 사무실 임차료</t>
    <phoneticPr fontId="3" type="noConversion"/>
  </si>
  <si>
    <t>신규 사무실 관리비</t>
    <phoneticPr fontId="3" type="noConversion"/>
  </si>
  <si>
    <t xml:space="preserve">3월8일~3월 15일 관리비 </t>
  </si>
  <si>
    <t>통장내역</t>
    <phoneticPr fontId="8" type="noConversion"/>
  </si>
  <si>
    <t>사무실 의자 비용, 사진비</t>
    <phoneticPr fontId="3" type="noConversion"/>
  </si>
  <si>
    <t>Lin Jie Ting_이전 사무실 관리비</t>
    <phoneticPr fontId="3" type="noConversion"/>
  </si>
  <si>
    <t>김명관 수석_업무추진비</t>
    <phoneticPr fontId="3" type="noConversion"/>
  </si>
  <si>
    <t>김명관 수석_통신비</t>
  </si>
  <si>
    <t>김명관 수석_사무비품</t>
  </si>
  <si>
    <t>김명관 수석_시내교통비</t>
  </si>
  <si>
    <t>김명관 수석_출장비</t>
  </si>
  <si>
    <t>보증금 입금 내역_1,234.5 (#)</t>
    <phoneticPr fontId="11" type="noConversion"/>
  </si>
  <si>
    <r>
      <rPr>
        <sz val="9"/>
        <color rgb="FFFF0000"/>
        <rFont val="맑은 고딕"/>
        <family val="3"/>
        <charset val="129"/>
        <scheme val="major"/>
      </rPr>
      <t>(-)</t>
    </r>
    <r>
      <rPr>
        <sz val="9"/>
        <color theme="1"/>
        <rFont val="맑은 고딕"/>
        <family val="3"/>
        <charset val="129"/>
        <scheme val="major"/>
      </rPr>
      <t>보증금</t>
    </r>
    <phoneticPr fontId="3" type="noConversion"/>
  </si>
  <si>
    <t xml:space="preserve">영수증 재확인 필요 -&gt; 4 추가 입금 완료 </t>
    <phoneticPr fontId="3" type="noConversion"/>
  </si>
  <si>
    <t>영수증 재확인 필요 -&gt; 4.1 추가 인출 완료</t>
    <phoneticPr fontId="3" type="noConversion"/>
  </si>
  <si>
    <t>김명관 수석 추가 인출 수수료</t>
    <phoneticPr fontId="3" type="noConversion"/>
  </si>
  <si>
    <t>사용자</t>
    <phoneticPr fontId="8" type="noConversion"/>
  </si>
  <si>
    <t>DBGC</t>
    <phoneticPr fontId="8" type="noConversion"/>
  </si>
  <si>
    <t>3월 21일</t>
    <phoneticPr fontId="8" type="noConversion"/>
  </si>
  <si>
    <t>커피</t>
    <phoneticPr fontId="8" type="noConversion"/>
  </si>
  <si>
    <t>CSOT 업무 추진</t>
    <phoneticPr fontId="8" type="noConversion"/>
  </si>
  <si>
    <r>
      <t xml:space="preserve">조달 </t>
    </r>
    <r>
      <rPr>
        <sz val="10"/>
        <color theme="1"/>
        <rFont val="맑은 고딕"/>
        <family val="3"/>
        <charset val="134"/>
        <scheme val="minor"/>
      </rPr>
      <t>温鹏</t>
    </r>
    <phoneticPr fontId="8" type="noConversion"/>
  </si>
  <si>
    <t>김명관 수석，Jessie</t>
    <phoneticPr fontId="8" type="noConversion"/>
  </si>
  <si>
    <t>중식당</t>
    <phoneticPr fontId="8" type="noConversion"/>
  </si>
  <si>
    <r>
      <t xml:space="preserve">구매 </t>
    </r>
    <r>
      <rPr>
        <sz val="10"/>
        <color theme="1"/>
        <rFont val="맑은 고딕"/>
        <family val="3"/>
        <charset val="134"/>
        <scheme val="minor"/>
      </rPr>
      <t>黄晓</t>
    </r>
    <r>
      <rPr>
        <sz val="10"/>
        <color theme="1"/>
        <rFont val="맑은 고딕"/>
        <family val="3"/>
        <charset val="129"/>
        <scheme val="minor"/>
      </rPr>
      <t>航、王哲、李雪</t>
    </r>
    <phoneticPr fontId="8" type="noConversion"/>
  </si>
  <si>
    <t xml:space="preserve"> 이상태 수석, 김명관 수석, 신책임，Jessie</t>
    <phoneticPr fontId="8" type="noConversion"/>
  </si>
  <si>
    <t>한식집</t>
    <phoneticPr fontId="8" type="noConversion"/>
  </si>
  <si>
    <r>
      <t>가발 黎云</t>
    </r>
    <r>
      <rPr>
        <sz val="10"/>
        <color theme="1"/>
        <rFont val="맑은 고딕"/>
        <family val="3"/>
        <charset val="134"/>
        <scheme val="minor"/>
      </rPr>
      <t>涛</t>
    </r>
    <phoneticPr fontId="8" type="noConversion"/>
  </si>
  <si>
    <t xml:space="preserve"> 신책임，Jessie</t>
    <phoneticPr fontId="8" type="noConversion"/>
  </si>
  <si>
    <r>
      <t>가발 王磊、黎云</t>
    </r>
    <r>
      <rPr>
        <sz val="10"/>
        <color theme="1"/>
        <rFont val="맑은 고딕"/>
        <family val="3"/>
        <scheme val="minor"/>
      </rPr>
      <t>涛</t>
    </r>
    <r>
      <rPr>
        <sz val="10"/>
        <color theme="1"/>
        <rFont val="맑은 고딕"/>
        <family val="3"/>
        <charset val="129"/>
        <scheme val="minor"/>
      </rPr>
      <t>、</t>
    </r>
    <r>
      <rPr>
        <sz val="10"/>
        <color theme="1"/>
        <rFont val="맑은 고딕"/>
        <family val="3"/>
        <charset val="134"/>
        <scheme val="minor"/>
      </rPr>
      <t>刘</t>
    </r>
    <r>
      <rPr>
        <sz val="10"/>
        <color theme="1"/>
        <rFont val="맑은 고딕"/>
        <family val="3"/>
        <charset val="129"/>
        <scheme val="minor"/>
      </rPr>
      <t>望、</t>
    </r>
    <r>
      <rPr>
        <sz val="10"/>
        <color theme="1"/>
        <rFont val="맑은 고딕"/>
        <family val="3"/>
        <charset val="134"/>
        <scheme val="minor"/>
      </rPr>
      <t>张</t>
    </r>
    <r>
      <rPr>
        <sz val="10"/>
        <color theme="1"/>
        <rFont val="맑은 고딕"/>
        <family val="3"/>
        <charset val="129"/>
        <scheme val="minor"/>
      </rPr>
      <t>先明、王建</t>
    </r>
    <r>
      <rPr>
        <sz val="10"/>
        <color theme="1"/>
        <rFont val="맑은 고딕"/>
        <family val="3"/>
        <charset val="134"/>
        <scheme val="minor"/>
      </rPr>
      <t>桥</t>
    </r>
    <r>
      <rPr>
        <sz val="10"/>
        <color theme="1"/>
        <rFont val="맑은 고딕"/>
        <family val="3"/>
        <charset val="129"/>
        <scheme val="minor"/>
      </rPr>
      <t>、Sam、Mason</t>
    </r>
    <phoneticPr fontId="8" type="noConversion"/>
  </si>
  <si>
    <t>고재홍 상무,홍형도 수석,신책임,Jessie</t>
    <phoneticPr fontId="8" type="noConversion"/>
  </si>
  <si>
    <t>구매 李雪</t>
    <phoneticPr fontId="8" type="noConversion"/>
  </si>
  <si>
    <t>이상태 수석</t>
    <phoneticPr fontId="8" type="noConversion"/>
  </si>
  <si>
    <t>HKC 업무 추진</t>
    <phoneticPr fontId="8" type="noConversion"/>
  </si>
  <si>
    <r>
      <t xml:space="preserve">구매 </t>
    </r>
    <r>
      <rPr>
        <sz val="10"/>
        <color theme="1"/>
        <rFont val="맑은 고딕"/>
        <family val="3"/>
        <charset val="134"/>
        <scheme val="minor"/>
      </rPr>
      <t>赖</t>
    </r>
    <r>
      <rPr>
        <sz val="10"/>
        <color theme="1"/>
        <rFont val="맑은 고딕"/>
        <family val="3"/>
        <charset val="129"/>
        <scheme val="minor"/>
      </rPr>
      <t>春</t>
    </r>
    <r>
      <rPr>
        <sz val="10"/>
        <color theme="1"/>
        <rFont val="맑은 고딕"/>
        <family val="3"/>
        <charset val="134"/>
        <scheme val="minor"/>
      </rPr>
      <t>艳</t>
    </r>
    <phoneticPr fontId="8" type="noConversion"/>
  </si>
  <si>
    <t>김형호 책임, Jessie</t>
    <phoneticPr fontId="8" type="noConversion"/>
  </si>
  <si>
    <t>VD  정보 파악</t>
    <phoneticPr fontId="8" type="noConversion"/>
  </si>
  <si>
    <t>IPC James</t>
    <phoneticPr fontId="8" type="noConversion"/>
  </si>
  <si>
    <t>Jessie</t>
    <phoneticPr fontId="8" type="noConversion"/>
  </si>
  <si>
    <t>구매 李雪、KA 李香玉</t>
    <phoneticPr fontId="8" type="noConversion"/>
  </si>
  <si>
    <t>권유석 팀장, 김명관 수석, Jessie</t>
    <phoneticPr fontId="8" type="noConversion"/>
  </si>
  <si>
    <t>권유석 팀장, 김명관 수석</t>
    <phoneticPr fontId="8" type="noConversion"/>
  </si>
  <si>
    <t>본가 한국 식당</t>
    <phoneticPr fontId="8" type="noConversion"/>
  </si>
  <si>
    <t>HKC 구매 Etan 총감 석식</t>
    <phoneticPr fontId="8" type="noConversion"/>
  </si>
  <si>
    <t>Ethan 총감</t>
    <phoneticPr fontId="8" type="noConversion"/>
  </si>
  <si>
    <t>김명관수석</t>
    <phoneticPr fontId="8" type="noConversion"/>
  </si>
  <si>
    <t>낙지 마을</t>
    <phoneticPr fontId="8" type="noConversion"/>
  </si>
  <si>
    <t>HKC 개발 구매 Pony 부장 점심</t>
    <phoneticPr fontId="8" type="noConversion"/>
  </si>
  <si>
    <t>Pony 부장</t>
    <phoneticPr fontId="8" type="noConversion"/>
  </si>
  <si>
    <t>권유석수석, 김명관수석</t>
    <phoneticPr fontId="8" type="noConversion"/>
  </si>
  <si>
    <t>살리아 식당</t>
    <phoneticPr fontId="8" type="noConversion"/>
  </si>
  <si>
    <t>CSOT 영업 점심</t>
    <phoneticPr fontId="8" type="noConversion"/>
  </si>
  <si>
    <t>최녕</t>
    <phoneticPr fontId="8" type="noConversion"/>
  </si>
  <si>
    <t>스타벅스</t>
    <phoneticPr fontId="8" type="noConversion"/>
  </si>
  <si>
    <t>CSOT 개발 미팅 커피 구매</t>
    <phoneticPr fontId="8" type="noConversion"/>
  </si>
  <si>
    <t>김성일 총감</t>
    <phoneticPr fontId="8" type="noConversion"/>
  </si>
  <si>
    <t>Pan 책임</t>
    <phoneticPr fontId="8" type="noConversion"/>
  </si>
  <si>
    <t>RDJ 샘플 구하기</t>
    <phoneticPr fontId="8" type="noConversion"/>
  </si>
  <si>
    <t>RDJ</t>
    <phoneticPr fontId="8" type="noConversion"/>
  </si>
  <si>
    <t>朱郁宾</t>
  </si>
  <si>
    <t>Pan책임</t>
    <phoneticPr fontId="8" type="noConversion"/>
  </si>
  <si>
    <t>Zhang선임</t>
    <phoneticPr fontId="8" type="noConversion"/>
  </si>
  <si>
    <t>ESWIN 개발 석식</t>
    <phoneticPr fontId="8" type="noConversion"/>
  </si>
  <si>
    <t>秦陈万里</t>
    <phoneticPr fontId="8" type="noConversion"/>
  </si>
  <si>
    <t>3월 25일</t>
    <phoneticPr fontId="8" type="noConversion"/>
  </si>
  <si>
    <t>2월 23일</t>
    <phoneticPr fontId="8" type="noConversion"/>
  </si>
  <si>
    <t>王哲</t>
    <phoneticPr fontId="8" type="noConversion"/>
  </si>
  <si>
    <t>권유석 팀장, 김명관 수석, Jessie, 신순연 책임.</t>
    <phoneticPr fontId="8" type="noConversion"/>
  </si>
  <si>
    <t>3월 7일</t>
    <phoneticPr fontId="8" type="noConversion"/>
  </si>
  <si>
    <t xml:space="preserve">신순연 </t>
    <phoneticPr fontId="8" type="noConversion"/>
  </si>
  <si>
    <t>ESWIN/BOE 업무 추진</t>
    <phoneticPr fontId="8" type="noConversion"/>
  </si>
  <si>
    <t>ESWIN/BOE</t>
    <phoneticPr fontId="8" type="noConversion"/>
  </si>
  <si>
    <t>Tian Ying Ying, Wang Ke Jia, Qin Chen, BOE B17 품질 과장</t>
    <phoneticPr fontId="8" type="noConversion"/>
  </si>
  <si>
    <t>3월 10일</t>
    <phoneticPr fontId="8" type="noConversion"/>
  </si>
  <si>
    <t>Sam 전문가</t>
    <phoneticPr fontId="8" type="noConversion"/>
  </si>
  <si>
    <t>박정태 상무, 고재홍 상무, 신순연 책임.</t>
    <phoneticPr fontId="8" type="noConversion"/>
  </si>
  <si>
    <t>3월 12일</t>
    <phoneticPr fontId="8" type="noConversion"/>
  </si>
  <si>
    <t>Steve 총감</t>
    <phoneticPr fontId="8" type="noConversion"/>
  </si>
  <si>
    <t>박정태 상무, 고재홍 상무, 신순연 책임</t>
    <phoneticPr fontId="8" type="noConversion"/>
  </si>
  <si>
    <t>일 식당</t>
    <phoneticPr fontId="8" type="noConversion"/>
  </si>
  <si>
    <t>Tony총감, 손성우 부장</t>
    <phoneticPr fontId="8" type="noConversion"/>
  </si>
  <si>
    <t>권유석 팀장, 김명관 수석, 박정태 상무, 고재홍 상무, 신순연 책임.</t>
    <phoneticPr fontId="8" type="noConversion"/>
  </si>
  <si>
    <t>3월 13일</t>
    <phoneticPr fontId="8" type="noConversion"/>
  </si>
  <si>
    <t>3월 14일</t>
    <phoneticPr fontId="8" type="noConversion"/>
  </si>
  <si>
    <t>맥주집</t>
    <phoneticPr fontId="8" type="noConversion"/>
  </si>
  <si>
    <t>Nate 전문가</t>
    <phoneticPr fontId="8" type="noConversion"/>
  </si>
  <si>
    <t>한 식당</t>
    <phoneticPr fontId="8" type="noConversion"/>
  </si>
  <si>
    <t>Mason 전문가</t>
    <phoneticPr fontId="8" type="noConversion"/>
  </si>
  <si>
    <t>24년 2월 송금_1,327.20 (#100013310)</t>
    <phoneticPr fontId="11" type="noConversion"/>
  </si>
  <si>
    <r>
      <t>보증금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입금</t>
    </r>
    <r>
      <rPr>
        <sz val="12"/>
        <color theme="0"/>
        <rFont val="??"/>
        <family val="2"/>
      </rPr>
      <t xml:space="preserve"> </t>
    </r>
    <r>
      <rPr>
        <sz val="12"/>
        <color theme="0"/>
        <rFont val="굴림"/>
        <family val="3"/>
        <charset val="129"/>
      </rPr>
      <t>내역_1,234.5</t>
    </r>
    <r>
      <rPr>
        <sz val="12"/>
        <color theme="0"/>
        <rFont val="??"/>
        <family val="2"/>
      </rPr>
      <t> </t>
    </r>
    <r>
      <rPr>
        <sz val="12"/>
        <color theme="0"/>
        <rFont val="굴림"/>
        <family val="3"/>
        <charset val="129"/>
      </rPr>
      <t>(#1900000828 / #1200000234 / #100013313)</t>
    </r>
  </si>
  <si>
    <t>사무실 운영 세금</t>
  </si>
  <si>
    <t>1,383CNY 추가 인출 -&gt; 반환 완료</t>
    <phoneticPr fontId="3" type="noConversion"/>
  </si>
  <si>
    <t>Lin Jie Ting_통신비</t>
    <phoneticPr fontId="3" type="noConversion"/>
  </si>
  <si>
    <t>Lin Jie Ting_택배비</t>
    <phoneticPr fontId="3" type="noConversion"/>
  </si>
  <si>
    <t>김명관 수석_교육비</t>
    <phoneticPr fontId="3" type="noConversion"/>
  </si>
  <si>
    <t>사무실 주차비(5월 분)</t>
    <phoneticPr fontId="3" type="noConversion"/>
  </si>
  <si>
    <t>신순연_사무실운영비</t>
    <phoneticPr fontId="3" type="noConversion"/>
  </si>
  <si>
    <t>CSOT 출입증 신청 연장 건 보험 구매</t>
  </si>
  <si>
    <t>사무실 주소 변경 건 사진 촬영</t>
    <phoneticPr fontId="3" type="noConversion"/>
  </si>
  <si>
    <t>신순연_경쟁사 IC구입</t>
    <phoneticPr fontId="3" type="noConversion"/>
  </si>
  <si>
    <t>생수 구입</t>
    <phoneticPr fontId="3" type="noConversion"/>
  </si>
  <si>
    <t>사무실 주차비(4월분)_</t>
    <phoneticPr fontId="3" type="noConversion"/>
  </si>
  <si>
    <r>
      <t>▶ 24년 04월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</si>
  <si>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24년 4월 송금_1,354.4 (#)</t>
    <phoneticPr fontId="11" type="noConversion"/>
  </si>
  <si>
    <t>3월 송금</t>
    <phoneticPr fontId="3" type="noConversion"/>
  </si>
  <si>
    <t xml:space="preserve">   </t>
    <phoneticPr fontId="3" type="noConversion"/>
  </si>
  <si>
    <t xml:space="preserve">4월 송금 </t>
  </si>
  <si>
    <t xml:space="preserve">4월 송금 </t>
    <phoneticPr fontId="3" type="noConversion"/>
  </si>
  <si>
    <t>3월 말 인출 내역</t>
    <phoneticPr fontId="3" type="noConversion"/>
  </si>
  <si>
    <t>3월 수정 요율</t>
    <phoneticPr fontId="3" type="noConversion"/>
  </si>
  <si>
    <t>CNY</t>
    <phoneticPr fontId="3" type="noConversion"/>
  </si>
  <si>
    <t>USD</t>
    <phoneticPr fontId="3" type="noConversion"/>
  </si>
  <si>
    <t>3월 정산 요율</t>
    <phoneticPr fontId="3" type="noConversion"/>
  </si>
  <si>
    <t>24년 환산요율 조정</t>
    <phoneticPr fontId="3" type="noConversion"/>
  </si>
  <si>
    <t>환율 차액 보정</t>
    <phoneticPr fontId="3" type="noConversion"/>
  </si>
  <si>
    <t xml:space="preserve">송금 환산 요율 차액 보정 </t>
    <phoneticPr fontId="3" type="noConversion"/>
  </si>
  <si>
    <t>현채인 월급 보너스</t>
    <phoneticPr fontId="3" type="noConversion"/>
  </si>
  <si>
    <r>
      <t>▶ 24년 05월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</si>
  <si>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24년 5월 송금_1367.9 (#)</t>
    <phoneticPr fontId="11" type="noConversion"/>
  </si>
  <si>
    <t>인터넷 뱅킹 사용료</t>
  </si>
  <si>
    <t>사무실 주차비</t>
  </si>
  <si>
    <t>임결정</t>
    <phoneticPr fontId="3" type="noConversion"/>
  </si>
  <si>
    <t>포상금</t>
    <phoneticPr fontId="3" type="noConversion"/>
  </si>
  <si>
    <t>포상금</t>
    <phoneticPr fontId="8" type="noConversion"/>
  </si>
  <si>
    <t>5월 송금</t>
    <phoneticPr fontId="3" type="noConversion"/>
  </si>
  <si>
    <t>이자 입금</t>
    <phoneticPr fontId="8" type="noConversion"/>
  </si>
  <si>
    <t>23년 심사 보고서 대행비_일부 금액</t>
    <phoneticPr fontId="8" type="noConversion"/>
  </si>
  <si>
    <t>Zhang Liang_출장 항공권_숙박비</t>
    <phoneticPr fontId="3" type="noConversion"/>
  </si>
  <si>
    <t>Pan Shi Qiang_접대비</t>
    <phoneticPr fontId="3" type="noConversion"/>
  </si>
  <si>
    <t>Pan Shi Qiang_시내/시외교통비</t>
    <phoneticPr fontId="3" type="noConversion"/>
  </si>
  <si>
    <t>김명관 수석_통신비</t>
    <phoneticPr fontId="3" type="noConversion"/>
  </si>
  <si>
    <t>김명관 수석_비자비용</t>
    <phoneticPr fontId="3" type="noConversion"/>
  </si>
  <si>
    <t>김명관 수석_출장/항공 숙박비</t>
    <phoneticPr fontId="3" type="noConversion"/>
  </si>
  <si>
    <t>신순연 책임_사무실 Wifi</t>
    <phoneticPr fontId="3" type="noConversion"/>
  </si>
  <si>
    <t>신순연 책임_택배비</t>
    <phoneticPr fontId="3" type="noConversion"/>
  </si>
  <si>
    <t>신순연 책임_출장비</t>
    <phoneticPr fontId="3" type="noConversion"/>
  </si>
  <si>
    <t>Lin Jie Ting_업무추진비</t>
    <phoneticPr fontId="3" type="noConversion"/>
  </si>
  <si>
    <t>Lin Jie Ting_시내/시외 교통비</t>
    <phoneticPr fontId="3" type="noConversion"/>
  </si>
  <si>
    <t>Lin Jie Ting_숙박비</t>
    <phoneticPr fontId="3" type="noConversion"/>
  </si>
  <si>
    <t xml:space="preserve">세무대행사로 급여 잘못 송금 / 당일 다시 입금 </t>
    <phoneticPr fontId="3" type="noConversion"/>
  </si>
  <si>
    <t>Pan Shi Qiang_출장 숙박비</t>
    <phoneticPr fontId="3" type="noConversion"/>
  </si>
  <si>
    <t>23년 심사 보고서 대행비_잔액 지불</t>
    <phoneticPr fontId="3" type="noConversion"/>
  </si>
  <si>
    <t>6월 송금</t>
    <phoneticPr fontId="3" type="noConversion"/>
  </si>
  <si>
    <r>
      <t>▶ 24년 06월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</si>
  <si>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24년 6월 송금_1,366.90 (#100034330)</t>
    <phoneticPr fontId="11" type="noConversion"/>
  </si>
  <si>
    <t>24년 5월 송금_1367.9 (#100034329)</t>
    <phoneticPr fontId="11" type="noConversion"/>
  </si>
  <si>
    <t>24년 6월 송금_1,366.90 (#)</t>
    <phoneticPr fontId="11" type="noConversion"/>
  </si>
  <si>
    <t>24년 7월 송금_1383.4 (#)</t>
    <phoneticPr fontId="11" type="noConversion"/>
  </si>
  <si>
    <r>
      <rPr>
        <sz val="9"/>
        <color theme="1"/>
        <rFont val="맑은 고딕"/>
        <family val="3"/>
        <charset val="129"/>
        <scheme val="minor"/>
      </rPr>
      <t>사무실</t>
    </r>
    <r>
      <rPr>
        <sz val="9"/>
        <color theme="1"/>
        <rFont val="맑은 고딕"/>
        <family val="3"/>
        <charset val="134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운영</t>
    </r>
    <r>
      <rPr>
        <sz val="9"/>
        <color theme="1"/>
        <rFont val="맑은 고딕"/>
        <family val="3"/>
        <charset val="134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>세금</t>
    </r>
    <r>
      <rPr>
        <sz val="9"/>
        <color theme="1"/>
        <rFont val="맑은 고딕"/>
        <family val="3"/>
        <charset val="134"/>
        <scheme val="minor"/>
      </rPr>
      <t>(Q2)</t>
    </r>
    <phoneticPr fontId="8" type="noConversion"/>
  </si>
  <si>
    <r>
      <rPr>
        <sz val="9"/>
        <color theme="1"/>
        <rFont val="맑은 고딕"/>
        <family val="1"/>
        <charset val="129"/>
        <scheme val="minor"/>
      </rPr>
      <t>사무실</t>
    </r>
    <r>
      <rPr>
        <sz val="9"/>
        <color theme="1"/>
        <rFont val="맑은 고딕"/>
        <family val="3"/>
        <charset val="134"/>
        <scheme val="minor"/>
      </rPr>
      <t xml:space="preserve"> </t>
    </r>
    <r>
      <rPr>
        <sz val="9"/>
        <color theme="1"/>
        <rFont val="맑은 고딕"/>
        <family val="1"/>
        <charset val="129"/>
        <scheme val="minor"/>
      </rPr>
      <t>주차비</t>
    </r>
  </si>
  <si>
    <t>보너스</t>
    <phoneticPr fontId="4" type="noConversion"/>
  </si>
  <si>
    <r>
      <t>보험비(회사납부)
公司</t>
    </r>
    <r>
      <rPr>
        <sz val="10"/>
        <color indexed="8"/>
        <rFont val="새굴림"/>
        <family val="1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새굴림"/>
        <family val="1"/>
        <charset val="129"/>
      </rPr>
      <t>计</t>
    </r>
    <phoneticPr fontId="4" type="noConversion"/>
  </si>
  <si>
    <t>일비</t>
    <phoneticPr fontId="4" type="noConversion"/>
  </si>
  <si>
    <r>
      <t>보험비(회사납부)
公司</t>
    </r>
    <r>
      <rPr>
        <sz val="10"/>
        <color indexed="8"/>
        <rFont val="맑은 고딕"/>
        <family val="3"/>
        <charset val="129"/>
      </rPr>
      <t>缴纳</t>
    </r>
    <r>
      <rPr>
        <sz val="10"/>
        <color indexed="8"/>
        <rFont val="맑은 고딕"/>
        <family val="3"/>
        <charset val="129"/>
      </rPr>
      <t>部分合</t>
    </r>
    <r>
      <rPr>
        <sz val="10"/>
        <color indexed="8"/>
        <rFont val="맑은 고딕"/>
        <family val="3"/>
        <charset val="129"/>
      </rPr>
      <t>计</t>
    </r>
    <phoneticPr fontId="4" type="noConversion"/>
  </si>
  <si>
    <t>김명관
수석</t>
  </si>
  <si>
    <t>张亮(Zhang Liang)
23/8/1 입사</t>
  </si>
  <si>
    <t>林洁婷 임결정
23/9/18 입사</t>
  </si>
  <si>
    <t>Zhang Liang_접대비</t>
    <phoneticPr fontId="3" type="noConversion"/>
  </si>
  <si>
    <t>Zhang Liang_시내/시외교통비</t>
    <phoneticPr fontId="3" type="noConversion"/>
  </si>
  <si>
    <t>Lin Jie Ting_시내/시외교통비</t>
    <phoneticPr fontId="3" type="noConversion"/>
  </si>
  <si>
    <t>김명관 수석_출장비</t>
    <phoneticPr fontId="3" type="noConversion"/>
  </si>
  <si>
    <t>김명관 수석_시내/시외교통비</t>
    <phoneticPr fontId="3" type="noConversion"/>
  </si>
  <si>
    <t>신순연_사무실 WIFI</t>
    <phoneticPr fontId="3" type="noConversion"/>
  </si>
  <si>
    <t>7월 송금</t>
    <phoneticPr fontId="3" type="noConversion"/>
  </si>
  <si>
    <r>
      <t>▶ 24년 07월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</si>
  <si>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24년 8월 송금_1369.40 (#)</t>
    <phoneticPr fontId="11" type="noConversion"/>
  </si>
  <si>
    <t>사무실 임대료/보증금 관련</t>
    <phoneticPr fontId="8" type="noConversion"/>
  </si>
  <si>
    <t>Pan Shi Qiang_시내/시외 교통비</t>
    <phoneticPr fontId="3" type="noConversion"/>
  </si>
  <si>
    <t>신순연_사무실 WIFI+통신비</t>
    <phoneticPr fontId="3" type="noConversion"/>
  </si>
  <si>
    <t>신순연_시내/시외 교통비</t>
    <phoneticPr fontId="3" type="noConversion"/>
  </si>
  <si>
    <t>김명관_학자금 비용</t>
    <phoneticPr fontId="3" type="noConversion"/>
  </si>
  <si>
    <t>김명관_통신비</t>
    <phoneticPr fontId="3" type="noConversion"/>
  </si>
  <si>
    <t>김명관_출장비</t>
    <phoneticPr fontId="3" type="noConversion"/>
  </si>
  <si>
    <t>2 적게 인출, 추가 인출 없음</t>
  </si>
  <si>
    <r>
      <t>▶ 24년 08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</si>
  <si>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8월 송금</t>
  </si>
  <si>
    <t>8월 송금</t>
    <phoneticPr fontId="3" type="noConversion"/>
  </si>
  <si>
    <t>24년 9월 송금_1339.50 (#)</t>
    <phoneticPr fontId="11" type="noConversion"/>
  </si>
  <si>
    <t>사무실 임대료/보증금 관련</t>
  </si>
  <si>
    <t>Zhang Liang_사무용품비</t>
    <phoneticPr fontId="3" type="noConversion"/>
  </si>
  <si>
    <t>Pan Shi Qiang_사무용품비</t>
    <phoneticPr fontId="3" type="noConversion"/>
  </si>
  <si>
    <t>신순연_업무추진비(추석)</t>
    <phoneticPr fontId="3" type="noConversion"/>
  </si>
  <si>
    <t>김명관_시내/시외교통비</t>
    <phoneticPr fontId="3" type="noConversion"/>
  </si>
  <si>
    <t>Lin Jie Ting_출장비</t>
    <phoneticPr fontId="3" type="noConversion"/>
  </si>
  <si>
    <t>9월 송금</t>
    <phoneticPr fontId="3" type="noConversion"/>
  </si>
  <si>
    <t>Lin Jie Ting_사무용품</t>
    <phoneticPr fontId="3" type="noConversion"/>
  </si>
  <si>
    <t>은행 이자</t>
    <phoneticPr fontId="8" type="noConversion"/>
  </si>
  <si>
    <r>
      <t>보험비(회사납부)
公司</t>
    </r>
    <r>
      <rPr>
        <sz val="9"/>
        <color theme="1"/>
        <rFont val="맑은 고딕"/>
        <family val="2"/>
        <scheme val="major"/>
      </rPr>
      <t>缴纳</t>
    </r>
    <r>
      <rPr>
        <sz val="9"/>
        <color theme="1"/>
        <rFont val="맑은 고딕"/>
        <family val="3"/>
        <charset val="129"/>
        <scheme val="major"/>
      </rPr>
      <t>部分合</t>
    </r>
    <r>
      <rPr>
        <sz val="9"/>
        <color theme="1"/>
        <rFont val="맑은 고딕"/>
        <family val="2"/>
        <scheme val="major"/>
      </rPr>
      <t>计</t>
    </r>
  </si>
  <si>
    <t>해외지사비</t>
    <phoneticPr fontId="11" type="noConversion"/>
  </si>
  <si>
    <t>잡이익</t>
    <phoneticPr fontId="11" type="noConversion"/>
  </si>
  <si>
    <t>일반</t>
    <phoneticPr fontId="11" type="noConversion"/>
  </si>
  <si>
    <t>통신비</t>
    <phoneticPr fontId="11" type="noConversion"/>
  </si>
  <si>
    <t>기타</t>
    <phoneticPr fontId="11" type="noConversion"/>
  </si>
  <si>
    <t>9월 송금</t>
  </si>
  <si>
    <r>
      <rPr>
        <sz val="9"/>
        <color theme="1"/>
        <rFont val="微软雅黑"/>
        <family val="2"/>
        <charset val="134"/>
      </rPr>
      <t>3</t>
    </r>
    <r>
      <rPr>
        <sz val="9"/>
        <color theme="1"/>
        <rFont val="Malgun Gothic"/>
        <family val="2"/>
        <charset val="129"/>
      </rPr>
      <t>분기 세금 비용</t>
    </r>
    <phoneticPr fontId="8" type="noConversion"/>
  </si>
  <si>
    <t>6T8940 75" 사전평가용 Panel 비용(3매)</t>
    <phoneticPr fontId="8" type="noConversion"/>
  </si>
  <si>
    <t>사무실 임대료/전기세 관련</t>
    <phoneticPr fontId="8" type="noConversion"/>
  </si>
  <si>
    <t>24년 10월 송금_1347.8 (#)</t>
    <phoneticPr fontId="11" type="noConversion"/>
  </si>
  <si>
    <t>Zhang Liang_사무용품</t>
    <phoneticPr fontId="3" type="noConversion"/>
  </si>
  <si>
    <t>Pan Shi Qiang_업무 추진비</t>
    <phoneticPr fontId="3" type="noConversion"/>
  </si>
  <si>
    <t>신순연_사무실 운영비</t>
    <phoneticPr fontId="3" type="noConversion"/>
  </si>
  <si>
    <t>10월 송금</t>
  </si>
  <si>
    <t>10월 송금</t>
    <phoneticPr fontId="3" type="noConversion"/>
  </si>
  <si>
    <t>24년 11월 송금_1,385.40 (#)</t>
    <phoneticPr fontId="11" type="noConversion"/>
  </si>
  <si>
    <t>Liu Ming Liang_톨비</t>
  </si>
  <si>
    <t>Liu Ming Liang_주유비</t>
  </si>
  <si>
    <t>Du Wei Qing_주차비</t>
    <phoneticPr fontId="3" type="noConversion"/>
  </si>
  <si>
    <t>Du Wei Qing_주유비</t>
    <phoneticPr fontId="3" type="noConversion"/>
  </si>
  <si>
    <t>Du Wei Qing_톨비</t>
    <phoneticPr fontId="3" type="noConversion"/>
  </si>
  <si>
    <t>11월 송금</t>
  </si>
  <si>
    <t>11월 송금</t>
    <phoneticPr fontId="3" type="noConversion"/>
  </si>
  <si>
    <r>
      <t>▶ 24년 11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</si>
  <si>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영수증 불일치: 45 RMB 재입금</t>
    <phoneticPr fontId="3" type="noConversion"/>
  </si>
  <si>
    <t>영수증 불일치: 0.45 RMB 재입금</t>
    <phoneticPr fontId="3" type="noConversion"/>
  </si>
  <si>
    <r>
      <t>▶ 24년 12월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</si>
  <si>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Zhang Liang_시내 교통비</t>
    <phoneticPr fontId="3" type="noConversion"/>
  </si>
  <si>
    <t>Zhang Liang_운송비</t>
    <phoneticPr fontId="3" type="noConversion"/>
  </si>
  <si>
    <t>Zhang Liang_출장비</t>
    <phoneticPr fontId="3" type="noConversion"/>
  </si>
  <si>
    <t>Zhang Liang_사무용픔</t>
    <phoneticPr fontId="3" type="noConversion"/>
  </si>
  <si>
    <t>Zhang Liang_한국 비자 비용</t>
    <phoneticPr fontId="3" type="noConversion"/>
  </si>
  <si>
    <t>Pan Shi Qiang_한국 비자 비용</t>
    <phoneticPr fontId="3" type="noConversion"/>
  </si>
  <si>
    <t>김명관_주재원 학자금</t>
    <phoneticPr fontId="3" type="noConversion"/>
  </si>
  <si>
    <t>Du Wei Qing_수수료</t>
    <phoneticPr fontId="3" type="noConversion"/>
  </si>
  <si>
    <t>Liu Ming Liang_수수료</t>
    <phoneticPr fontId="3" type="noConversion"/>
  </si>
  <si>
    <r>
      <rPr>
        <sz val="9"/>
        <color theme="1"/>
        <rFont val="새굴림"/>
        <family val="3"/>
        <charset val="134"/>
      </rPr>
      <t>张亮</t>
    </r>
    <r>
      <rPr>
        <sz val="9"/>
        <color theme="1"/>
        <rFont val="Calibri"/>
        <family val="3"/>
      </rPr>
      <t>(Zhang Liang)</t>
    </r>
    <phoneticPr fontId="3" type="noConversion"/>
  </si>
  <si>
    <r>
      <t>林</t>
    </r>
    <r>
      <rPr>
        <sz val="9"/>
        <color theme="1"/>
        <rFont val="새굴림"/>
        <family val="3"/>
        <charset val="134"/>
      </rPr>
      <t>洁婷</t>
    </r>
    <r>
      <rPr>
        <sz val="9"/>
        <color theme="1"/>
        <rFont val="맑은 고딕"/>
        <family val="3"/>
        <charset val="129"/>
        <scheme val="major"/>
      </rPr>
      <t xml:space="preserve"> 임결정</t>
    </r>
    <phoneticPr fontId="3" type="noConversion"/>
  </si>
  <si>
    <t>12월 송금</t>
    <phoneticPr fontId="3" type="noConversion"/>
  </si>
  <si>
    <t>24년 12월 송금_1,433.2(#)</t>
    <phoneticPr fontId="11" type="noConversion"/>
  </si>
  <si>
    <t>사무실</t>
  </si>
  <si>
    <t>시내</t>
  </si>
  <si>
    <t>사무용픔</t>
  </si>
  <si>
    <t>시내/시외</t>
  </si>
  <si>
    <t>사무실 WIFI+통신비</t>
    <phoneticPr fontId="3" type="noConversion"/>
  </si>
  <si>
    <t>Pan Shi Qiang</t>
    <phoneticPr fontId="3" type="noConversion"/>
  </si>
  <si>
    <t>Zhang Liang</t>
    <phoneticPr fontId="3" type="noConversion"/>
  </si>
  <si>
    <t>Lin Jie Ting</t>
    <phoneticPr fontId="3" type="noConversion"/>
  </si>
  <si>
    <t>Chen Guo Liang</t>
    <phoneticPr fontId="3" type="noConversion"/>
  </si>
  <si>
    <t>Liu Ming Liang</t>
    <phoneticPr fontId="3" type="noConversion"/>
  </si>
  <si>
    <t>Piao Mei Ling</t>
    <phoneticPr fontId="3" type="noConversion"/>
  </si>
  <si>
    <t>Lin Jie Ting / pc. 모니터</t>
    <phoneticPr fontId="3" type="noConversion"/>
  </si>
  <si>
    <t>朴美玲 박미령</t>
  </si>
  <si>
    <t>25년 1월 송금_1458.2(#)</t>
    <phoneticPr fontId="11" type="noConversion"/>
  </si>
  <si>
    <t>보증금 입금 내역_1,234.5 (#1900000828 / #1200000234 / #100013313)</t>
  </si>
  <si>
    <t>4분기 세금 비용</t>
    <phoneticPr fontId="8" type="noConversion"/>
  </si>
  <si>
    <t>DB HITEK조회확인서 수수료</t>
    <phoneticPr fontId="8" type="noConversion"/>
  </si>
  <si>
    <r>
      <rPr>
        <sz val="9"/>
        <color theme="1"/>
        <rFont val="맑은 고딕"/>
        <family val="3"/>
        <charset val="134"/>
        <scheme val="major"/>
      </rPr>
      <t>张</t>
    </r>
    <r>
      <rPr>
        <sz val="9"/>
        <color theme="1"/>
        <rFont val="맑은 고딕"/>
        <family val="3"/>
        <charset val="129"/>
        <scheme val="major"/>
      </rPr>
      <t>亮(Zhang Liang)</t>
    </r>
  </si>
  <si>
    <r>
      <t>▶ 25년 1월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</si>
  <si>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출장비</t>
  </si>
  <si>
    <t>시내교통비</t>
  </si>
  <si>
    <t>택배비</t>
  </si>
  <si>
    <t>주유비</t>
  </si>
  <si>
    <t>주차비</t>
  </si>
  <si>
    <t>톨비</t>
  </si>
  <si>
    <t>사무용품</t>
  </si>
  <si>
    <t>1월 2차 송금</t>
    <phoneticPr fontId="3" type="noConversion"/>
  </si>
  <si>
    <t>전문법율서비스</t>
    <phoneticPr fontId="3" type="noConversion"/>
  </si>
  <si>
    <t>25년 1월 2차 송금_1,434.30 (#)</t>
    <phoneticPr fontId="11" type="noConversion"/>
  </si>
  <si>
    <t>급여</t>
    <phoneticPr fontId="3" type="noConversion"/>
  </si>
  <si>
    <t>신순연_사무실 wfi, 통신비</t>
    <phoneticPr fontId="8" type="noConversion"/>
  </si>
  <si>
    <t>Lin Jie Ting_사무용품비</t>
    <phoneticPr fontId="3" type="noConversion"/>
  </si>
  <si>
    <t>Piao Mei Ling_업무추진비</t>
    <phoneticPr fontId="3" type="noConversion"/>
  </si>
  <si>
    <t>Piao Mei Ling_통신비</t>
    <phoneticPr fontId="3" type="noConversion"/>
  </si>
  <si>
    <t>Piao Mei Ling_출장비</t>
    <phoneticPr fontId="3" type="noConversion"/>
  </si>
  <si>
    <t>Piao Mei Ling_시내교통비</t>
    <phoneticPr fontId="3" type="noConversion"/>
  </si>
  <si>
    <t>Piao Mei Ling_사무실운영비</t>
    <phoneticPr fontId="3" type="noConversion"/>
  </si>
  <si>
    <t>25년 2월 송금_1447.40 (#)</t>
    <phoneticPr fontId="11" type="noConversion"/>
  </si>
  <si>
    <r>
      <t>▶ 25년 2월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</si>
  <si>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25년 3월 송금_1,446.30 (#)</t>
    <phoneticPr fontId="11" type="noConversion"/>
  </si>
  <si>
    <t>학자금</t>
  </si>
  <si>
    <t>세차비</t>
  </si>
  <si>
    <t>신순연</t>
  </si>
  <si>
    <t>박미령</t>
    <phoneticPr fontId="3" type="noConversion"/>
  </si>
  <si>
    <t>시내/시외교통비</t>
    <phoneticPr fontId="3" type="noConversion"/>
  </si>
  <si>
    <r>
      <t>▶ 25년 3월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</si>
  <si>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r>
      <t>▶ 25년 4월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</si>
  <si>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25년 4월 송금_1,482.90 (#)</t>
    <phoneticPr fontId="11" type="noConversion"/>
  </si>
  <si>
    <t>1분기 기업 소득세</t>
    <phoneticPr fontId="8" type="noConversion"/>
  </si>
  <si>
    <t>Pan Shi Qiang</t>
    <phoneticPr fontId="8" type="noConversion"/>
  </si>
  <si>
    <t>Zhang Liang</t>
    <phoneticPr fontId="8" type="noConversion"/>
  </si>
  <si>
    <t>Lin Jie Ting</t>
  </si>
  <si>
    <t>Piao Mei Ling</t>
  </si>
  <si>
    <t>Chen Guo Liang_주유비_주차비_톨비</t>
    <phoneticPr fontId="3" type="noConversion"/>
  </si>
  <si>
    <t>Liu Ming Liang_주유비_주차비_톨비</t>
  </si>
  <si>
    <t>FAE (Pan Shi Qiang)
7/1 입사
潘世强</t>
    <phoneticPr fontId="4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</si>
  <si>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23/8/1 입사</t>
    </r>
    <phoneticPr fontId="4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</si>
  <si>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23/9/18 입사</t>
    </r>
    <phoneticPr fontId="4" type="noConversion"/>
  </si>
  <si>
    <r>
      <t>朴美玲 박미령</t>
    </r>
    <r>
      <rPr>
        <sz val="10"/>
        <color indexed="8"/>
        <rFont val="맑은 고딕"/>
        <family val="3"/>
        <charset val="129"/>
      </rPr>
      <t xml:space="preserve">
23/9/18 입사</t>
    </r>
    <phoneticPr fontId="4" type="noConversion"/>
  </si>
  <si>
    <t>김명관 프로</t>
    <phoneticPr fontId="4" type="noConversion"/>
  </si>
  <si>
    <t>신순연 프로</t>
    <phoneticPr fontId="4" type="noConversion"/>
  </si>
  <si>
    <t>4월 송금</t>
    <phoneticPr fontId="3" type="noConversion"/>
  </si>
  <si>
    <r>
      <t>▶ 25년 5월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</si>
  <si>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t>사무실 임대료/전기세 관련</t>
  </si>
  <si>
    <t>사무실 운영비(신한은행 이체 프로그램 비용)</t>
    <phoneticPr fontId="8" type="noConversion"/>
  </si>
  <si>
    <t>새차 6월 주차비</t>
    <phoneticPr fontId="8" type="noConversion"/>
  </si>
  <si>
    <t>추진비</t>
  </si>
  <si>
    <t>시내 교통비</t>
    <phoneticPr fontId="3" type="noConversion"/>
  </si>
  <si>
    <t>시내/시외 교통비</t>
    <phoneticPr fontId="3" type="noConversion"/>
  </si>
  <si>
    <t>사무실 운영비(24년 회계심사비)</t>
    <phoneticPr fontId="3" type="noConversion"/>
  </si>
  <si>
    <t>김명관</t>
  </si>
  <si>
    <t>24년 회계심사비</t>
    <phoneticPr fontId="8" type="noConversion"/>
  </si>
  <si>
    <t>신한은행 이체 프로그램 비용</t>
    <phoneticPr fontId="8" type="noConversion"/>
  </si>
  <si>
    <t>김명관
수석</t>
    <phoneticPr fontId="4" type="noConversion"/>
  </si>
  <si>
    <t>25년 5월 송금_1405.60 (#)</t>
    <phoneticPr fontId="11" type="noConversion"/>
  </si>
  <si>
    <t>업무 추진비</t>
    <phoneticPr fontId="3" type="noConversion"/>
  </si>
  <si>
    <t>Chen Feng Ju</t>
    <phoneticPr fontId="3" type="noConversion"/>
  </si>
  <si>
    <t>사무실 WIFI+통신비</t>
  </si>
  <si>
    <t>급여</t>
    <phoneticPr fontId="8" type="noConversion"/>
  </si>
  <si>
    <t>수수료</t>
    <phoneticPr fontId="3" type="noConversion"/>
  </si>
  <si>
    <t>사무실 임대료/전기세 관련</t>
    <phoneticPr fontId="3" type="noConversion"/>
  </si>
  <si>
    <r>
      <t xml:space="preserve">chen </t>
    </r>
    <r>
      <rPr>
        <sz val="11"/>
        <color theme="1"/>
        <rFont val="Malgun Gothic"/>
        <family val="3"/>
        <charset val="129"/>
      </rPr>
      <t>feng jun</t>
    </r>
    <phoneticPr fontId="8" type="noConversion"/>
  </si>
  <si>
    <t>Jessie</t>
    <phoneticPr fontId="111" type="noConversion"/>
  </si>
  <si>
    <t>CSOT 업무 추진</t>
    <phoneticPr fontId="111" type="noConversion"/>
  </si>
  <si>
    <t>중식당</t>
    <phoneticPr fontId="111" type="noConversion"/>
  </si>
  <si>
    <t>James</t>
    <phoneticPr fontId="111" type="noConversion"/>
  </si>
  <si>
    <t>커피</t>
    <phoneticPr fontId="111" type="noConversion"/>
  </si>
  <si>
    <t>한식집</t>
    <phoneticPr fontId="111" type="noConversion"/>
  </si>
  <si>
    <t>zhangliang</t>
    <phoneticPr fontId="8" type="noConversion"/>
  </si>
  <si>
    <t>PIAO MEILING</t>
    <phoneticPr fontId="8" type="noConversion"/>
  </si>
  <si>
    <r>
      <t xml:space="preserve">CSOT </t>
    </r>
    <r>
      <rPr>
        <sz val="10"/>
        <color theme="1"/>
        <rFont val="Malgun Gothic"/>
        <family val="2"/>
        <charset val="129"/>
      </rPr>
      <t>업무</t>
    </r>
    <r>
      <rPr>
        <sz val="10"/>
        <color theme="1"/>
        <rFont val="宋体"/>
        <family val="2"/>
        <charset val="134"/>
      </rPr>
      <t xml:space="preserve"> </t>
    </r>
    <r>
      <rPr>
        <sz val="10"/>
        <color theme="1"/>
        <rFont val="Malgun Gothic"/>
        <family val="2"/>
        <charset val="129"/>
      </rPr>
      <t>추진</t>
    </r>
    <phoneticPr fontId="8" type="noConversion"/>
  </si>
  <si>
    <t xml:space="preserve">CSOT </t>
    <phoneticPr fontId="8" type="noConversion"/>
  </si>
  <si>
    <t>CSOT T2 Coffee Shop</t>
  </si>
  <si>
    <t>고객 업무 추진 및 CRM 유지</t>
  </si>
  <si>
    <t>CSOT</t>
  </si>
  <si>
    <t>Jed Han전문가</t>
  </si>
  <si>
    <t>권유석 지사장, 신순연 프로</t>
  </si>
  <si>
    <t>Cai Miao Rong</t>
  </si>
  <si>
    <t>신순연 프로</t>
  </si>
  <si>
    <t>CSOT T9 Coffee Shop</t>
  </si>
  <si>
    <t>Pan Xiao Dong과장</t>
  </si>
  <si>
    <t>Jessie프로, 박미령 프로, 신순연 프로</t>
  </si>
  <si>
    <t>심천 중 식당</t>
  </si>
  <si>
    <t>Huang Lei Jing</t>
  </si>
  <si>
    <t>심천 Cake 가계</t>
  </si>
  <si>
    <t>HKC</t>
  </si>
  <si>
    <t>Li Xue Feng총감</t>
  </si>
  <si>
    <t>Chu Zhou 중 식당</t>
  </si>
  <si>
    <t>Wang Bo</t>
  </si>
  <si>
    <t>Yang Ke, Nova Engr.1명</t>
  </si>
  <si>
    <t>심천 술 가계</t>
  </si>
  <si>
    <t>BOE</t>
  </si>
  <si>
    <t>고영익 총감</t>
  </si>
  <si>
    <t>Mian Yang 중 식당</t>
  </si>
  <si>
    <t>Shi Zeng Yang, 외 1명</t>
  </si>
  <si>
    <t>박정태 상무, 고재홍 상무, 권유석 지사장, 신순연 프로</t>
  </si>
  <si>
    <t>Guang Zhou 한 식당</t>
  </si>
  <si>
    <t>Sam 전문가</t>
  </si>
  <si>
    <t>박정태 상무, 고재홍 상무, 홍형도 프로, 이동매 프로, Jessie 프로, 신순연 프로</t>
  </si>
  <si>
    <t>심천 Coffee Shop</t>
  </si>
  <si>
    <t>Tony총감</t>
  </si>
  <si>
    <t>박정태 상무, 고재홍 상무, 권유석 지사장, 홍형도 프로, 김명관 프로, 이동매 프로, 신순연 프로</t>
  </si>
  <si>
    <t>Tao Zhi Cheng, Zhang Yuan Ping, Ren Yuan Ke, Lu Hua Song</t>
  </si>
  <si>
    <t>Zhang Liang프로, 신순연 프로</t>
  </si>
  <si>
    <t>范献坤，韦江荣，林伟健</t>
    <phoneticPr fontId="8" type="noConversion"/>
  </si>
  <si>
    <t xml:space="preserve">Piao Meiling, </t>
    <phoneticPr fontId="8" type="noConversion"/>
  </si>
  <si>
    <t>사무실 운영비</t>
  </si>
  <si>
    <r>
      <t xml:space="preserve">구매 </t>
    </r>
    <r>
      <rPr>
        <sz val="10"/>
        <color theme="1"/>
        <rFont val="微软雅黑"/>
        <family val="2"/>
        <charset val="134"/>
      </rPr>
      <t>袁方、唐文翔</t>
    </r>
    <phoneticPr fontId="111" type="noConversion"/>
  </si>
  <si>
    <t>권유석 프로, 제시</t>
    <phoneticPr fontId="111" type="noConversion"/>
  </si>
  <si>
    <t>KA 총감 Tony</t>
    <phoneticPr fontId="111" type="noConversion"/>
  </si>
  <si>
    <r>
      <t xml:space="preserve">개발 </t>
    </r>
    <r>
      <rPr>
        <sz val="10"/>
        <color theme="1"/>
        <rFont val="微软雅黑"/>
        <family val="2"/>
        <charset val="134"/>
      </rPr>
      <t>刘金风、蓝庆生、蔡淼荣</t>
    </r>
    <phoneticPr fontId="111" type="noConversion"/>
  </si>
  <si>
    <t>박정태 상무, 고재홍 상무, 신순연 프로, 제시</t>
    <phoneticPr fontId="111" type="noConversion"/>
  </si>
  <si>
    <r>
      <t xml:space="preserve">영업 </t>
    </r>
    <r>
      <rPr>
        <sz val="10"/>
        <color theme="1"/>
        <rFont val="微软雅黑"/>
        <family val="2"/>
        <charset val="134"/>
      </rPr>
      <t>崔宁</t>
    </r>
    <phoneticPr fontId="111" type="noConversion"/>
  </si>
  <si>
    <t>제시</t>
    <phoneticPr fontId="111" type="noConversion"/>
  </si>
  <si>
    <r>
      <rPr>
        <sz val="10"/>
        <color theme="1"/>
        <rFont val="宋体"/>
        <family val="2"/>
        <charset val="134"/>
      </rPr>
      <t xml:space="preserve">VD </t>
    </r>
    <r>
      <rPr>
        <sz val="10"/>
        <color theme="1"/>
        <rFont val="Malgun Gothic"/>
        <family val="2"/>
        <charset val="129"/>
      </rPr>
      <t>정보 파악</t>
    </r>
    <phoneticPr fontId="111" type="noConversion"/>
  </si>
  <si>
    <t>IPC</t>
    <phoneticPr fontId="111" type="noConversion"/>
  </si>
  <si>
    <t>t9 NB KA 林小倩</t>
    <phoneticPr fontId="111" type="noConversion"/>
  </si>
  <si>
    <t>신순연 프로, 제시</t>
    <phoneticPr fontId="111" type="noConversion"/>
  </si>
  <si>
    <r>
      <rPr>
        <sz val="10"/>
        <color theme="1"/>
        <rFont val="微软雅黑"/>
        <family val="2"/>
        <charset val="134"/>
      </rPr>
      <t>CSOT</t>
    </r>
    <r>
      <rPr>
        <sz val="10"/>
        <color theme="1"/>
        <rFont val="Malgun Gothic"/>
        <family val="2"/>
      </rPr>
      <t xml:space="preserve"> 업무 추진</t>
    </r>
    <phoneticPr fontId="8" type="noConversion"/>
  </si>
  <si>
    <t>连单纯、林伟健</t>
    <phoneticPr fontId="8" type="noConversion"/>
  </si>
  <si>
    <r>
      <rPr>
        <sz val="10"/>
        <color theme="1"/>
        <rFont val="宋体"/>
        <family val="2"/>
        <charset val="134"/>
      </rPr>
      <t>HKC</t>
    </r>
    <r>
      <rPr>
        <sz val="10"/>
        <color theme="1"/>
        <rFont val="Malgun Gothic"/>
        <family val="2"/>
      </rPr>
      <t xml:space="preserve"> 업무 추진</t>
    </r>
    <phoneticPr fontId="8" type="noConversion"/>
  </si>
  <si>
    <t>王航</t>
    <phoneticPr fontId="111" type="noConversion"/>
  </si>
  <si>
    <t>晚饭</t>
    <phoneticPr fontId="111" type="noConversion"/>
  </si>
  <si>
    <t>任源柯</t>
    <phoneticPr fontId="111" type="noConversion"/>
  </si>
  <si>
    <t>6월26일</t>
  </si>
  <si>
    <t>권유석</t>
    <phoneticPr fontId="111" type="noConversion"/>
  </si>
  <si>
    <t>스타벅스</t>
    <phoneticPr fontId="111" type="noConversion"/>
  </si>
  <si>
    <t>미팅 다과</t>
    <phoneticPr fontId="111" type="noConversion"/>
  </si>
  <si>
    <t>SDC</t>
    <phoneticPr fontId="111" type="noConversion"/>
  </si>
  <si>
    <t>신우철 부장</t>
    <phoneticPr fontId="111" type="noConversion"/>
  </si>
  <si>
    <t>권유석 프로</t>
    <phoneticPr fontId="111" type="noConversion"/>
  </si>
  <si>
    <t>6월29일</t>
  </si>
  <si>
    <t>소풍(식당)</t>
    <phoneticPr fontId="111" type="noConversion"/>
  </si>
  <si>
    <t>미팅 중식</t>
    <phoneticPr fontId="111" type="noConversion"/>
  </si>
  <si>
    <t>CSOT</t>
    <phoneticPr fontId="111" type="noConversion"/>
  </si>
  <si>
    <t>김성일 총감</t>
    <phoneticPr fontId="111" type="noConversion"/>
  </si>
  <si>
    <t>박정태 담당, 고재홍 상무, 권유석 프로</t>
    <phoneticPr fontId="111" type="noConversion"/>
  </si>
  <si>
    <t>Hera</t>
    <phoneticPr fontId="111" type="noConversion"/>
  </si>
  <si>
    <t>미팅후 고객 식사</t>
    <phoneticPr fontId="111" type="noConversion"/>
  </si>
  <si>
    <t>7월9일</t>
  </si>
  <si>
    <t>편의점</t>
    <phoneticPr fontId="111" type="noConversion"/>
  </si>
  <si>
    <t>CSOT T1/2 미팅</t>
    <phoneticPr fontId="111" type="noConversion"/>
  </si>
  <si>
    <t>7월10일</t>
  </si>
  <si>
    <t>이가네(식당)</t>
    <phoneticPr fontId="111" type="noConversion"/>
  </si>
  <si>
    <t>CSOT 조달구매 석식</t>
    <phoneticPr fontId="111" type="noConversion"/>
  </si>
  <si>
    <t>원펑 과장</t>
    <phoneticPr fontId="111" type="noConversion"/>
  </si>
  <si>
    <t>권유석 프로, 정겨운 프로</t>
    <phoneticPr fontId="111" type="noConversion"/>
  </si>
  <si>
    <t>권유석</t>
    <phoneticPr fontId="3" type="noConversion"/>
  </si>
  <si>
    <t>김명관</t>
    <phoneticPr fontId="111" type="noConversion"/>
  </si>
  <si>
    <t>소풍</t>
    <phoneticPr fontId="111" type="noConversion"/>
  </si>
  <si>
    <t>UHOT  석식</t>
    <phoneticPr fontId="111" type="noConversion"/>
  </si>
  <si>
    <t>UHOT</t>
    <phoneticPr fontId="111" type="noConversion"/>
  </si>
  <si>
    <t>Vincent, Kitty</t>
    <phoneticPr fontId="111" type="noConversion"/>
  </si>
  <si>
    <t>김명관프로</t>
    <phoneticPr fontId="111" type="noConversion"/>
  </si>
  <si>
    <t>제주미담</t>
    <phoneticPr fontId="111" type="noConversion"/>
  </si>
  <si>
    <t>HKC 영업 석식</t>
    <phoneticPr fontId="111" type="noConversion"/>
  </si>
  <si>
    <t>HKC</t>
    <phoneticPr fontId="111" type="noConversion"/>
  </si>
  <si>
    <t>김준우총감</t>
    <phoneticPr fontId="111" type="noConversion"/>
  </si>
  <si>
    <t>김명관프로, 김형호프로</t>
    <phoneticPr fontId="111" type="noConversion"/>
  </si>
  <si>
    <t>Memory</t>
    <phoneticPr fontId="111" type="noConversion"/>
  </si>
  <si>
    <t>Hunancai</t>
    <phoneticPr fontId="111" type="noConversion"/>
  </si>
  <si>
    <t>Jimmy부장</t>
    <phoneticPr fontId="111" type="noConversion"/>
  </si>
  <si>
    <t>권유석프로, 김명관프로</t>
    <phoneticPr fontId="111" type="noConversion"/>
  </si>
  <si>
    <t>Daji</t>
    <phoneticPr fontId="111" type="noConversion"/>
  </si>
  <si>
    <t>HKC 조달 구매 석식</t>
    <phoneticPr fontId="111" type="noConversion"/>
  </si>
  <si>
    <t>Zhang Yi Xian부장</t>
    <phoneticPr fontId="111" type="noConversion"/>
  </si>
  <si>
    <t>Haizilu</t>
    <phoneticPr fontId="111" type="noConversion"/>
  </si>
  <si>
    <t>HKC 개발 구매 석식</t>
    <phoneticPr fontId="111" type="noConversion"/>
  </si>
  <si>
    <t>Aloy, Dai Jian Rong</t>
    <phoneticPr fontId="111" type="noConversion"/>
  </si>
  <si>
    <t>LX 석식</t>
    <phoneticPr fontId="111" type="noConversion"/>
  </si>
  <si>
    <t>LX</t>
    <phoneticPr fontId="111" type="noConversion"/>
  </si>
  <si>
    <t>손정화 책임</t>
    <phoneticPr fontId="111" type="noConversion"/>
  </si>
  <si>
    <t>사무실 주차비</t>
    <phoneticPr fontId="3" type="noConversion"/>
  </si>
  <si>
    <t>총 3대</t>
    <phoneticPr fontId="3" type="noConversion"/>
  </si>
  <si>
    <t>비자 비용</t>
    <phoneticPr fontId="3" type="noConversion"/>
  </si>
  <si>
    <t>주택보증금 40000위안</t>
    <phoneticPr fontId="3" type="noConversion"/>
  </si>
  <si>
    <t>은행 계좌 개설 비용 환급 83.6원</t>
    <phoneticPr fontId="3" type="noConversion"/>
  </si>
  <si>
    <t>주택보증금 40000위안</t>
    <phoneticPr fontId="3" type="noConversion"/>
  </si>
  <si>
    <t>사무실 임대 보증금</t>
    <phoneticPr fontId="3" type="noConversion"/>
  </si>
  <si>
    <t>대표처 설립 말소 세무대행비</t>
    <phoneticPr fontId="3" type="noConversion"/>
  </si>
  <si>
    <t>5, 6</t>
    <phoneticPr fontId="3" type="noConversion"/>
  </si>
  <si>
    <t>임차</t>
    <phoneticPr fontId="3" type="noConversion"/>
  </si>
  <si>
    <t>X4</t>
    <phoneticPr fontId="3" type="noConversion"/>
  </si>
  <si>
    <r>
      <t>▶ 25년 7월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4000071 (B2D320)</t>
    </r>
    <phoneticPr fontId="4" type="noConversion"/>
  </si>
  <si>
    <t>임차</t>
    <phoneticPr fontId="8" type="noConversion"/>
  </si>
  <si>
    <t>25년 7월 송금_1373.8(#100001794)</t>
    <phoneticPr fontId="11" type="noConversion"/>
  </si>
  <si>
    <t>인도네시아 비자,고객 방문용 보험</t>
    <phoneticPr fontId="3" type="noConversion"/>
  </si>
  <si>
    <t>Lin Wei Jian</t>
    <phoneticPr fontId="3" type="noConversion"/>
  </si>
  <si>
    <t>출장비</t>
    <phoneticPr fontId="3" type="noConversion"/>
  </si>
  <si>
    <t>주재원 학자금</t>
    <phoneticPr fontId="3" type="noConversion"/>
  </si>
  <si>
    <t>학자금 토탈 88600, 이체 한도 50000위안/일 기인으로 두번 나누어 이체</t>
    <phoneticPr fontId="3" type="noConversion"/>
  </si>
  <si>
    <r>
      <t>▶ 25년 8월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ajor"/>
      </rPr>
      <t>4000061 (B2F590)</t>
    </r>
    <phoneticPr fontId="4" type="noConversion"/>
  </si>
  <si>
    <r>
      <rPr>
        <b/>
        <sz val="10"/>
        <color rgb="FFFF0000"/>
        <rFont val="맑은 고딕"/>
        <family val="3"/>
        <charset val="129"/>
        <scheme val="major"/>
      </rPr>
      <t>(-)</t>
    </r>
    <r>
      <rPr>
        <sz val="10"/>
        <color theme="1"/>
        <rFont val="맑은 고딕"/>
        <family val="3"/>
        <charset val="129"/>
        <scheme val="major"/>
      </rPr>
      <t>잡이익</t>
    </r>
    <r>
      <rPr>
        <b/>
        <sz val="10"/>
        <color theme="1"/>
        <rFont val="맑은 고딕"/>
        <family val="3"/>
        <charset val="129"/>
        <scheme val="major"/>
      </rPr>
      <t>(50)</t>
    </r>
    <phoneticPr fontId="8" type="noConversion"/>
  </si>
  <si>
    <t>25년 7월 송금_1373.8(#100001961)</t>
    <phoneticPr fontId="11" type="noConversion"/>
  </si>
  <si>
    <t>25년 8월 송금_(#100001962)</t>
    <phoneticPr fontId="11" type="noConversion"/>
  </si>
  <si>
    <r>
      <t>▶ 25년 9월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4000061 (B2F590)</t>
    </r>
    <phoneticPr fontId="4" type="noConversion"/>
  </si>
  <si>
    <r>
      <rPr>
        <b/>
        <sz val="9"/>
        <color rgb="FFFF0000"/>
        <rFont val="Malgun Gothic Semilight"/>
        <family val="2"/>
        <charset val="134"/>
      </rPr>
      <t>(-)</t>
    </r>
    <r>
      <rPr>
        <sz val="9"/>
        <color theme="1"/>
        <rFont val="Malgun Gothic Semilight"/>
        <family val="2"/>
        <charset val="134"/>
      </rPr>
      <t>잡이익</t>
    </r>
    <r>
      <rPr>
        <b/>
        <sz val="9"/>
        <color theme="1"/>
        <rFont val="Malgun Gothic Semilight"/>
        <family val="2"/>
        <charset val="134"/>
      </rPr>
      <t>(50)</t>
    </r>
    <phoneticPr fontId="8" type="noConversion"/>
  </si>
  <si>
    <t>사무실 전등 2개 고장 교체</t>
    <phoneticPr fontId="3" type="noConversion"/>
  </si>
  <si>
    <t>사무용품</t>
    <phoneticPr fontId="3" type="noConversion"/>
  </si>
  <si>
    <r>
      <t>10월</t>
    </r>
    <r>
      <rPr>
        <sz val="9"/>
        <color theme="1"/>
        <rFont val="Batang"/>
        <family val="2"/>
        <charset val="129"/>
      </rPr>
      <t xml:space="preserve"> </t>
    </r>
    <r>
      <rPr>
        <sz val="9"/>
        <color theme="1"/>
        <rFont val="Malgun Gothic Semilight"/>
        <family val="2"/>
        <charset val="134"/>
      </rPr>
      <t>인도네시아 비자，보험</t>
    </r>
    <phoneticPr fontId="3" type="noConversion"/>
  </si>
  <si>
    <t>개인 PC 수리</t>
    <phoneticPr fontId="3" type="noConversion"/>
  </si>
  <si>
    <t>주재원 휴가비</t>
    <phoneticPr fontId="3" type="noConversion"/>
  </si>
  <si>
    <t>25년 8월 송금_1384.2(#100002212)</t>
    <phoneticPr fontId="11" type="noConversion"/>
  </si>
  <si>
    <t>25년 9월 송금_ 1,386.60(#100002220)</t>
    <phoneticPr fontId="11" type="noConversion"/>
  </si>
  <si>
    <t>Q3 지사 운영 세금</t>
  </si>
  <si>
    <t>기타</t>
  </si>
  <si>
    <t>주재원 휴가비</t>
  </si>
  <si>
    <t>시내 교통비</t>
  </si>
  <si>
    <t>Zhang Liang</t>
  </si>
  <si>
    <t>Lin Wei Jian</t>
  </si>
  <si>
    <t>권유석</t>
  </si>
  <si>
    <t>Chen Guo Liang</t>
  </si>
  <si>
    <t>Liu Ming Liang</t>
  </si>
  <si>
    <t>Chen Feng Ju</t>
  </si>
  <si>
    <t>급여</t>
  </si>
  <si>
    <t>RMB 2 추가 입금</t>
    <phoneticPr fontId="3" type="noConversion"/>
  </si>
  <si>
    <r>
      <t>25년 9월 송금_ 1,386.60</t>
    </r>
    <r>
      <rPr>
        <b/>
        <sz val="9"/>
        <color rgb="FF0070C0"/>
        <rFont val="맑은 고딕"/>
        <family val="2"/>
        <charset val="129"/>
      </rPr>
      <t>(#100002509)</t>
    </r>
    <phoneticPr fontId="11" type="noConversion"/>
  </si>
  <si>
    <r>
      <t xml:space="preserve">▶ 25년 </t>
    </r>
    <r>
      <rPr>
        <b/>
        <sz val="9"/>
        <color theme="1"/>
        <rFont val="맑은 고딕"/>
        <family val="2"/>
        <charset val="129"/>
      </rPr>
      <t>10</t>
    </r>
    <r>
      <rPr>
        <b/>
        <sz val="9"/>
        <color theme="1"/>
        <rFont val="Malgun Gothic Semilight"/>
        <family val="2"/>
        <charset val="134"/>
      </rPr>
      <t>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</t>
    </r>
    <r>
      <rPr>
        <b/>
        <sz val="9"/>
        <color theme="9" tint="-0.249977111117893"/>
        <rFont val="맑은 고딕"/>
        <family val="2"/>
        <charset val="129"/>
      </rPr>
      <t>7</t>
    </r>
    <r>
      <rPr>
        <b/>
        <sz val="9"/>
        <color theme="9" tint="-0.249977111117893"/>
        <rFont val="Malgun Gothic Semilight"/>
        <family val="2"/>
        <charset val="134"/>
      </rPr>
      <t>1 (B2D320)</t>
    </r>
    <phoneticPr fontId="4" type="noConversion"/>
  </si>
  <si>
    <r>
      <t xml:space="preserve">▶ 25년 </t>
    </r>
    <r>
      <rPr>
        <b/>
        <sz val="9"/>
        <color theme="1"/>
        <rFont val="맑은 고딕"/>
        <family val="2"/>
        <charset val="129"/>
      </rPr>
      <t>11</t>
    </r>
    <r>
      <rPr>
        <b/>
        <sz val="9"/>
        <color theme="1"/>
        <rFont val="Malgun Gothic Semilight"/>
        <family val="2"/>
        <charset val="134"/>
      </rPr>
      <t>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</t>
    </r>
    <r>
      <rPr>
        <b/>
        <sz val="9"/>
        <color theme="9" tint="-0.249977111117893"/>
        <rFont val="맑은 고딕"/>
        <family val="2"/>
        <charset val="129"/>
      </rPr>
      <t>7</t>
    </r>
    <r>
      <rPr>
        <b/>
        <sz val="9"/>
        <color theme="9" tint="-0.249977111117893"/>
        <rFont val="Malgun Gothic Semilight"/>
        <family val="2"/>
        <charset val="134"/>
      </rPr>
      <t>1 (B2D320)</t>
    </r>
    <phoneticPr fontId="4" type="noConversion"/>
  </si>
  <si>
    <r>
      <t>사무</t>
    </r>
    <r>
      <rPr>
        <sz val="9"/>
        <color theme="1"/>
        <rFont val="Malgun Gothic"/>
        <family val="2"/>
        <charset val="129"/>
      </rPr>
      <t>실 운영비</t>
    </r>
    <phoneticPr fontId="3" type="noConversion"/>
  </si>
  <si>
    <r>
      <t xml:space="preserve">25년 </t>
    </r>
    <r>
      <rPr>
        <b/>
        <sz val="9"/>
        <color rgb="FF0070C0"/>
        <rFont val="Malgun Gothic Semilight"/>
        <family val="2"/>
        <charset val="129"/>
      </rPr>
      <t>10</t>
    </r>
    <r>
      <rPr>
        <b/>
        <sz val="9"/>
        <color rgb="FF0070C0"/>
        <rFont val="Malgun Gothic Semilight"/>
        <family val="2"/>
        <charset val="134"/>
      </rPr>
      <t>월 송금_ 1</t>
    </r>
    <r>
      <rPr>
        <b/>
        <sz val="9"/>
        <color rgb="FF0070C0"/>
        <rFont val="Malgun Gothic Semilight"/>
        <family val="2"/>
        <charset val="129"/>
      </rPr>
      <t>,</t>
    </r>
    <r>
      <rPr>
        <b/>
        <sz val="9"/>
        <color rgb="FF0070C0"/>
        <rFont val="Malgun Gothic Semilight"/>
        <family val="2"/>
        <charset val="134"/>
      </rPr>
      <t>401.9</t>
    </r>
    <r>
      <rPr>
        <b/>
        <sz val="9"/>
        <color rgb="FF0070C0"/>
        <rFont val="Malgun Gothic Semilight"/>
        <family val="2"/>
        <charset val="129"/>
      </rPr>
      <t xml:space="preserve"> (#100002514 )</t>
    </r>
    <phoneticPr fontId="11" type="noConversion"/>
  </si>
  <si>
    <r>
      <t xml:space="preserve">25년 </t>
    </r>
    <r>
      <rPr>
        <b/>
        <sz val="9"/>
        <color rgb="FF0070C0"/>
        <rFont val="맑은 고딕"/>
        <family val="2"/>
        <charset val="129"/>
      </rPr>
      <t>10</t>
    </r>
    <r>
      <rPr>
        <b/>
        <sz val="9"/>
        <color rgb="FF0070C0"/>
        <rFont val="Malgun Gothic Semilight"/>
        <family val="2"/>
        <charset val="134"/>
      </rPr>
      <t>월 송금_1</t>
    </r>
    <r>
      <rPr>
        <b/>
        <sz val="9"/>
        <color rgb="FF0070C0"/>
        <rFont val="맑은 고딕"/>
        <family val="2"/>
        <charset val="129"/>
      </rPr>
      <t>,</t>
    </r>
    <r>
      <rPr>
        <b/>
        <sz val="9"/>
        <color rgb="FF0070C0"/>
        <rFont val="Malgun Gothic Semilight"/>
        <family val="2"/>
        <charset val="134"/>
      </rPr>
      <t>401.9</t>
    </r>
    <r>
      <rPr>
        <b/>
        <sz val="9"/>
        <color rgb="FF0070C0"/>
        <rFont val="맑은 고딕"/>
        <family val="2"/>
        <charset val="129"/>
      </rPr>
      <t xml:space="preserve"> (#100002775)</t>
    </r>
    <phoneticPr fontId="11" type="noConversion"/>
  </si>
  <si>
    <r>
      <rPr>
        <b/>
        <sz val="9"/>
        <rFont val="Malgun Gothic Semilight"/>
        <family val="3"/>
        <charset val="134"/>
      </rPr>
      <t>(-)</t>
    </r>
    <r>
      <rPr>
        <sz val="9"/>
        <rFont val="Malgun Gothic Semilight"/>
        <family val="3"/>
        <charset val="134"/>
      </rPr>
      <t>잡이익</t>
    </r>
    <r>
      <rPr>
        <b/>
        <sz val="9"/>
        <rFont val="Malgun Gothic Semilight"/>
        <family val="3"/>
        <charset val="134"/>
      </rPr>
      <t>(50)</t>
    </r>
    <phoneticPr fontId="8" type="noConversion"/>
  </si>
  <si>
    <r>
      <t xml:space="preserve">25년 </t>
    </r>
    <r>
      <rPr>
        <b/>
        <sz val="9"/>
        <color theme="3" tint="0.39997558519241921"/>
        <rFont val="맑은 고딕"/>
        <family val="2"/>
        <charset val="129"/>
      </rPr>
      <t>11</t>
    </r>
    <r>
      <rPr>
        <b/>
        <sz val="9"/>
        <color theme="3" tint="0.39997558519241921"/>
        <rFont val="Malgun Gothic Semilight"/>
        <family val="2"/>
        <charset val="134"/>
      </rPr>
      <t>월 송금_ 1</t>
    </r>
    <r>
      <rPr>
        <b/>
        <sz val="9"/>
        <color theme="3" tint="0.39997558519241921"/>
        <rFont val="맑은 고딕"/>
        <family val="2"/>
        <charset val="129"/>
      </rPr>
      <t>,</t>
    </r>
    <r>
      <rPr>
        <b/>
        <sz val="9"/>
        <color theme="3" tint="0.39997558519241921"/>
        <rFont val="Malgun Gothic Semilight"/>
        <family val="2"/>
        <charset val="134"/>
      </rPr>
      <t>454</t>
    </r>
    <r>
      <rPr>
        <b/>
        <sz val="9"/>
        <color theme="3" tint="0.39997558519241921"/>
        <rFont val="맑은 고딕"/>
        <family val="2"/>
        <charset val="129"/>
      </rPr>
      <t xml:space="preserve"> (#100002780)</t>
    </r>
    <phoneticPr fontId="11" type="noConversion"/>
  </si>
  <si>
    <t>지사 이름 변경 대행비</t>
    <phoneticPr fontId="3" type="noConversion"/>
  </si>
  <si>
    <t>자녀 학자금</t>
    <phoneticPr fontId="3" type="noConversion"/>
  </si>
  <si>
    <r>
      <t>인원</t>
    </r>
    <r>
      <rPr>
        <sz val="9"/>
        <color theme="1"/>
        <rFont val="Malgun Gothic"/>
        <family val="2"/>
        <charset val="129"/>
      </rPr>
      <t xml:space="preserve"> 채용 비용</t>
    </r>
    <phoneticPr fontId="3" type="noConversion"/>
  </si>
  <si>
    <r>
      <t xml:space="preserve">▶ 25년 </t>
    </r>
    <r>
      <rPr>
        <b/>
        <sz val="9"/>
        <color theme="1"/>
        <rFont val="Malgun Gothic Semilight"/>
        <family val="2"/>
        <charset val="129"/>
      </rPr>
      <t>12</t>
    </r>
    <r>
      <rPr>
        <b/>
        <sz val="9"/>
        <color theme="1"/>
        <rFont val="Malgun Gothic Semilight"/>
        <family val="2"/>
        <charset val="134"/>
      </rPr>
      <t>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</t>
    </r>
    <r>
      <rPr>
        <b/>
        <sz val="9"/>
        <color theme="9" tint="-0.249977111117893"/>
        <rFont val="Malgun Gothic Semilight"/>
        <family val="2"/>
        <charset val="129"/>
      </rPr>
      <t>7</t>
    </r>
    <r>
      <rPr>
        <b/>
        <sz val="9"/>
        <color theme="9" tint="-0.249977111117893"/>
        <rFont val="Malgun Gothic Semilight"/>
        <family val="2"/>
        <charset val="134"/>
      </rPr>
      <t>1 (B2D320)</t>
    </r>
    <phoneticPr fontId="4" type="noConversion"/>
  </si>
  <si>
    <r>
      <t xml:space="preserve">25년 </t>
    </r>
    <r>
      <rPr>
        <b/>
        <sz val="9"/>
        <color theme="3" tint="0.39997558519241921"/>
        <rFont val="맑은 고딕"/>
        <family val="2"/>
        <charset val="129"/>
      </rPr>
      <t>11</t>
    </r>
    <r>
      <rPr>
        <b/>
        <sz val="9"/>
        <color theme="3" tint="0.39997558519241921"/>
        <rFont val="Malgun Gothic Semilight"/>
        <family val="2"/>
        <charset val="134"/>
      </rPr>
      <t>월 송금_ 1</t>
    </r>
    <r>
      <rPr>
        <b/>
        <sz val="9"/>
        <color theme="3" tint="0.39997558519241921"/>
        <rFont val="맑은 고딕"/>
        <family val="2"/>
        <charset val="129"/>
      </rPr>
      <t>,</t>
    </r>
    <r>
      <rPr>
        <b/>
        <sz val="9"/>
        <color theme="3" tint="0.39997558519241921"/>
        <rFont val="Malgun Gothic Semilight"/>
        <family val="2"/>
        <charset val="134"/>
      </rPr>
      <t>454</t>
    </r>
    <r>
      <rPr>
        <b/>
        <sz val="9"/>
        <color theme="3" tint="0.39997558519241921"/>
        <rFont val="맑은 고딕"/>
        <family val="2"/>
        <charset val="129"/>
      </rPr>
      <t xml:space="preserve"> (# 100003041)</t>
    </r>
    <phoneticPr fontId="11" type="noConversion"/>
  </si>
  <si>
    <r>
      <t xml:space="preserve">25년 </t>
    </r>
    <r>
      <rPr>
        <b/>
        <sz val="9"/>
        <color theme="3" tint="0.39997558519241921"/>
        <rFont val="맑은 고딕"/>
        <family val="2"/>
        <charset val="129"/>
      </rPr>
      <t>12</t>
    </r>
    <r>
      <rPr>
        <b/>
        <sz val="9"/>
        <color theme="3" tint="0.39997558519241921"/>
        <rFont val="Malgun Gothic Semilight"/>
        <family val="2"/>
        <charset val="134"/>
      </rPr>
      <t>월 송금_1,470.4 (#100003053)</t>
    </r>
    <phoneticPr fontId="11" type="noConversion"/>
  </si>
  <si>
    <r>
      <rPr>
        <sz val="9"/>
        <color theme="1"/>
        <rFont val="Malgun Gothic Semilight"/>
        <family val="2"/>
        <charset val="134"/>
      </rPr>
      <t xml:space="preserve">Y25 Q4 </t>
    </r>
    <r>
      <rPr>
        <sz val="9"/>
        <color theme="1"/>
        <rFont val="Malgun Gothic"/>
        <family val="2"/>
        <charset val="129"/>
      </rPr>
      <t>기업소득세</t>
    </r>
    <phoneticPr fontId="3" type="noConversion"/>
  </si>
  <si>
    <r>
      <t>회사</t>
    </r>
    <r>
      <rPr>
        <sz val="9"/>
        <color theme="1"/>
        <rFont val="Batang"/>
        <family val="2"/>
        <charset val="129"/>
      </rPr>
      <t xml:space="preserve"> </t>
    </r>
    <r>
      <rPr>
        <sz val="9"/>
        <color theme="1"/>
        <rFont val="Malgun Gothic Semilight"/>
        <family val="2"/>
        <charset val="134"/>
      </rPr>
      <t>도장 비용</t>
    </r>
    <phoneticPr fontId="3" type="noConversion"/>
  </si>
  <si>
    <t>12/31</t>
    <phoneticPr fontId="3" type="noConversion"/>
  </si>
  <si>
    <r>
      <t xml:space="preserve">▶ 26년 </t>
    </r>
    <r>
      <rPr>
        <b/>
        <sz val="9"/>
        <color theme="1"/>
        <rFont val="Malgun Gothic Semilight"/>
        <family val="2"/>
        <charset val="129"/>
      </rPr>
      <t>1</t>
    </r>
    <r>
      <rPr>
        <b/>
        <sz val="9"/>
        <color theme="1"/>
        <rFont val="Malgun Gothic Semilight"/>
        <family val="2"/>
        <charset val="134"/>
      </rPr>
      <t>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</t>
    </r>
    <r>
      <rPr>
        <b/>
        <sz val="9"/>
        <color theme="9" tint="-0.249977111117893"/>
        <rFont val="Malgun Gothic Semilight"/>
        <family val="2"/>
        <charset val="129"/>
      </rPr>
      <t>7</t>
    </r>
    <r>
      <rPr>
        <b/>
        <sz val="9"/>
        <color theme="9" tint="-0.249977111117893"/>
        <rFont val="Malgun Gothic Semilight"/>
        <family val="2"/>
        <charset val="134"/>
      </rPr>
      <t>1 (B2D320)</t>
    </r>
    <phoneticPr fontId="4" type="noConversion"/>
  </si>
  <si>
    <r>
      <rPr>
        <b/>
        <sz val="10"/>
        <rFont val="맑은 고딕"/>
        <family val="3"/>
        <charset val="129"/>
        <scheme val="major"/>
      </rPr>
      <t>(-)</t>
    </r>
    <r>
      <rPr>
        <sz val="10"/>
        <rFont val="맑은 고딕"/>
        <family val="3"/>
        <charset val="129"/>
        <scheme val="major"/>
      </rPr>
      <t>잡이익</t>
    </r>
    <r>
      <rPr>
        <b/>
        <sz val="10"/>
        <rFont val="맑은 고딕"/>
        <family val="3"/>
        <charset val="129"/>
        <scheme val="major"/>
      </rPr>
      <t>(50)</t>
    </r>
    <phoneticPr fontId="8" type="noConversion"/>
  </si>
  <si>
    <t>25년 12월 송금_1,470.4 (#100000055)</t>
    <phoneticPr fontId="11" type="noConversion"/>
  </si>
  <si>
    <t>26년 1월 송금_1,449.40(#100000056)</t>
    <phoneticPr fontId="11" type="noConversion"/>
  </si>
  <si>
    <t>Audit Confirmation Fee</t>
    <phoneticPr fontId="3" type="noConversion"/>
  </si>
  <si>
    <r>
      <rPr>
        <sz val="9"/>
        <color theme="1"/>
        <rFont val="微软雅黑"/>
        <family val="2"/>
        <charset val="134"/>
      </rPr>
      <t xml:space="preserve">PI </t>
    </r>
    <r>
      <rPr>
        <sz val="9"/>
        <color theme="1"/>
        <rFont val="Malgun Gothic"/>
        <family val="2"/>
        <charset val="129"/>
      </rPr>
      <t>지급</t>
    </r>
    <phoneticPr fontId="3" type="noConversion"/>
  </si>
  <si>
    <t>신규 사무실 임대료</t>
    <phoneticPr fontId="3" type="noConversion"/>
  </si>
  <si>
    <t>외주 운영비</t>
    <phoneticPr fontId="3" type="noConversion"/>
  </si>
  <si>
    <t>사무실 출입 카드 보증금 11인</t>
  </si>
  <si>
    <t>샘플 구매</t>
    <phoneticPr fontId="3" type="noConversion"/>
  </si>
  <si>
    <t>예산 잔액</t>
    <phoneticPr fontId="11" type="noConversion"/>
  </si>
  <si>
    <t>부족 예산</t>
    <phoneticPr fontId="11" type="noConversion"/>
  </si>
  <si>
    <t>보증금</t>
    <phoneticPr fontId="11" type="noConversion"/>
  </si>
  <si>
    <r>
      <t>▶ 26년 2월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inor"/>
      </rPr>
      <t>4000071 (B2D320)</t>
    </r>
    <phoneticPr fontId="4" type="noConversion"/>
  </si>
  <si>
    <r>
      <rPr>
        <b/>
        <sz val="10"/>
        <rFont val="맑은 고딕"/>
        <family val="3"/>
        <charset val="129"/>
        <scheme val="minor"/>
      </rPr>
      <t>(-)</t>
    </r>
    <r>
      <rPr>
        <sz val="10"/>
        <rFont val="맑은 고딕"/>
        <family val="3"/>
        <charset val="129"/>
        <scheme val="minor"/>
      </rPr>
      <t>잡이익</t>
    </r>
    <r>
      <rPr>
        <b/>
        <sz val="10"/>
        <rFont val="맑은 고딕"/>
        <family val="3"/>
        <charset val="129"/>
        <scheme val="minor"/>
      </rPr>
      <t>(50)</t>
    </r>
    <phoneticPr fontId="8" type="noConversion"/>
  </si>
  <si>
    <t>PI 지급</t>
    <phoneticPr fontId="3" type="noConversion"/>
  </si>
  <si>
    <t>26년 1월 송금_1,449.40(#100000301)</t>
    <phoneticPr fontId="11" type="noConversion"/>
  </si>
  <si>
    <t>26년 2월 송금_ 1,451.20(#100000303 )</t>
    <phoneticPr fontId="11" type="noConversion"/>
  </si>
  <si>
    <t>기존 사무실 보증금 반납</t>
    <phoneticPr fontId="3" type="noConversion"/>
  </si>
  <si>
    <t>이자</t>
    <phoneticPr fontId="3" type="noConversion"/>
  </si>
  <si>
    <t>사무실 이전 관련 등록 비용</t>
    <phoneticPr fontId="3" type="noConversion"/>
  </si>
  <si>
    <t>이사비용</t>
    <phoneticPr fontId="3" type="noConversion"/>
  </si>
  <si>
    <t>사무실 임대비 세금</t>
    <phoneticPr fontId="3" type="noConversion"/>
  </si>
  <si>
    <t>이사비용</t>
  </si>
  <si>
    <t>신입사원 PC</t>
  </si>
  <si>
    <t>휴가비</t>
    <phoneticPr fontId="3" type="noConversion"/>
  </si>
  <si>
    <t>Xiong Feng</t>
    <phoneticPr fontId="3" type="noConversion"/>
  </si>
  <si>
    <t>보증금 48000-퇴거 비용 612cny</t>
    <phoneticPr fontId="3" type="noConversion"/>
  </si>
  <si>
    <r>
      <t>▶ 26년 3월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inor"/>
      </rPr>
      <t>4000071 (B2D320)</t>
    </r>
    <phoneticPr fontId="4" type="noConversion"/>
  </si>
  <si>
    <t xml:space="preserve">퇴거 비용 </t>
    <phoneticPr fontId="3" type="noConversion"/>
  </si>
  <si>
    <t>임차보증금</t>
    <phoneticPr fontId="3" type="noConversion"/>
  </si>
  <si>
    <t>3,4월 사무실 주차비(3대)</t>
    <phoneticPr fontId="3" type="noConversion"/>
  </si>
  <si>
    <t>3/15-5/31 사무실 임차료 세금</t>
    <phoneticPr fontId="3" type="noConversion"/>
  </si>
  <si>
    <t>세금과공과</t>
    <phoneticPr fontId="3" type="noConversion"/>
  </si>
  <si>
    <t>보증금 입금</t>
    <phoneticPr fontId="3" type="noConversion"/>
  </si>
  <si>
    <t>KRW</t>
    <phoneticPr fontId="3" type="noConversion"/>
  </si>
  <si>
    <t>26년 3월 송금_ 1,479.80(#100000658)</t>
    <phoneticPr fontId="11" type="noConversion"/>
  </si>
  <si>
    <t>26년 3월 보증금 입금_ 1,467.30(#100000665, #7000000633)</t>
    <phoneticPr fontId="11" type="noConversion"/>
  </si>
  <si>
    <t>26년 2월 송금_ 1,451.20(# 100000657)</t>
    <phoneticPr fontId="11" type="noConversion"/>
  </si>
  <si>
    <t>PC microsoft 비용</t>
  </si>
  <si>
    <t>사무실 서비스 비용</t>
  </si>
  <si>
    <t>Q1 지사 운영 세금</t>
  </si>
  <si>
    <t xml:space="preserve">사무실 임대비 </t>
  </si>
  <si>
    <t>세무 대행비</t>
  </si>
  <si>
    <t>2026년 세무 승인비</t>
  </si>
  <si>
    <t>Rework 용역 대금</t>
  </si>
  <si>
    <t>지급수수료</t>
  </si>
  <si>
    <t>용역료</t>
  </si>
  <si>
    <t>5월 사무실 주차비(3대)</t>
  </si>
  <si>
    <t>Xiong Feng</t>
  </si>
  <si>
    <r>
      <t>▶ 26년 4월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inor"/>
      </rPr>
      <t>4000071 (B2D320)</t>
    </r>
    <phoneticPr fontId="4" type="noConversion"/>
  </si>
  <si>
    <t>지급수수료</t>
    <phoneticPr fontId="3" type="noConversion"/>
  </si>
  <si>
    <t>용역료</t>
    <phoneticPr fontId="3" type="noConversion"/>
  </si>
  <si>
    <t>금액 (KRW) / A</t>
    <phoneticPr fontId="11" type="noConversion"/>
  </si>
  <si>
    <t>26년 4월 송금_1479.8(#100001081)</t>
    <phoneticPr fontId="11" type="noConversion"/>
  </si>
  <si>
    <t>26년 3월 송금_ 1,479.80(#100001080)</t>
    <phoneticPr fontId="11" type="noConversion"/>
  </si>
  <si>
    <t xml:space="preserve">금액 (KRW) </t>
    <phoneticPr fontId="11" type="noConversion"/>
  </si>
  <si>
    <r>
      <t>▶ 26년 5월 전도금 정산 내역 (심천지사)_</t>
    </r>
    <r>
      <rPr>
        <b/>
        <sz val="10"/>
        <color theme="9" tint="-0.249977111117893"/>
        <rFont val="맑은 고딕"/>
        <family val="3"/>
        <charset val="129"/>
        <scheme val="minor"/>
      </rPr>
      <t>4000071 (B2D320)</t>
    </r>
    <phoneticPr fontId="4" type="noConversion"/>
  </si>
  <si>
    <r>
      <t>출장비(4</t>
    </r>
    <r>
      <rPr>
        <sz val="9"/>
        <color theme="1"/>
        <rFont val="Malgun Gothic"/>
        <family val="2"/>
        <charset val="129"/>
      </rPr>
      <t>월분</t>
    </r>
    <r>
      <rPr>
        <sz val="9"/>
        <color theme="1"/>
        <rFont val="Malgun Gothic Semilight"/>
        <family val="2"/>
        <charset val="134"/>
      </rPr>
      <t>)</t>
    </r>
    <phoneticPr fontId="3" type="noConversion"/>
  </si>
  <si>
    <t>3월 사무실 전기세</t>
    <phoneticPr fontId="3" type="noConversion"/>
  </si>
  <si>
    <t>세무 대행비</t>
    <phoneticPr fontId="3" type="noConversion"/>
  </si>
  <si>
    <t>인도네시아 비자</t>
    <phoneticPr fontId="3" type="noConversion"/>
  </si>
  <si>
    <t>사무실 임대비 -5월 2차</t>
    <phoneticPr fontId="3" type="noConversion"/>
  </si>
  <si>
    <t>사무실 임대비 - 5월 1차</t>
    <phoneticPr fontId="3" type="noConversion"/>
  </si>
  <si>
    <t>처리예정</t>
    <phoneticPr fontId="11" type="noConversion"/>
  </si>
  <si>
    <t xml:space="preserve">예산 확보 필요 </t>
    <phoneticPr fontId="11" type="noConversion"/>
  </si>
  <si>
    <t>26년 4월 송금_1479.8(#100001494)</t>
    <phoneticPr fontId="11" type="noConversion"/>
  </si>
  <si>
    <t>26년 5월 송금 1차_1,473.10(#100001495)</t>
    <phoneticPr fontId="11" type="noConversion"/>
  </si>
  <si>
    <t>26년 5월 송금 2차_ 1,484.30(#10000149)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</si>
</sst>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₩&quot;#,##0;\-&quot;₩&quot;#,##0"/>
    <numFmt numFmtId="6" formatCode="&quot;₩&quot;#,##0;[Red]\-&quot;₩&quot;#,##0"/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_ * #,##0.00_ ;_ * \-#,##0.00_ ;_ * &quot;-&quot;??_ ;_ @_ "/>
    <numFmt numFmtId="177" formatCode="#,##0.00_);[Red]\(#,##0.00\)"/>
    <numFmt numFmtId="178" formatCode="#,##0.00_ "/>
    <numFmt numFmtId="179" formatCode="_-* #,##0.00_-;\-* #,##0.00_-;_-* &quot;-&quot;_-;_-@_-"/>
    <numFmt numFmtId="180" formatCode="#,##0.00000_ "/>
    <numFmt numFmtId="181" formatCode="0_);[Red]\(0\)"/>
    <numFmt numFmtId="182" formatCode="_-* #,##0.0000_-;\-* #,##0.0000_-;_-* &quot;-&quot;_-;_-@_-"/>
    <numFmt numFmtId="183" formatCode="m&quot;/&quot;d;@"/>
    <numFmt numFmtId="184" formatCode="mm&quot;월&quot;\ dd&quot;일&quot;"/>
    <numFmt numFmtId="185" formatCode="_-* #,##0.0_-;\-* #,##0.0_-;_-* &quot;-&quot;_-;_-@_-"/>
    <numFmt numFmtId="186" formatCode="[$¥-804]#,##0.00"/>
    <numFmt numFmtId="187" formatCode="#,##0.0000_ "/>
    <numFmt numFmtId="188" formatCode="yyyy&quot;-&quot;m&quot;-&quot;d;@"/>
    <numFmt numFmtId="189" formatCode="0.00_ "/>
    <numFmt numFmtId="190" formatCode="_-* #,##0.000_-;\-* #,##0.000_-;_-* &quot;-&quot;_-;_-@_-"/>
    <numFmt numFmtId="191" formatCode="&quot;$&quot;#,##0.00_);[Red]\(&quot;$&quot;#,##0.00\)"/>
  </numFmts>
  <fonts count="17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Arial"/>
      <family val="2"/>
    </font>
    <font>
      <b/>
      <sz val="13.5"/>
      <color theme="0"/>
      <name val="Arial"/>
      <family val="2"/>
    </font>
    <font>
      <sz val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sz val="8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b/>
      <sz val="9"/>
      <color theme="0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theme="9"/>
      <name val="맑은 고딕"/>
      <family val="3"/>
      <charset val="129"/>
      <scheme val="minor"/>
    </font>
    <font>
      <sz val="10"/>
      <color theme="9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2"/>
      <name val="宋体"/>
      <family val="3"/>
      <charset val="134"/>
    </font>
    <font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3.5"/>
      <name val="Arial"/>
      <family val="2"/>
    </font>
    <font>
      <b/>
      <sz val="13.5"/>
      <color rgb="FFFF0000"/>
      <name val="Arial"/>
      <family val="2"/>
    </font>
    <font>
      <sz val="10"/>
      <color theme="3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4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0"/>
      <name val="새굴림"/>
      <family val="3"/>
      <charset val="134"/>
    </font>
    <font>
      <sz val="10"/>
      <name val="Calibri"/>
      <family val="3"/>
    </font>
    <font>
      <sz val="10"/>
      <name val="맑은 고딕"/>
      <family val="3"/>
      <charset val="134"/>
    </font>
    <font>
      <sz val="10"/>
      <color rgb="FF000000"/>
      <name val="맑은 고딕"/>
      <family val="3"/>
      <charset val="129"/>
      <scheme val="minor"/>
    </font>
    <font>
      <sz val="10"/>
      <name val="NSimSun"/>
      <family val="3"/>
      <charset val="134"/>
    </font>
    <font>
      <sz val="9"/>
      <name val="맑은 고딕"/>
      <family val="3"/>
      <charset val="129"/>
      <scheme val="major"/>
    </font>
    <font>
      <sz val="10"/>
      <color theme="3"/>
      <name val="맑은 고딕"/>
      <family val="3"/>
      <charset val="129"/>
      <scheme val="minor"/>
    </font>
    <font>
      <sz val="10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9" tint="-0.249977111117893"/>
      <name val="맑은 고딕"/>
      <family val="3"/>
      <charset val="129"/>
      <scheme val="major"/>
    </font>
    <font>
      <b/>
      <sz val="10"/>
      <color rgb="FF0000FF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3" tint="-0.249977111117893"/>
      <name val="맑은 고딕"/>
      <family val="3"/>
      <charset val="129"/>
      <scheme val="major"/>
    </font>
    <font>
      <b/>
      <sz val="8"/>
      <color indexed="81"/>
      <name val="맑은 고딕"/>
      <family val="3"/>
      <charset val="129"/>
      <scheme val="major"/>
    </font>
    <font>
      <sz val="10"/>
      <color indexed="8"/>
      <name val="새굴림"/>
      <family val="1"/>
      <charset val="129"/>
    </font>
    <font>
      <sz val="10"/>
      <color indexed="8"/>
      <name val="맑은 고딕"/>
      <family val="3"/>
      <charset val="129"/>
    </font>
    <font>
      <sz val="10"/>
      <color indexed="8"/>
      <name val="새굴림"/>
      <family val="1"/>
    </font>
    <font>
      <b/>
      <sz val="9"/>
      <name val="맑은 고딕"/>
      <family val="3"/>
      <charset val="129"/>
      <scheme val="major"/>
    </font>
    <font>
      <sz val="9"/>
      <color theme="6"/>
      <name val="맑은 고딕"/>
      <family val="3"/>
      <charset val="129"/>
      <scheme val="major"/>
    </font>
    <font>
      <sz val="10"/>
      <color theme="6"/>
      <name val="맑은 고딕"/>
      <family val="3"/>
      <charset val="129"/>
      <scheme val="minor"/>
    </font>
    <font>
      <sz val="9"/>
      <color theme="3" tint="-0.249977111117893"/>
      <name val="맑은 고딕"/>
      <family val="3"/>
      <charset val="129"/>
      <scheme val="major"/>
    </font>
    <font>
      <sz val="10"/>
      <color theme="1"/>
      <name val="맑은 고딕"/>
      <family val="3"/>
      <scheme val="minor"/>
    </font>
    <font>
      <sz val="10"/>
      <color theme="1"/>
      <name val="Calibri"/>
      <family val="2"/>
    </font>
    <font>
      <sz val="12"/>
      <color theme="0"/>
      <name val="굴림"/>
      <family val="3"/>
      <charset val="129"/>
    </font>
    <font>
      <sz val="12"/>
      <color theme="0"/>
      <name val="??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  <scheme val="major"/>
    </font>
    <font>
      <sz val="9"/>
      <color theme="1"/>
      <name val="맑은 고딕"/>
      <family val="3"/>
      <charset val="134"/>
      <scheme val="minor"/>
    </font>
    <font>
      <sz val="9"/>
      <color theme="1"/>
      <name val="맑은 고딕"/>
      <family val="1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color theme="1"/>
      <name val="맑은 고딕"/>
      <family val="2"/>
      <scheme val="major"/>
    </font>
    <font>
      <sz val="9"/>
      <color theme="1"/>
      <name val="微软雅黑"/>
      <family val="2"/>
      <charset val="134"/>
    </font>
    <font>
      <sz val="9"/>
      <color theme="1"/>
      <name val="Malgun Gothic"/>
      <family val="2"/>
      <charset val="129"/>
    </font>
    <font>
      <sz val="9"/>
      <name val="Malgun Gothic"/>
      <family val="2"/>
    </font>
    <font>
      <sz val="9"/>
      <color rgb="FFFF0000"/>
      <name val="Malgun Gothic"/>
      <family val="2"/>
    </font>
    <font>
      <sz val="9"/>
      <color theme="1"/>
      <name val="새굴림"/>
      <family val="3"/>
      <charset val="134"/>
    </font>
    <font>
      <sz val="9"/>
      <color theme="1"/>
      <name val="Calibri"/>
      <family val="3"/>
    </font>
    <font>
      <sz val="9"/>
      <color theme="1"/>
      <name val="맑은 고딕"/>
      <family val="3"/>
      <charset val="134"/>
    </font>
    <font>
      <sz val="10"/>
      <name val="Malgun Gothic"/>
      <family val="2"/>
    </font>
    <font>
      <sz val="9"/>
      <color theme="1"/>
      <name val="맑은 고딕"/>
      <family val="3"/>
      <charset val="134"/>
      <scheme val="major"/>
    </font>
    <font>
      <sz val="9"/>
      <name val="맑은 고딕"/>
      <family val="3"/>
      <scheme val="major"/>
    </font>
    <font>
      <sz val="9"/>
      <color theme="0"/>
      <name val="맑은 고딕"/>
      <family val="3"/>
      <scheme val="major"/>
    </font>
    <font>
      <sz val="9"/>
      <color theme="1"/>
      <name val="맑은 고딕"/>
      <family val="3"/>
      <scheme val="major"/>
    </font>
    <font>
      <sz val="9"/>
      <color rgb="FFFF0000"/>
      <name val="맑은 고딕"/>
      <family val="3"/>
      <scheme val="major"/>
    </font>
    <font>
      <b/>
      <sz val="9"/>
      <color theme="1"/>
      <name val="맑은 고딕"/>
      <family val="3"/>
      <scheme val="major"/>
    </font>
    <font>
      <b/>
      <sz val="9"/>
      <color theme="9" tint="-0.249977111117893"/>
      <name val="맑은 고딕"/>
      <family val="3"/>
      <charset val="129"/>
      <scheme val="major"/>
    </font>
    <font>
      <sz val="11"/>
      <color theme="1"/>
      <name val="맑은 고딕"/>
      <family val="3"/>
      <charset val="134"/>
      <scheme val="minor"/>
    </font>
    <font>
      <b/>
      <sz val="9"/>
      <color theme="0" tint="-4.9989318521683403E-2"/>
      <name val="맑은 고딕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9"/>
      <name val="맑은 고딕"/>
      <family val="3"/>
      <charset val="134"/>
      <scheme val="min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10"/>
      <color theme="1"/>
      <name val="Microsoft YaHei UI"/>
      <family val="2"/>
      <charset val="134"/>
    </font>
    <font>
      <sz val="10"/>
      <color theme="1"/>
      <name val="宋体"/>
      <family val="2"/>
      <charset val="129"/>
    </font>
    <font>
      <b/>
      <sz val="9"/>
      <color theme="5"/>
      <name val="맑은 고딕"/>
      <family val="3"/>
      <charset val="129"/>
      <scheme val="major"/>
    </font>
    <font>
      <sz val="9"/>
      <color theme="5"/>
      <name val="맑은 고딕"/>
      <family val="3"/>
      <charset val="129"/>
      <scheme val="major"/>
    </font>
    <font>
      <sz val="10"/>
      <color theme="5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theme="0" tint="-4.9989318521683403E-2"/>
      <name val="맑은 고딕"/>
      <family val="3"/>
      <charset val="129"/>
      <scheme val="major"/>
    </font>
    <font>
      <sz val="10"/>
      <color theme="6"/>
      <name val="맑은 고딕"/>
      <family val="3"/>
      <charset val="129"/>
      <scheme val="major"/>
    </font>
    <font>
      <b/>
      <sz val="10"/>
      <color theme="3" tint="-0.249977111117893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9" tint="-0.249977111117893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rgb="FFFF000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sz val="9"/>
      <color theme="1"/>
      <name val="Batang"/>
      <family val="2"/>
      <charset val="129"/>
    </font>
    <font>
      <b/>
      <sz val="9"/>
      <color theme="1"/>
      <name val="맑은 고딕"/>
      <family val="2"/>
      <charset val="129"/>
    </font>
    <font>
      <b/>
      <sz val="9"/>
      <color rgb="FF0070C0"/>
      <name val="맑은 고딕"/>
      <family val="2"/>
      <charset val="129"/>
    </font>
    <font>
      <sz val="9"/>
      <name val="맑은 고딕"/>
      <family val="2"/>
      <charset val="129"/>
    </font>
    <font>
      <sz val="9"/>
      <color theme="1"/>
      <name val="맑은 고딕"/>
      <family val="2"/>
      <charset val="129"/>
    </font>
    <font>
      <b/>
      <sz val="9"/>
      <color theme="9" tint="-0.249977111117893"/>
      <name val="맑은 고딕"/>
      <family val="2"/>
      <charset val="129"/>
    </font>
    <font>
      <b/>
      <sz val="9"/>
      <color rgb="FF0070C0"/>
      <name val="Malgun Gothic Semilight"/>
      <family val="2"/>
      <charset val="129"/>
    </font>
    <font>
      <b/>
      <sz val="9"/>
      <name val="Malgun Gothic Semilight"/>
      <family val="3"/>
      <charset val="134"/>
    </font>
    <font>
      <sz val="9"/>
      <name val="Malgun Gothic Semilight"/>
      <family val="3"/>
      <charset val="134"/>
    </font>
    <font>
      <b/>
      <sz val="9"/>
      <color theme="3" tint="0.39997558519241921"/>
      <name val="Malgun Gothic Semilight"/>
      <family val="2"/>
      <charset val="134"/>
    </font>
    <font>
      <b/>
      <sz val="9"/>
      <color theme="3" tint="0.39997558519241921"/>
      <name val="맑은 고딕"/>
      <family val="2"/>
      <charset val="129"/>
    </font>
    <font>
      <b/>
      <sz val="9"/>
      <color theme="0"/>
      <name val="Malgun Gothic Semilight"/>
      <family val="2"/>
      <charset val="129"/>
    </font>
    <font>
      <sz val="9"/>
      <color theme="0"/>
      <name val="Malgun Gothic Semilight"/>
      <family val="2"/>
      <charset val="129"/>
    </font>
    <font>
      <b/>
      <sz val="9"/>
      <color theme="0"/>
      <name val="Malgun Gothic Semilight"/>
      <family val="3"/>
      <charset val="134"/>
    </font>
    <font>
      <sz val="9"/>
      <color theme="0"/>
      <name val="Malgun Gothic Semilight"/>
      <family val="3"/>
      <charset val="134"/>
    </font>
    <font>
      <b/>
      <sz val="9"/>
      <color theme="1"/>
      <name val="Malgun Gothic Semilight"/>
      <family val="2"/>
      <charset val="129"/>
    </font>
    <font>
      <b/>
      <sz val="9"/>
      <color theme="9" tint="-0.249977111117893"/>
      <name val="Malgun Gothic Semilight"/>
      <family val="2"/>
      <charset val="129"/>
    </font>
    <font>
      <b/>
      <sz val="10"/>
      <color theme="3" tint="0.39997558519241921"/>
      <name val="맑은 고딕"/>
      <family val="3"/>
      <charset val="129"/>
      <scheme val="major"/>
    </font>
    <font>
      <b/>
      <sz val="10"/>
      <color theme="9" tint="-0.249977111117893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theme="3" tint="0.39997558519241921"/>
      <name val="맑은 고딕"/>
      <family val="3"/>
      <charset val="129"/>
      <scheme val="minor"/>
    </font>
    <font>
      <b/>
      <sz val="10"/>
      <color theme="3" tint="-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b/>
      <sz val="10"/>
      <color theme="0" tint="-4.9989318521683403E-2"/>
      <name val="맑은 고딕"/>
      <family val="3"/>
      <charset val="129"/>
      <scheme val="minor"/>
    </font>
    <font>
      <sz val="10"/>
      <color theme="5" tint="0.59999389629810485"/>
      <name val="맑은 고딕"/>
      <family val="3"/>
      <charset val="129"/>
      <scheme val="minor"/>
    </font>
    <font>
      <u/>
      <sz val="10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EFE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3E1E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theme="0" tint="-0.499984740745262"/>
      </top>
      <bottom/>
      <diagonal/>
    </border>
    <border>
      <left style="thin">
        <color indexed="64"/>
      </left>
      <right style="medium">
        <color indexed="64"/>
      </right>
      <top style="medium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</borders>
  <cellStyleXfs count="18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0" fillId="0" borderId="0"/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/>
    <xf numFmtId="0" fontId="35" fillId="0" borderId="0"/>
    <xf numFmtId="0" fontId="36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186" fontId="20" fillId="0" borderId="0"/>
    <xf numFmtId="186" fontId="23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  <xf numFmtId="0" fontId="10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176" fontId="103" fillId="0" borderId="0" applyFont="0" applyFill="0" applyBorder="0" applyAlignment="0" applyProtection="0">
      <alignment vertical="center"/>
    </xf>
    <xf numFmtId="176" fontId="103" fillId="0" borderId="0" applyFont="0" applyFill="0" applyBorder="0" applyAlignment="0" applyProtection="0">
      <alignment vertical="center"/>
    </xf>
  </cellStyleXfs>
  <cellXfs count="21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9" fillId="0" borderId="0" xfId="0" applyFont="1">
      <alignment vertical="center"/>
    </xf>
    <xf numFmtId="178" fontId="10" fillId="2" borderId="1" xfId="1" applyNumberFormat="1" applyFont="1" applyFill="1" applyBorder="1" applyAlignment="1">
      <alignment horizontal="center" vertical="center"/>
    </xf>
    <xf numFmtId="178" fontId="10" fillId="2" borderId="1" xfId="1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179" fontId="13" fillId="0" borderId="1" xfId="1" applyNumberFormat="1" applyFont="1" applyBorder="1">
      <alignment vertical="center"/>
    </xf>
    <xf numFmtId="41" fontId="13" fillId="0" borderId="1" xfId="1" applyFont="1" applyBorder="1">
      <alignment vertical="center"/>
    </xf>
    <xf numFmtId="0" fontId="15" fillId="0" borderId="0" xfId="0" applyFont="1">
      <alignment vertical="center"/>
    </xf>
    <xf numFmtId="179" fontId="16" fillId="0" borderId="2" xfId="1" applyNumberFormat="1" applyFont="1" applyFill="1" applyBorder="1" applyAlignment="1">
      <alignment horizontal="center" vertical="center"/>
    </xf>
    <xf numFmtId="179" fontId="17" fillId="2" borderId="1" xfId="1" applyNumberFormat="1" applyFont="1" applyFill="1" applyBorder="1">
      <alignment vertical="center"/>
    </xf>
    <xf numFmtId="41" fontId="17" fillId="2" borderId="1" xfId="1" applyFont="1" applyFill="1" applyBorder="1">
      <alignment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79" fontId="15" fillId="0" borderId="0" xfId="1" applyNumberFormat="1" applyFont="1" applyFill="1">
      <alignment vertical="center"/>
    </xf>
    <xf numFmtId="0" fontId="16" fillId="0" borderId="0" xfId="0" applyFont="1">
      <alignment vertical="center"/>
    </xf>
    <xf numFmtId="179" fontId="16" fillId="0" borderId="0" xfId="1" applyNumberFormat="1" applyFont="1" applyAlignment="1">
      <alignment horizontal="right" vertical="center"/>
    </xf>
    <xf numFmtId="43" fontId="12" fillId="0" borderId="0" xfId="0" applyNumberFormat="1" applyFont="1">
      <alignment vertical="center"/>
    </xf>
    <xf numFmtId="43" fontId="13" fillId="0" borderId="0" xfId="0" applyNumberFormat="1" applyFont="1" applyAlignment="1">
      <alignment horizontal="left" vertical="center"/>
    </xf>
    <xf numFmtId="41" fontId="13" fillId="0" borderId="0" xfId="1" applyFont="1" applyAlignment="1">
      <alignment horizontal="left" vertical="center"/>
    </xf>
    <xf numFmtId="177" fontId="13" fillId="0" borderId="0" xfId="0" applyNumberFormat="1" applyFont="1">
      <alignment vertical="center"/>
    </xf>
    <xf numFmtId="179" fontId="13" fillId="0" borderId="0" xfId="1" applyNumberFormat="1" applyFont="1" applyAlignment="1">
      <alignment horizontal="right" vertical="center"/>
    </xf>
    <xf numFmtId="43" fontId="13" fillId="0" borderId="0" xfId="0" applyNumberFormat="1" applyFont="1">
      <alignment vertical="center"/>
    </xf>
    <xf numFmtId="177" fontId="19" fillId="2" borderId="9" xfId="0" applyNumberFormat="1" applyFont="1" applyFill="1" applyBorder="1" applyAlignment="1">
      <alignment horizontal="center" vertical="center"/>
    </xf>
    <xf numFmtId="178" fontId="19" fillId="2" borderId="9" xfId="0" applyNumberFormat="1" applyFont="1" applyFill="1" applyBorder="1" applyAlignment="1">
      <alignment horizontal="center" vertical="center"/>
    </xf>
    <xf numFmtId="179" fontId="19" fillId="2" borderId="9" xfId="1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>
      <alignment vertical="center"/>
    </xf>
    <xf numFmtId="183" fontId="5" fillId="0" borderId="12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9" fontId="5" fillId="0" borderId="12" xfId="1" applyNumberFormat="1" applyFont="1" applyFill="1" applyBorder="1" applyAlignment="1">
      <alignment horizontal="center" vertical="center"/>
    </xf>
    <xf numFmtId="179" fontId="5" fillId="0" borderId="12" xfId="1" applyNumberFormat="1" applyFont="1" applyBorder="1">
      <alignment vertical="center"/>
    </xf>
    <xf numFmtId="183" fontId="5" fillId="4" borderId="12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5" fillId="4" borderId="12" xfId="0" applyFont="1" applyFill="1" applyBorder="1">
      <alignment vertical="center"/>
    </xf>
    <xf numFmtId="179" fontId="5" fillId="4" borderId="12" xfId="1" applyNumberFormat="1" applyFont="1" applyFill="1" applyBorder="1" applyAlignment="1">
      <alignment horizontal="center" vertical="center"/>
    </xf>
    <xf numFmtId="43" fontId="5" fillId="0" borderId="0" xfId="0" applyNumberFormat="1" applyFont="1">
      <alignment vertical="center"/>
    </xf>
    <xf numFmtId="183" fontId="5" fillId="3" borderId="12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5" fillId="3" borderId="12" xfId="0" applyFont="1" applyFill="1" applyBorder="1">
      <alignment vertical="center"/>
    </xf>
    <xf numFmtId="179" fontId="5" fillId="3" borderId="12" xfId="1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 vertical="center"/>
    </xf>
    <xf numFmtId="179" fontId="5" fillId="4" borderId="12" xfId="1" applyNumberFormat="1" applyFont="1" applyFill="1" applyBorder="1">
      <alignment vertical="center"/>
    </xf>
    <xf numFmtId="179" fontId="5" fillId="3" borderId="12" xfId="1" applyNumberFormat="1" applyFont="1" applyFill="1" applyBorder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>
      <alignment vertical="center"/>
    </xf>
    <xf numFmtId="183" fontId="5" fillId="5" borderId="12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21" fillId="5" borderId="12" xfId="0" applyFont="1" applyFill="1" applyBorder="1" applyAlignment="1">
      <alignment horizontal="center" vertical="center"/>
    </xf>
    <xf numFmtId="0" fontId="5" fillId="5" borderId="12" xfId="0" applyFont="1" applyFill="1" applyBorder="1">
      <alignment vertical="center"/>
    </xf>
    <xf numFmtId="179" fontId="5" fillId="5" borderId="12" xfId="1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15" fillId="0" borderId="0" xfId="1" applyNumberFormat="1" applyFont="1" applyFill="1">
      <alignment vertical="center"/>
    </xf>
    <xf numFmtId="182" fontId="21" fillId="3" borderId="12" xfId="1" applyNumberFormat="1" applyFont="1" applyFill="1" applyBorder="1" applyAlignment="1">
      <alignment horizontal="center" vertical="center"/>
    </xf>
    <xf numFmtId="179" fontId="26" fillId="2" borderId="12" xfId="1" applyNumberFormat="1" applyFont="1" applyFill="1" applyBorder="1" applyAlignment="1">
      <alignment horizontal="center" vertical="center" wrapText="1"/>
    </xf>
    <xf numFmtId="179" fontId="26" fillId="2" borderId="12" xfId="1" applyNumberFormat="1" applyFont="1" applyFill="1" applyBorder="1" applyAlignment="1">
      <alignment horizontal="center" vertical="center"/>
    </xf>
    <xf numFmtId="43" fontId="14" fillId="2" borderId="12" xfId="1" applyNumberFormat="1" applyFont="1" applyFill="1" applyBorder="1" applyAlignment="1">
      <alignment horizontal="center" vertical="center"/>
    </xf>
    <xf numFmtId="177" fontId="14" fillId="2" borderId="12" xfId="1" applyNumberFormat="1" applyFont="1" applyFill="1" applyBorder="1" applyAlignment="1">
      <alignment horizontal="center" vertical="center"/>
    </xf>
    <xf numFmtId="181" fontId="14" fillId="2" borderId="12" xfId="2" applyNumberFormat="1" applyFont="1" applyFill="1" applyBorder="1" applyAlignment="1">
      <alignment horizontal="center" vertical="center"/>
    </xf>
    <xf numFmtId="4" fontId="5" fillId="0" borderId="12" xfId="0" applyNumberFormat="1" applyFont="1" applyBorder="1">
      <alignment vertical="center"/>
    </xf>
    <xf numFmtId="0" fontId="15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/>
    </xf>
    <xf numFmtId="178" fontId="19" fillId="2" borderId="5" xfId="0" applyNumberFormat="1" applyFont="1" applyFill="1" applyBorder="1" applyAlignment="1">
      <alignment horizontal="center" vertical="center"/>
    </xf>
    <xf numFmtId="179" fontId="5" fillId="0" borderId="14" xfId="1" applyNumberFormat="1" applyFont="1" applyBorder="1">
      <alignment vertical="center"/>
    </xf>
    <xf numFmtId="179" fontId="5" fillId="4" borderId="14" xfId="1" applyNumberFormat="1" applyFont="1" applyFill="1" applyBorder="1" applyAlignment="1">
      <alignment horizontal="center" vertical="center"/>
    </xf>
    <xf numFmtId="179" fontId="5" fillId="0" borderId="14" xfId="1" applyNumberFormat="1" applyFont="1" applyFill="1" applyBorder="1" applyAlignment="1">
      <alignment horizontal="center" vertical="center"/>
    </xf>
    <xf numFmtId="179" fontId="5" fillId="5" borderId="14" xfId="1" applyNumberFormat="1" applyFont="1" applyFill="1" applyBorder="1" applyAlignment="1">
      <alignment horizontal="center" vertical="center"/>
    </xf>
    <xf numFmtId="179" fontId="5" fillId="3" borderId="14" xfId="1" applyNumberFormat="1" applyFont="1" applyFill="1" applyBorder="1" applyAlignment="1">
      <alignment horizontal="center" vertical="center"/>
    </xf>
    <xf numFmtId="178" fontId="19" fillId="2" borderId="7" xfId="0" applyNumberFormat="1" applyFont="1" applyFill="1" applyBorder="1" applyAlignment="1">
      <alignment horizontal="center" vertical="center"/>
    </xf>
    <xf numFmtId="179" fontId="21" fillId="4" borderId="15" xfId="1" applyNumberFormat="1" applyFont="1" applyFill="1" applyBorder="1" applyAlignment="1">
      <alignment horizontal="center" vertical="center"/>
    </xf>
    <xf numFmtId="179" fontId="21" fillId="0" borderId="15" xfId="1" applyNumberFormat="1" applyFont="1" applyFill="1" applyBorder="1" applyAlignment="1">
      <alignment horizontal="center" vertical="center"/>
    </xf>
    <xf numFmtId="179" fontId="21" fillId="5" borderId="15" xfId="1" applyNumberFormat="1" applyFont="1" applyFill="1" applyBorder="1" applyAlignment="1">
      <alignment horizontal="center" vertical="center"/>
    </xf>
    <xf numFmtId="179" fontId="21" fillId="3" borderId="15" xfId="1" applyNumberFormat="1" applyFont="1" applyFill="1" applyBorder="1" applyAlignment="1">
      <alignment horizontal="center" vertical="center"/>
    </xf>
    <xf numFmtId="179" fontId="5" fillId="0" borderId="16" xfId="1" applyNumberFormat="1" applyFont="1" applyBorder="1">
      <alignment vertical="center"/>
    </xf>
    <xf numFmtId="179" fontId="5" fillId="4" borderId="17" xfId="1" applyNumberFormat="1" applyFont="1" applyFill="1" applyBorder="1">
      <alignment vertical="center"/>
    </xf>
    <xf numFmtId="179" fontId="21" fillId="4" borderId="16" xfId="1" applyNumberFormat="1" applyFont="1" applyFill="1" applyBorder="1" applyAlignment="1">
      <alignment horizontal="center" vertical="center"/>
    </xf>
    <xf numFmtId="179" fontId="5" fillId="4" borderId="17" xfId="1" applyNumberFormat="1" applyFont="1" applyFill="1" applyBorder="1" applyAlignment="1">
      <alignment horizontal="center" vertical="center"/>
    </xf>
    <xf numFmtId="179" fontId="5" fillId="0" borderId="16" xfId="1" applyNumberFormat="1" applyFont="1" applyFill="1" applyBorder="1" applyAlignment="1">
      <alignment horizontal="center" vertical="center"/>
    </xf>
    <xf numFmtId="179" fontId="5" fillId="5" borderId="16" xfId="1" applyNumberFormat="1" applyFont="1" applyFill="1" applyBorder="1" applyAlignment="1">
      <alignment horizontal="center" vertical="center"/>
    </xf>
    <xf numFmtId="179" fontId="5" fillId="5" borderId="17" xfId="1" applyNumberFormat="1" applyFont="1" applyFill="1" applyBorder="1" applyAlignment="1">
      <alignment horizontal="center" vertical="center"/>
    </xf>
    <xf numFmtId="179" fontId="5" fillId="3" borderId="16" xfId="1" applyNumberFormat="1" applyFont="1" applyFill="1" applyBorder="1" applyAlignment="1">
      <alignment horizontal="center" vertical="center"/>
    </xf>
    <xf numFmtId="179" fontId="5" fillId="3" borderId="17" xfId="1" applyNumberFormat="1" applyFont="1" applyFill="1" applyBorder="1" applyAlignment="1">
      <alignment horizontal="center" vertical="center"/>
    </xf>
    <xf numFmtId="179" fontId="21" fillId="3" borderId="16" xfId="1" applyNumberFormat="1" applyFont="1" applyFill="1" applyBorder="1" applyAlignment="1">
      <alignment horizontal="center" vertical="center"/>
    </xf>
    <xf numFmtId="179" fontId="5" fillId="0" borderId="18" xfId="1" applyNumberFormat="1" applyFont="1" applyFill="1" applyBorder="1" applyAlignment="1">
      <alignment horizontal="center" vertical="center"/>
    </xf>
    <xf numFmtId="179" fontId="5" fillId="4" borderId="19" xfId="1" applyNumberFormat="1" applyFont="1" applyFill="1" applyBorder="1">
      <alignment vertical="center"/>
    </xf>
    <xf numFmtId="179" fontId="18" fillId="0" borderId="0" xfId="1" applyNumberFormat="1" applyFont="1" applyAlignment="1">
      <alignment horizontal="left" vertical="center"/>
    </xf>
    <xf numFmtId="0" fontId="30" fillId="0" borderId="0" xfId="0" applyFont="1">
      <alignment vertical="center"/>
    </xf>
    <xf numFmtId="179" fontId="30" fillId="0" borderId="0" xfId="1" applyNumberFormat="1" applyFont="1" applyFill="1">
      <alignment vertical="center"/>
    </xf>
    <xf numFmtId="179" fontId="22" fillId="0" borderId="0" xfId="0" applyNumberFormat="1" applyFont="1">
      <alignment vertical="center"/>
    </xf>
    <xf numFmtId="179" fontId="9" fillId="0" borderId="15" xfId="1" applyNumberFormat="1" applyFont="1" applyBorder="1">
      <alignment vertical="center"/>
    </xf>
    <xf numFmtId="179" fontId="5" fillId="5" borderId="17" xfId="1" applyNumberFormat="1" applyFont="1" applyFill="1" applyBorder="1">
      <alignment vertical="center"/>
    </xf>
    <xf numFmtId="179" fontId="5" fillId="0" borderId="12" xfId="1" applyNumberFormat="1" applyFont="1" applyFill="1" applyBorder="1">
      <alignment vertical="center"/>
    </xf>
    <xf numFmtId="179" fontId="5" fillId="0" borderId="14" xfId="1" applyNumberFormat="1" applyFont="1" applyFill="1" applyBorder="1">
      <alignment vertical="center"/>
    </xf>
    <xf numFmtId="183" fontId="5" fillId="8" borderId="20" xfId="0" applyNumberFormat="1" applyFont="1" applyFill="1" applyBorder="1" applyAlignment="1">
      <alignment horizontal="center" vertical="center"/>
    </xf>
    <xf numFmtId="0" fontId="5" fillId="8" borderId="20" xfId="0" applyFont="1" applyFill="1" applyBorder="1">
      <alignment vertical="center"/>
    </xf>
    <xf numFmtId="0" fontId="5" fillId="8" borderId="20" xfId="0" applyFont="1" applyFill="1" applyBorder="1" applyAlignment="1">
      <alignment horizontal="center" vertical="center"/>
    </xf>
    <xf numFmtId="179" fontId="5" fillId="8" borderId="20" xfId="1" applyNumberFormat="1" applyFont="1" applyFill="1" applyBorder="1">
      <alignment vertical="center"/>
    </xf>
    <xf numFmtId="179" fontId="5" fillId="8" borderId="21" xfId="1" applyNumberFormat="1" applyFont="1" applyFill="1" applyBorder="1">
      <alignment vertical="center"/>
    </xf>
    <xf numFmtId="179" fontId="5" fillId="8" borderId="22" xfId="1" applyNumberFormat="1" applyFont="1" applyFill="1" applyBorder="1">
      <alignment vertical="center"/>
    </xf>
    <xf numFmtId="179" fontId="5" fillId="8" borderId="23" xfId="1" applyNumberFormat="1" applyFont="1" applyFill="1" applyBorder="1">
      <alignment vertical="center"/>
    </xf>
    <xf numFmtId="179" fontId="5" fillId="8" borderId="24" xfId="1" applyNumberFormat="1" applyFont="1" applyFill="1" applyBorder="1">
      <alignment vertical="center"/>
    </xf>
    <xf numFmtId="0" fontId="31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179" fontId="5" fillId="0" borderId="1" xfId="1" applyNumberFormat="1" applyFont="1" applyBorder="1">
      <alignment vertical="center"/>
    </xf>
    <xf numFmtId="41" fontId="5" fillId="0" borderId="1" xfId="1" applyFont="1" applyBorder="1">
      <alignment vertical="center"/>
    </xf>
    <xf numFmtId="179" fontId="14" fillId="0" borderId="0" xfId="1" applyNumberFormat="1" applyFont="1" applyFill="1">
      <alignment vertical="center"/>
    </xf>
    <xf numFmtId="0" fontId="14" fillId="0" borderId="0" xfId="0" applyFont="1">
      <alignment vertical="center"/>
    </xf>
    <xf numFmtId="179" fontId="21" fillId="0" borderId="2" xfId="1" applyNumberFormat="1" applyFont="1" applyFill="1" applyBorder="1" applyAlignment="1">
      <alignment horizontal="center" vertical="center"/>
    </xf>
    <xf numFmtId="0" fontId="14" fillId="0" borderId="0" xfId="1" applyNumberFormat="1" applyFont="1" applyFill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>
      <alignment vertical="center"/>
    </xf>
    <xf numFmtId="179" fontId="26" fillId="2" borderId="1" xfId="1" applyNumberFormat="1" applyFont="1" applyFill="1" applyBorder="1">
      <alignment vertical="center"/>
    </xf>
    <xf numFmtId="41" fontId="26" fillId="2" borderId="1" xfId="1" applyFont="1" applyFill="1" applyBorder="1">
      <alignment vertical="center"/>
    </xf>
    <xf numFmtId="0" fontId="32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79" fontId="32" fillId="0" borderId="0" xfId="1" applyNumberFormat="1" applyFont="1" applyAlignment="1">
      <alignment horizontal="left" vertical="center"/>
    </xf>
    <xf numFmtId="179" fontId="31" fillId="0" borderId="0" xfId="1" applyNumberFormat="1" applyFont="1" applyFill="1">
      <alignment vertical="center"/>
    </xf>
    <xf numFmtId="0" fontId="21" fillId="0" borderId="0" xfId="0" applyFont="1">
      <alignment vertical="center"/>
    </xf>
    <xf numFmtId="179" fontId="21" fillId="0" borderId="0" xfId="1" applyNumberFormat="1" applyFont="1" applyAlignment="1">
      <alignment horizontal="right" vertical="center"/>
    </xf>
    <xf numFmtId="43" fontId="9" fillId="0" borderId="0" xfId="0" applyNumberFormat="1" applyFont="1">
      <alignment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 vertical="center"/>
    </xf>
    <xf numFmtId="43" fontId="5" fillId="0" borderId="0" xfId="0" applyNumberFormat="1" applyFont="1" applyAlignment="1">
      <alignment horizontal="left" vertical="center"/>
    </xf>
    <xf numFmtId="41" fontId="5" fillId="0" borderId="0" xfId="1" applyFont="1" applyAlignment="1">
      <alignment horizontal="left" vertical="center"/>
    </xf>
    <xf numFmtId="179" fontId="5" fillId="0" borderId="0" xfId="1" applyNumberFormat="1" applyFont="1" applyAlignment="1">
      <alignment horizontal="right" vertical="center"/>
    </xf>
    <xf numFmtId="184" fontId="5" fillId="0" borderId="12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178" fontId="26" fillId="2" borderId="1" xfId="1" applyNumberFormat="1" applyFont="1" applyFill="1" applyBorder="1" applyAlignment="1">
      <alignment horizontal="center" vertical="center"/>
    </xf>
    <xf numFmtId="178" fontId="26" fillId="2" borderId="1" xfId="1" applyNumberFormat="1" applyFont="1" applyFill="1" applyBorder="1" applyAlignment="1">
      <alignment horizontal="center" vertical="center" wrapText="1"/>
    </xf>
    <xf numFmtId="177" fontId="26" fillId="2" borderId="9" xfId="0" applyNumberFormat="1" applyFont="1" applyFill="1" applyBorder="1" applyAlignment="1">
      <alignment horizontal="center" vertical="center"/>
    </xf>
    <xf numFmtId="178" fontId="26" fillId="2" borderId="5" xfId="0" applyNumberFormat="1" applyFont="1" applyFill="1" applyBorder="1" applyAlignment="1">
      <alignment horizontal="center" vertical="center"/>
    </xf>
    <xf numFmtId="179" fontId="26" fillId="2" borderId="9" xfId="1" applyNumberFormat="1" applyFont="1" applyFill="1" applyBorder="1" applyAlignment="1">
      <alignment horizontal="center" vertical="center"/>
    </xf>
    <xf numFmtId="178" fontId="26" fillId="2" borderId="7" xfId="0" applyNumberFormat="1" applyFont="1" applyFill="1" applyBorder="1" applyAlignment="1">
      <alignment horizontal="center" vertical="center"/>
    </xf>
    <xf numFmtId="178" fontId="26" fillId="2" borderId="9" xfId="0" applyNumberFormat="1" applyFont="1" applyFill="1" applyBorder="1" applyAlignment="1">
      <alignment horizontal="center" vertical="center"/>
    </xf>
    <xf numFmtId="179" fontId="0" fillId="0" borderId="0" xfId="1" applyNumberFormat="1" applyFont="1">
      <alignment vertical="center"/>
    </xf>
    <xf numFmtId="179" fontId="5" fillId="0" borderId="0" xfId="0" applyNumberFormat="1" applyFont="1">
      <alignment vertical="center"/>
    </xf>
    <xf numFmtId="184" fontId="5" fillId="10" borderId="12" xfId="0" applyNumberFormat="1" applyFont="1" applyFill="1" applyBorder="1" applyAlignment="1">
      <alignment horizontal="center" vertical="center"/>
    </xf>
    <xf numFmtId="0" fontId="21" fillId="10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0" borderId="12" xfId="0" applyFont="1" applyFill="1" applyBorder="1">
      <alignment vertical="center"/>
    </xf>
    <xf numFmtId="179" fontId="5" fillId="10" borderId="12" xfId="1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left" vertical="center"/>
    </xf>
    <xf numFmtId="0" fontId="5" fillId="8" borderId="14" xfId="0" applyFont="1" applyFill="1" applyBorder="1">
      <alignment vertical="center"/>
    </xf>
    <xf numFmtId="0" fontId="5" fillId="8" borderId="15" xfId="0" applyFont="1" applyFill="1" applyBorder="1">
      <alignment vertical="center"/>
    </xf>
    <xf numFmtId="0" fontId="5" fillId="10" borderId="14" xfId="0" applyFont="1" applyFill="1" applyBorder="1">
      <alignment vertical="center"/>
    </xf>
    <xf numFmtId="0" fontId="5" fillId="10" borderId="15" xfId="0" applyFont="1" applyFill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0" fontId="21" fillId="7" borderId="12" xfId="2" applyFont="1" applyFill="1" applyBorder="1" applyAlignment="1">
      <alignment horizontal="center" vertical="center"/>
    </xf>
    <xf numFmtId="43" fontId="21" fillId="7" borderId="12" xfId="4" applyNumberFormat="1" applyFont="1" applyFill="1" applyBorder="1" applyAlignment="1">
      <alignment vertical="center"/>
    </xf>
    <xf numFmtId="177" fontId="21" fillId="7" borderId="12" xfId="4" applyNumberFormat="1" applyFont="1" applyFill="1" applyBorder="1" applyAlignment="1">
      <alignment vertical="center"/>
    </xf>
    <xf numFmtId="179" fontId="33" fillId="7" borderId="12" xfId="4" applyNumberFormat="1" applyFont="1" applyFill="1" applyBorder="1" applyAlignment="1">
      <alignment vertical="center"/>
    </xf>
    <xf numFmtId="181" fontId="21" fillId="7" borderId="12" xfId="2" applyNumberFormat="1" applyFont="1" applyFill="1" applyBorder="1" applyAlignment="1">
      <alignment vertical="center"/>
    </xf>
    <xf numFmtId="179" fontId="5" fillId="10" borderId="14" xfId="1" applyNumberFormat="1" applyFont="1" applyFill="1" applyBorder="1" applyAlignment="1">
      <alignment horizontal="center" vertical="center"/>
    </xf>
    <xf numFmtId="179" fontId="21" fillId="10" borderId="15" xfId="1" applyNumberFormat="1" applyFont="1" applyFill="1" applyBorder="1" applyAlignment="1">
      <alignment horizontal="center" vertical="center"/>
    </xf>
    <xf numFmtId="179" fontId="21" fillId="10" borderId="16" xfId="1" applyNumberFormat="1" applyFont="1" applyFill="1" applyBorder="1" applyAlignment="1">
      <alignment horizontal="center" vertical="center"/>
    </xf>
    <xf numFmtId="179" fontId="21" fillId="0" borderId="16" xfId="1" applyNumberFormat="1" applyFont="1" applyFill="1" applyBorder="1" applyAlignment="1">
      <alignment horizontal="center" vertical="center"/>
    </xf>
    <xf numFmtId="179" fontId="5" fillId="9" borderId="17" xfId="1" applyNumberFormat="1" applyFont="1" applyFill="1" applyBorder="1">
      <alignment vertical="center"/>
    </xf>
    <xf numFmtId="179" fontId="5" fillId="9" borderId="19" xfId="1" applyNumberFormat="1" applyFont="1" applyFill="1" applyBorder="1">
      <alignment vertical="center"/>
    </xf>
    <xf numFmtId="179" fontId="9" fillId="0" borderId="0" xfId="1" applyNumberFormat="1" applyFont="1" applyFill="1">
      <alignment vertical="center"/>
    </xf>
    <xf numFmtId="0" fontId="5" fillId="5" borderId="14" xfId="0" applyFont="1" applyFill="1" applyBorder="1">
      <alignment vertical="center"/>
    </xf>
    <xf numFmtId="0" fontId="5" fillId="5" borderId="15" xfId="0" applyFont="1" applyFill="1" applyBorder="1">
      <alignment vertical="center"/>
    </xf>
    <xf numFmtId="179" fontId="5" fillId="5" borderId="12" xfId="1" applyNumberFormat="1" applyFont="1" applyFill="1" applyBorder="1">
      <alignment vertical="center"/>
    </xf>
    <xf numFmtId="179" fontId="21" fillId="5" borderId="16" xfId="1" applyNumberFormat="1" applyFont="1" applyFill="1" applyBorder="1" applyAlignment="1">
      <alignment horizontal="center" vertical="center"/>
    </xf>
    <xf numFmtId="184" fontId="5" fillId="11" borderId="12" xfId="0" applyNumberFormat="1" applyFont="1" applyFill="1" applyBorder="1" applyAlignment="1">
      <alignment horizontal="center" vertical="center"/>
    </xf>
    <xf numFmtId="0" fontId="5" fillId="11" borderId="14" xfId="0" applyFont="1" applyFill="1" applyBorder="1">
      <alignment vertical="center"/>
    </xf>
    <xf numFmtId="0" fontId="5" fillId="11" borderId="15" xfId="0" applyFont="1" applyFill="1" applyBorder="1">
      <alignment vertical="center"/>
    </xf>
    <xf numFmtId="0" fontId="21" fillId="11" borderId="12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2" xfId="0" applyFont="1" applyFill="1" applyBorder="1">
      <alignment vertical="center"/>
    </xf>
    <xf numFmtId="179" fontId="5" fillId="11" borderId="12" xfId="1" applyNumberFormat="1" applyFont="1" applyFill="1" applyBorder="1">
      <alignment vertical="center"/>
    </xf>
    <xf numFmtId="179" fontId="5" fillId="11" borderId="14" xfId="1" applyNumberFormat="1" applyFont="1" applyFill="1" applyBorder="1" applyAlignment="1">
      <alignment horizontal="center" vertical="center"/>
    </xf>
    <xf numFmtId="179" fontId="21" fillId="11" borderId="16" xfId="1" applyNumberFormat="1" applyFont="1" applyFill="1" applyBorder="1" applyAlignment="1">
      <alignment horizontal="center" vertical="center"/>
    </xf>
    <xf numFmtId="179" fontId="5" fillId="11" borderId="17" xfId="1" applyNumberFormat="1" applyFont="1" applyFill="1" applyBorder="1">
      <alignment vertical="center"/>
    </xf>
    <xf numFmtId="179" fontId="21" fillId="11" borderId="15" xfId="1" applyNumberFormat="1" applyFont="1" applyFill="1" applyBorder="1" applyAlignment="1">
      <alignment horizontal="center" vertical="center"/>
    </xf>
    <xf numFmtId="179" fontId="5" fillId="11" borderId="12" xfId="1" applyNumberFormat="1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left" vertical="center"/>
    </xf>
    <xf numFmtId="179" fontId="5" fillId="9" borderId="12" xfId="1" applyNumberFormat="1" applyFont="1" applyFill="1" applyBorder="1">
      <alignment vertical="center"/>
    </xf>
    <xf numFmtId="178" fontId="10" fillId="2" borderId="6" xfId="1" applyNumberFormat="1" applyFont="1" applyFill="1" applyBorder="1" applyAlignment="1">
      <alignment horizontal="center" vertical="center"/>
    </xf>
    <xf numFmtId="178" fontId="10" fillId="2" borderId="0" xfId="1" applyNumberFormat="1" applyFont="1" applyFill="1" applyBorder="1" applyAlignment="1">
      <alignment horizontal="center" vertical="center"/>
    </xf>
    <xf numFmtId="178" fontId="19" fillId="2" borderId="8" xfId="0" applyNumberFormat="1" applyFont="1" applyFill="1" applyBorder="1" applyAlignment="1">
      <alignment horizontal="center" vertical="center"/>
    </xf>
    <xf numFmtId="179" fontId="9" fillId="0" borderId="18" xfId="1" applyNumberFormat="1" applyFont="1" applyFill="1" applyBorder="1" applyAlignment="1">
      <alignment horizontal="center" vertical="center"/>
    </xf>
    <xf numFmtId="179" fontId="9" fillId="0" borderId="16" xfId="1" applyNumberFormat="1" applyFont="1" applyFill="1" applyBorder="1" applyAlignment="1">
      <alignment horizontal="center" vertical="center"/>
    </xf>
    <xf numFmtId="179" fontId="9" fillId="10" borderId="16" xfId="1" applyNumberFormat="1" applyFont="1" applyFill="1" applyBorder="1" applyAlignment="1">
      <alignment horizontal="center" vertical="center"/>
    </xf>
    <xf numFmtId="41" fontId="5" fillId="0" borderId="0" xfId="4" applyFont="1" applyAlignment="1">
      <alignment horizontal="left" vertical="center"/>
    </xf>
    <xf numFmtId="179" fontId="5" fillId="12" borderId="17" xfId="1" applyNumberFormat="1" applyFont="1" applyFill="1" applyBorder="1">
      <alignment vertical="center"/>
    </xf>
    <xf numFmtId="179" fontId="5" fillId="12" borderId="19" xfId="1" applyNumberFormat="1" applyFont="1" applyFill="1" applyBorder="1">
      <alignment vertical="center"/>
    </xf>
    <xf numFmtId="179" fontId="5" fillId="13" borderId="19" xfId="1" applyNumberFormat="1" applyFont="1" applyFill="1" applyBorder="1">
      <alignment vertical="center"/>
    </xf>
    <xf numFmtId="179" fontId="5" fillId="13" borderId="17" xfId="1" applyNumberFormat="1" applyFont="1" applyFill="1" applyBorder="1">
      <alignment vertical="center"/>
    </xf>
    <xf numFmtId="179" fontId="19" fillId="2" borderId="7" xfId="1" applyNumberFormat="1" applyFont="1" applyFill="1" applyBorder="1" applyAlignment="1">
      <alignment horizontal="center" vertical="center"/>
    </xf>
    <xf numFmtId="179" fontId="5" fillId="4" borderId="25" xfId="1" applyNumberFormat="1" applyFont="1" applyFill="1" applyBorder="1">
      <alignment vertical="center"/>
    </xf>
    <xf numFmtId="179" fontId="5" fillId="4" borderId="25" xfId="1" applyNumberFormat="1" applyFont="1" applyFill="1" applyBorder="1" applyAlignment="1">
      <alignment horizontal="center" vertical="center"/>
    </xf>
    <xf numFmtId="179" fontId="5" fillId="5" borderId="25" xfId="1" applyNumberFormat="1" applyFont="1" applyFill="1" applyBorder="1" applyAlignment="1">
      <alignment horizontal="center" vertical="center"/>
    </xf>
    <xf numFmtId="179" fontId="5" fillId="3" borderId="25" xfId="1" applyNumberFormat="1" applyFont="1" applyFill="1" applyBorder="1" applyAlignment="1">
      <alignment horizontal="center" vertical="center"/>
    </xf>
    <xf numFmtId="179" fontId="5" fillId="12" borderId="25" xfId="1" applyNumberFormat="1" applyFont="1" applyFill="1" applyBorder="1">
      <alignment vertical="center"/>
    </xf>
    <xf numFmtId="179" fontId="5" fillId="9" borderId="25" xfId="1" applyNumberFormat="1" applyFont="1" applyFill="1" applyBorder="1">
      <alignment vertical="center"/>
    </xf>
    <xf numFmtId="0" fontId="34" fillId="0" borderId="12" xfId="0" applyFont="1" applyBorder="1" applyAlignment="1">
      <alignment horizontal="left" vertical="center"/>
    </xf>
    <xf numFmtId="179" fontId="21" fillId="0" borderId="27" xfId="1" applyNumberFormat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179" fontId="5" fillId="8" borderId="17" xfId="1" applyNumberFormat="1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5" fillId="4" borderId="15" xfId="0" applyFont="1" applyFill="1" applyBorder="1">
      <alignment vertical="center"/>
    </xf>
    <xf numFmtId="183" fontId="5" fillId="14" borderId="12" xfId="0" applyNumberFormat="1" applyFont="1" applyFill="1" applyBorder="1" applyAlignment="1">
      <alignment horizontal="center" vertical="center"/>
    </xf>
    <xf numFmtId="0" fontId="5" fillId="14" borderId="14" xfId="0" applyFont="1" applyFill="1" applyBorder="1">
      <alignment vertical="center"/>
    </xf>
    <xf numFmtId="0" fontId="5" fillId="14" borderId="15" xfId="0" applyFont="1" applyFill="1" applyBorder="1">
      <alignment vertical="center"/>
    </xf>
    <xf numFmtId="0" fontId="21" fillId="14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4" borderId="12" xfId="0" applyFont="1" applyFill="1" applyBorder="1">
      <alignment vertical="center"/>
    </xf>
    <xf numFmtId="179" fontId="5" fillId="14" borderId="12" xfId="1" applyNumberFormat="1" applyFont="1" applyFill="1" applyBorder="1">
      <alignment vertical="center"/>
    </xf>
    <xf numFmtId="179" fontId="5" fillId="14" borderId="14" xfId="1" applyNumberFormat="1" applyFont="1" applyFill="1" applyBorder="1" applyAlignment="1">
      <alignment horizontal="center" vertical="center"/>
    </xf>
    <xf numFmtId="179" fontId="21" fillId="14" borderId="16" xfId="1" applyNumberFormat="1" applyFont="1" applyFill="1" applyBorder="1" applyAlignment="1">
      <alignment horizontal="center" vertical="center"/>
    </xf>
    <xf numFmtId="179" fontId="21" fillId="14" borderId="15" xfId="1" applyNumberFormat="1" applyFont="1" applyFill="1" applyBorder="1" applyAlignment="1">
      <alignment horizontal="center" vertical="center"/>
    </xf>
    <xf numFmtId="179" fontId="5" fillId="14" borderId="12" xfId="1" applyNumberFormat="1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left" vertical="center"/>
    </xf>
    <xf numFmtId="179" fontId="5" fillId="0" borderId="0" xfId="4" applyNumberFormat="1" applyFont="1">
      <alignment vertical="center"/>
    </xf>
    <xf numFmtId="179" fontId="26" fillId="2" borderId="1" xfId="4" applyNumberFormat="1" applyFont="1" applyFill="1" applyBorder="1" applyAlignment="1">
      <alignment horizontal="center" vertical="center" wrapText="1"/>
    </xf>
    <xf numFmtId="183" fontId="5" fillId="8" borderId="12" xfId="0" applyNumberFormat="1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2" xfId="0" applyFont="1" applyFill="1" applyBorder="1">
      <alignment vertical="center"/>
    </xf>
    <xf numFmtId="179" fontId="5" fillId="8" borderId="12" xfId="1" applyNumberFormat="1" applyFont="1" applyFill="1" applyBorder="1">
      <alignment vertical="center"/>
    </xf>
    <xf numFmtId="179" fontId="5" fillId="8" borderId="14" xfId="1" applyNumberFormat="1" applyFont="1" applyFill="1" applyBorder="1" applyAlignment="1">
      <alignment horizontal="center" vertical="center"/>
    </xf>
    <xf numFmtId="179" fontId="21" fillId="8" borderId="16" xfId="1" applyNumberFormat="1" applyFont="1" applyFill="1" applyBorder="1" applyAlignment="1">
      <alignment horizontal="center" vertical="center"/>
    </xf>
    <xf numFmtId="179" fontId="21" fillId="8" borderId="15" xfId="1" applyNumberFormat="1" applyFont="1" applyFill="1" applyBorder="1" applyAlignment="1">
      <alignment horizontal="center" vertical="center"/>
    </xf>
    <xf numFmtId="179" fontId="5" fillId="8" borderId="12" xfId="1" applyNumberFormat="1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left" vertical="center"/>
    </xf>
    <xf numFmtId="0" fontId="21" fillId="0" borderId="14" xfId="0" applyFont="1" applyBorder="1">
      <alignment vertical="center"/>
    </xf>
    <xf numFmtId="41" fontId="14" fillId="0" borderId="0" xfId="0" applyNumberFormat="1" applyFont="1">
      <alignment vertical="center"/>
    </xf>
    <xf numFmtId="0" fontId="5" fillId="0" borderId="12" xfId="0" applyFont="1" applyBorder="1" applyAlignment="1">
      <alignment horizontal="left" vertical="center" wrapText="1"/>
    </xf>
    <xf numFmtId="41" fontId="32" fillId="0" borderId="0" xfId="1" applyFont="1" applyAlignment="1">
      <alignment horizontal="left" vertical="center"/>
    </xf>
    <xf numFmtId="179" fontId="21" fillId="15" borderId="16" xfId="1" applyNumberFormat="1" applyFont="1" applyFill="1" applyBorder="1" applyAlignment="1">
      <alignment horizontal="center" vertical="center"/>
    </xf>
    <xf numFmtId="0" fontId="21" fillId="8" borderId="14" xfId="0" applyFont="1" applyFill="1" applyBorder="1">
      <alignment vertical="center"/>
    </xf>
    <xf numFmtId="43" fontId="14" fillId="0" borderId="0" xfId="0" applyNumberFormat="1" applyFont="1">
      <alignment vertical="center"/>
    </xf>
    <xf numFmtId="183" fontId="5" fillId="11" borderId="12" xfId="0" applyNumberFormat="1" applyFont="1" applyFill="1" applyBorder="1" applyAlignment="1">
      <alignment horizontal="center" vertical="center"/>
    </xf>
    <xf numFmtId="0" fontId="21" fillId="11" borderId="14" xfId="0" applyFont="1" applyFill="1" applyBorder="1">
      <alignment vertical="center"/>
    </xf>
    <xf numFmtId="0" fontId="21" fillId="3" borderId="14" xfId="0" applyFont="1" applyFill="1" applyBorder="1">
      <alignment vertical="center"/>
    </xf>
    <xf numFmtId="0" fontId="5" fillId="3" borderId="15" xfId="0" applyFont="1" applyFill="1" applyBorder="1">
      <alignment vertical="center"/>
    </xf>
    <xf numFmtId="179" fontId="5" fillId="3" borderId="17" xfId="1" applyNumberFormat="1" applyFont="1" applyFill="1" applyBorder="1">
      <alignment vertical="center"/>
    </xf>
    <xf numFmtId="179" fontId="21" fillId="0" borderId="0" xfId="1" applyNumberFormat="1" applyFont="1" applyFill="1" applyBorder="1" applyAlignment="1">
      <alignment horizontal="center" vertical="center"/>
    </xf>
    <xf numFmtId="0" fontId="5" fillId="5" borderId="25" xfId="0" applyFont="1" applyFill="1" applyBorder="1">
      <alignment vertical="center"/>
    </xf>
    <xf numFmtId="0" fontId="21" fillId="0" borderId="25" xfId="0" applyFont="1" applyBorder="1">
      <alignment vertical="center"/>
    </xf>
    <xf numFmtId="0" fontId="21" fillId="4" borderId="25" xfId="0" applyFont="1" applyFill="1" applyBorder="1">
      <alignment vertical="center"/>
    </xf>
    <xf numFmtId="183" fontId="13" fillId="0" borderId="12" xfId="0" applyNumberFormat="1" applyFont="1" applyBorder="1" applyAlignment="1">
      <alignment horizontal="center" vertical="center"/>
    </xf>
    <xf numFmtId="183" fontId="13" fillId="4" borderId="12" xfId="0" applyNumberFormat="1" applyFont="1" applyFill="1" applyBorder="1" applyAlignment="1">
      <alignment horizontal="center" vertical="center"/>
    </xf>
    <xf numFmtId="0" fontId="9" fillId="15" borderId="0" xfId="0" applyFont="1" applyFill="1">
      <alignment vertical="center"/>
    </xf>
    <xf numFmtId="179" fontId="9" fillId="15" borderId="0" xfId="1" applyNumberFormat="1" applyFont="1" applyFill="1">
      <alignment vertical="center"/>
    </xf>
    <xf numFmtId="0" fontId="9" fillId="15" borderId="0" xfId="1" applyNumberFormat="1" applyFont="1" applyFill="1">
      <alignment vertical="center"/>
    </xf>
    <xf numFmtId="177" fontId="26" fillId="2" borderId="12" xfId="0" applyNumberFormat="1" applyFont="1" applyFill="1" applyBorder="1" applyAlignment="1">
      <alignment horizontal="center" vertical="center"/>
    </xf>
    <xf numFmtId="178" fontId="26" fillId="2" borderId="12" xfId="0" applyNumberFormat="1" applyFont="1" applyFill="1" applyBorder="1" applyAlignment="1">
      <alignment horizontal="center" vertical="center"/>
    </xf>
    <xf numFmtId="179" fontId="21" fillId="5" borderId="12" xfId="1" applyNumberFormat="1" applyFont="1" applyFill="1" applyBorder="1" applyAlignment="1">
      <alignment horizontal="center" vertical="center"/>
    </xf>
    <xf numFmtId="179" fontId="21" fillId="0" borderId="12" xfId="1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9" fontId="16" fillId="0" borderId="12" xfId="1" applyNumberFormat="1" applyFont="1" applyFill="1" applyBorder="1" applyAlignment="1">
      <alignment horizontal="center" vertical="center"/>
    </xf>
    <xf numFmtId="179" fontId="13" fillId="0" borderId="12" xfId="1" applyNumberFormat="1" applyFont="1" applyFill="1" applyBorder="1" applyAlignment="1">
      <alignment horizontal="center" vertical="center"/>
    </xf>
    <xf numFmtId="179" fontId="13" fillId="0" borderId="12" xfId="1" applyNumberFormat="1" applyFont="1" applyBorder="1" applyAlignment="1">
      <alignment horizontal="center" vertical="center"/>
    </xf>
    <xf numFmtId="179" fontId="5" fillId="0" borderId="12" xfId="1" applyNumberFormat="1" applyFont="1" applyBorder="1" applyAlignment="1">
      <alignment horizontal="center" vertical="center"/>
    </xf>
    <xf numFmtId="183" fontId="13" fillId="10" borderId="12" xfId="0" applyNumberFormat="1" applyFont="1" applyFill="1" applyBorder="1" applyAlignment="1">
      <alignment horizontal="center" vertical="center"/>
    </xf>
    <xf numFmtId="0" fontId="21" fillId="10" borderId="14" xfId="0" applyFont="1" applyFill="1" applyBorder="1">
      <alignment vertical="center"/>
    </xf>
    <xf numFmtId="179" fontId="5" fillId="10" borderId="12" xfId="1" applyNumberFormat="1" applyFont="1" applyFill="1" applyBorder="1">
      <alignment vertical="center"/>
    </xf>
    <xf numFmtId="179" fontId="16" fillId="10" borderId="12" xfId="1" applyNumberFormat="1" applyFont="1" applyFill="1" applyBorder="1" applyAlignment="1">
      <alignment horizontal="center" vertical="center"/>
    </xf>
    <xf numFmtId="179" fontId="21" fillId="10" borderId="12" xfId="1" applyNumberFormat="1" applyFont="1" applyFill="1" applyBorder="1" applyAlignment="1">
      <alignment horizontal="center" vertical="center"/>
    </xf>
    <xf numFmtId="6" fontId="14" fillId="0" borderId="12" xfId="0" applyNumberFormat="1" applyFont="1" applyBorder="1" applyAlignment="1">
      <alignment horizontal="left" vertical="center"/>
    </xf>
    <xf numFmtId="179" fontId="5" fillId="16" borderId="12" xfId="1" applyNumberFormat="1" applyFont="1" applyFill="1" applyBorder="1">
      <alignment vertical="center"/>
    </xf>
    <xf numFmtId="0" fontId="21" fillId="5" borderId="14" xfId="0" applyFont="1" applyFill="1" applyBorder="1">
      <alignment vertical="center"/>
    </xf>
    <xf numFmtId="179" fontId="16" fillId="5" borderId="12" xfId="1" applyNumberFormat="1" applyFont="1" applyFill="1" applyBorder="1" applyAlignment="1">
      <alignment horizontal="center" vertical="center"/>
    </xf>
    <xf numFmtId="4" fontId="9" fillId="0" borderId="0" xfId="0" applyNumberFormat="1" applyFont="1">
      <alignment vertical="center"/>
    </xf>
    <xf numFmtId="0" fontId="21" fillId="0" borderId="12" xfId="0" applyFont="1" applyBorder="1">
      <alignment vertical="center"/>
    </xf>
    <xf numFmtId="0" fontId="16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83" fontId="5" fillId="9" borderId="12" xfId="0" applyNumberFormat="1" applyFont="1" applyFill="1" applyBorder="1" applyAlignment="1">
      <alignment horizontal="center" vertical="center"/>
    </xf>
    <xf numFmtId="0" fontId="21" fillId="9" borderId="12" xfId="0" applyFont="1" applyFill="1" applyBorder="1">
      <alignment vertical="center"/>
    </xf>
    <xf numFmtId="0" fontId="5" fillId="9" borderId="12" xfId="0" applyFont="1" applyFill="1" applyBorder="1">
      <alignment vertical="center"/>
    </xf>
    <xf numFmtId="0" fontId="21" fillId="9" borderId="12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179" fontId="5" fillId="9" borderId="12" xfId="1" applyNumberFormat="1" applyFont="1" applyFill="1" applyBorder="1" applyAlignment="1">
      <alignment horizontal="center" vertical="center"/>
    </xf>
    <xf numFmtId="179" fontId="16" fillId="9" borderId="12" xfId="1" applyNumberFormat="1" applyFont="1" applyFill="1" applyBorder="1" applyAlignment="1">
      <alignment horizontal="center" vertical="center"/>
    </xf>
    <xf numFmtId="179" fontId="21" fillId="9" borderId="12" xfId="1" applyNumberFormat="1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left" vertical="center"/>
    </xf>
    <xf numFmtId="0" fontId="21" fillId="3" borderId="12" xfId="0" applyFont="1" applyFill="1" applyBorder="1">
      <alignment vertical="center"/>
    </xf>
    <xf numFmtId="179" fontId="16" fillId="3" borderId="12" xfId="1" applyNumberFormat="1" applyFont="1" applyFill="1" applyBorder="1" applyAlignment="1">
      <alignment horizontal="center" vertical="center"/>
    </xf>
    <xf numFmtId="179" fontId="21" fillId="3" borderId="12" xfId="1" applyNumberFormat="1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9" fillId="0" borderId="0" xfId="0" applyFont="1">
      <alignment vertical="center"/>
    </xf>
    <xf numFmtId="177" fontId="21" fillId="0" borderId="0" xfId="0" applyNumberFormat="1" applyFont="1">
      <alignment vertical="center"/>
    </xf>
    <xf numFmtId="0" fontId="40" fillId="0" borderId="0" xfId="0" applyFont="1">
      <alignment vertical="center"/>
    </xf>
    <xf numFmtId="183" fontId="5" fillId="0" borderId="12" xfId="0" applyNumberFormat="1" applyFont="1" applyBorder="1" applyAlignment="1">
      <alignment horizontal="left" vertical="center"/>
    </xf>
    <xf numFmtId="181" fontId="21" fillId="3" borderId="12" xfId="0" applyNumberFormat="1" applyFont="1" applyFill="1" applyBorder="1" applyAlignment="1">
      <alignment horizontal="center" vertical="center"/>
    </xf>
    <xf numFmtId="181" fontId="5" fillId="0" borderId="12" xfId="0" applyNumberFormat="1" applyFont="1" applyBorder="1" applyAlignment="1">
      <alignment horizontal="center" vertical="center"/>
    </xf>
    <xf numFmtId="0" fontId="5" fillId="3" borderId="14" xfId="0" applyFont="1" applyFill="1" applyBorder="1">
      <alignment vertical="center"/>
    </xf>
    <xf numFmtId="183" fontId="5" fillId="0" borderId="15" xfId="0" applyNumberFormat="1" applyFont="1" applyBorder="1" applyAlignment="1">
      <alignment horizontal="center" vertical="center"/>
    </xf>
    <xf numFmtId="183" fontId="5" fillId="0" borderId="14" xfId="0" applyNumberFormat="1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179" fontId="32" fillId="0" borderId="0" xfId="1" applyNumberFormat="1" applyFont="1" applyAlignment="1">
      <alignment horizontal="center" vertical="center"/>
    </xf>
    <xf numFmtId="41" fontId="32" fillId="0" borderId="0" xfId="1" applyFont="1" applyAlignment="1">
      <alignment horizontal="center" vertical="center"/>
    </xf>
    <xf numFmtId="0" fontId="32" fillId="0" borderId="0" xfId="1" applyNumberFormat="1" applyFont="1" applyAlignment="1">
      <alignment horizontal="center" vertical="center"/>
    </xf>
    <xf numFmtId="0" fontId="41" fillId="0" borderId="0" xfId="0" applyFont="1">
      <alignment vertical="center"/>
    </xf>
    <xf numFmtId="179" fontId="42" fillId="4" borderId="12" xfId="1" applyNumberFormat="1" applyFont="1" applyFill="1" applyBorder="1">
      <alignment vertical="center"/>
    </xf>
    <xf numFmtId="183" fontId="21" fillId="0" borderId="14" xfId="0" applyNumberFormat="1" applyFont="1" applyBorder="1" applyAlignment="1">
      <alignment horizontal="left" vertical="center"/>
    </xf>
    <xf numFmtId="0" fontId="43" fillId="0" borderId="0" xfId="0" applyFont="1">
      <alignment vertical="center"/>
    </xf>
    <xf numFmtId="179" fontId="21" fillId="0" borderId="0" xfId="1" applyNumberFormat="1" applyFont="1" applyFill="1">
      <alignment vertical="center"/>
    </xf>
    <xf numFmtId="0" fontId="23" fillId="0" borderId="0" xfId="3">
      <alignment vertical="center"/>
    </xf>
    <xf numFmtId="0" fontId="37" fillId="0" borderId="0" xfId="3" applyFont="1" applyAlignment="1">
      <alignment horizontal="left" vertical="center"/>
    </xf>
    <xf numFmtId="0" fontId="5" fillId="0" borderId="0" xfId="3" applyFont="1">
      <alignment vertical="center"/>
    </xf>
    <xf numFmtId="0" fontId="21" fillId="0" borderId="13" xfId="3" applyFont="1" applyBorder="1" applyAlignment="1">
      <alignment horizontal="center" vertical="center"/>
    </xf>
    <xf numFmtId="184" fontId="5" fillId="0" borderId="29" xfId="3" applyNumberFormat="1" applyFont="1" applyBorder="1">
      <alignment vertical="center"/>
    </xf>
    <xf numFmtId="0" fontId="5" fillId="0" borderId="2" xfId="3" applyFont="1" applyBorder="1" applyAlignment="1">
      <alignment horizontal="center" vertical="center"/>
    </xf>
    <xf numFmtId="0" fontId="5" fillId="0" borderId="29" xfId="3" applyFont="1" applyBorder="1" applyAlignment="1">
      <alignment horizontal="center" vertical="center"/>
    </xf>
    <xf numFmtId="0" fontId="5" fillId="0" borderId="29" xfId="3" applyFont="1" applyBorder="1">
      <alignment vertical="center"/>
    </xf>
    <xf numFmtId="184" fontId="5" fillId="0" borderId="13" xfId="3" applyNumberFormat="1" applyFont="1" applyBorder="1">
      <alignment vertical="center"/>
    </xf>
    <xf numFmtId="184" fontId="5" fillId="0" borderId="32" xfId="3" applyNumberFormat="1" applyFont="1" applyBorder="1">
      <alignment vertical="center"/>
    </xf>
    <xf numFmtId="0" fontId="5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84" fontId="5" fillId="0" borderId="1" xfId="3" applyNumberFormat="1" applyFont="1" applyBorder="1" applyAlignment="1">
      <alignment horizontal="center" vertical="center"/>
    </xf>
    <xf numFmtId="0" fontId="23" fillId="0" borderId="1" xfId="3" applyBorder="1">
      <alignment vertical="center"/>
    </xf>
    <xf numFmtId="0" fontId="5" fillId="8" borderId="21" xfId="0" applyFont="1" applyFill="1" applyBorder="1">
      <alignment vertical="center"/>
    </xf>
    <xf numFmtId="0" fontId="5" fillId="8" borderId="24" xfId="0" applyFont="1" applyFill="1" applyBorder="1">
      <alignment vertical="center"/>
    </xf>
    <xf numFmtId="184" fontId="13" fillId="0" borderId="12" xfId="0" applyNumberFormat="1" applyFont="1" applyBorder="1" applyAlignment="1">
      <alignment horizontal="center" vertical="center"/>
    </xf>
    <xf numFmtId="179" fontId="16" fillId="0" borderId="12" xfId="1" applyNumberFormat="1" applyFont="1" applyBorder="1" applyAlignment="1">
      <alignment horizontal="center" vertical="center"/>
    </xf>
    <xf numFmtId="179" fontId="0" fillId="0" borderId="12" xfId="1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177" fontId="14" fillId="0" borderId="0" xfId="0" applyNumberFormat="1" applyFont="1">
      <alignment vertical="center"/>
    </xf>
    <xf numFmtId="0" fontId="44" fillId="0" borderId="0" xfId="0" applyFont="1">
      <alignment vertical="center"/>
    </xf>
    <xf numFmtId="0" fontId="26" fillId="2" borderId="1" xfId="3" applyFont="1" applyFill="1" applyBorder="1" applyAlignment="1">
      <alignment horizontal="center" vertical="center"/>
    </xf>
    <xf numFmtId="41" fontId="9" fillId="0" borderId="0" xfId="0" applyNumberFormat="1" applyFont="1">
      <alignment vertical="center"/>
    </xf>
    <xf numFmtId="185" fontId="5" fillId="0" borderId="30" xfId="3" applyNumberFormat="1" applyFont="1" applyBorder="1">
      <alignment vertical="center"/>
    </xf>
    <xf numFmtId="41" fontId="5" fillId="0" borderId="29" xfId="4" applyFont="1" applyFill="1" applyBorder="1">
      <alignment vertical="center"/>
    </xf>
    <xf numFmtId="185" fontId="5" fillId="0" borderId="31" xfId="3" applyNumberFormat="1" applyFont="1" applyBorder="1">
      <alignment vertical="center"/>
    </xf>
    <xf numFmtId="184" fontId="16" fillId="0" borderId="12" xfId="0" applyNumberFormat="1" applyFont="1" applyBorder="1" applyAlignment="1">
      <alignment horizontal="center" vertical="center"/>
    </xf>
    <xf numFmtId="0" fontId="21" fillId="3" borderId="15" xfId="0" applyFont="1" applyFill="1" applyBorder="1">
      <alignment vertical="center"/>
    </xf>
    <xf numFmtId="179" fontId="21" fillId="4" borderId="12" xfId="1" applyNumberFormat="1" applyFont="1" applyFill="1" applyBorder="1">
      <alignment vertical="center"/>
    </xf>
    <xf numFmtId="183" fontId="21" fillId="0" borderId="12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/>
    </xf>
    <xf numFmtId="183" fontId="21" fillId="0" borderId="15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/>
    </xf>
    <xf numFmtId="179" fontId="21" fillId="9" borderId="12" xfId="1" applyNumberFormat="1" applyFont="1" applyFill="1" applyBorder="1">
      <alignment vertical="center"/>
    </xf>
    <xf numFmtId="184" fontId="16" fillId="3" borderId="12" xfId="0" applyNumberFormat="1" applyFont="1" applyFill="1" applyBorder="1" applyAlignment="1">
      <alignment horizontal="center" vertical="center"/>
    </xf>
    <xf numFmtId="179" fontId="21" fillId="3" borderId="12" xfId="1" applyNumberFormat="1" applyFont="1" applyFill="1" applyBorder="1">
      <alignment vertical="center"/>
    </xf>
    <xf numFmtId="183" fontId="21" fillId="3" borderId="12" xfId="0" applyNumberFormat="1" applyFont="1" applyFill="1" applyBorder="1" applyAlignment="1">
      <alignment horizontal="center" vertical="center"/>
    </xf>
    <xf numFmtId="41" fontId="0" fillId="0" borderId="0" xfId="1" applyFont="1" applyFill="1">
      <alignment vertical="center"/>
    </xf>
    <xf numFmtId="4" fontId="13" fillId="0" borderId="0" xfId="0" applyNumberFormat="1" applyFont="1">
      <alignment vertical="center"/>
    </xf>
    <xf numFmtId="179" fontId="0" fillId="0" borderId="0" xfId="1" applyNumberFormat="1" applyFont="1" applyFill="1">
      <alignment vertical="center"/>
    </xf>
    <xf numFmtId="41" fontId="14" fillId="6" borderId="0" xfId="1" applyFont="1" applyFill="1" applyAlignment="1">
      <alignment horizontal="center" vertical="center"/>
    </xf>
    <xf numFmtId="41" fontId="14" fillId="0" borderId="0" xfId="1" applyFont="1" applyAlignment="1">
      <alignment vertical="center"/>
    </xf>
    <xf numFmtId="179" fontId="9" fillId="9" borderId="12" xfId="1" applyNumberFormat="1" applyFont="1" applyFill="1" applyBorder="1">
      <alignment vertical="center"/>
    </xf>
    <xf numFmtId="183" fontId="9" fillId="0" borderId="12" xfId="0" applyNumberFormat="1" applyFont="1" applyBorder="1" applyAlignment="1">
      <alignment horizontal="center" vertical="center"/>
    </xf>
    <xf numFmtId="179" fontId="9" fillId="0" borderId="12" xfId="1" applyNumberFormat="1" applyFont="1" applyFill="1" applyBorder="1" applyAlignment="1">
      <alignment horizontal="center" vertical="center"/>
    </xf>
    <xf numFmtId="179" fontId="12" fillId="0" borderId="12" xfId="1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183" fontId="21" fillId="0" borderId="12" xfId="0" applyNumberFormat="1" applyFont="1" applyBorder="1" applyAlignment="1">
      <alignment horizontal="left" vertical="center"/>
    </xf>
    <xf numFmtId="177" fontId="13" fillId="0" borderId="12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83" fontId="16" fillId="11" borderId="12" xfId="0" applyNumberFormat="1" applyFont="1" applyFill="1" applyBorder="1" applyAlignment="1">
      <alignment horizontal="center" vertical="center"/>
    </xf>
    <xf numFmtId="0" fontId="21" fillId="11" borderId="12" xfId="0" applyFont="1" applyFill="1" applyBorder="1">
      <alignment vertical="center"/>
    </xf>
    <xf numFmtId="181" fontId="21" fillId="11" borderId="12" xfId="0" applyNumberFormat="1" applyFont="1" applyFill="1" applyBorder="1" applyAlignment="1">
      <alignment horizontal="center" vertical="center"/>
    </xf>
    <xf numFmtId="177" fontId="13" fillId="11" borderId="12" xfId="0" applyNumberFormat="1" applyFont="1" applyFill="1" applyBorder="1" applyAlignment="1">
      <alignment horizontal="center" vertical="center"/>
    </xf>
    <xf numFmtId="179" fontId="21" fillId="11" borderId="12" xfId="1" applyNumberFormat="1" applyFont="1" applyFill="1" applyBorder="1" applyAlignment="1">
      <alignment horizontal="center" vertical="center"/>
    </xf>
    <xf numFmtId="179" fontId="16" fillId="11" borderId="12" xfId="1" applyNumberFormat="1" applyFont="1" applyFill="1" applyBorder="1" applyAlignment="1">
      <alignment horizontal="center" vertical="center"/>
    </xf>
    <xf numFmtId="179" fontId="21" fillId="11" borderId="12" xfId="1" applyNumberFormat="1" applyFont="1" applyFill="1" applyBorder="1">
      <alignment vertical="center"/>
    </xf>
    <xf numFmtId="183" fontId="21" fillId="11" borderId="12" xfId="0" applyNumberFormat="1" applyFont="1" applyFill="1" applyBorder="1" applyAlignment="1">
      <alignment horizontal="center" vertical="center"/>
    </xf>
    <xf numFmtId="43" fontId="5" fillId="0" borderId="12" xfId="0" applyNumberFormat="1" applyFont="1" applyBorder="1" applyAlignment="1">
      <alignment horizontal="center" vertical="center"/>
    </xf>
    <xf numFmtId="0" fontId="9" fillId="0" borderId="0" xfId="1" applyNumberFormat="1" applyFont="1" applyFill="1">
      <alignment vertical="center"/>
    </xf>
    <xf numFmtId="0" fontId="21" fillId="0" borderId="0" xfId="1" applyNumberFormat="1" applyFont="1" applyFill="1">
      <alignment vertical="center"/>
    </xf>
    <xf numFmtId="43" fontId="5" fillId="15" borderId="0" xfId="0" applyNumberFormat="1" applyFont="1" applyFill="1">
      <alignment vertical="center"/>
    </xf>
    <xf numFmtId="0" fontId="14" fillId="2" borderId="41" xfId="2" applyFont="1" applyFill="1" applyBorder="1" applyAlignment="1">
      <alignment horizontal="center" vertical="center"/>
    </xf>
    <xf numFmtId="183" fontId="5" fillId="0" borderId="40" xfId="0" applyNumberFormat="1" applyFont="1" applyBorder="1" applyAlignment="1">
      <alignment horizontal="center" vertical="center"/>
    </xf>
    <xf numFmtId="179" fontId="5" fillId="0" borderId="41" xfId="1" applyNumberFormat="1" applyFont="1" applyBorder="1">
      <alignment vertical="center"/>
    </xf>
    <xf numFmtId="14" fontId="21" fillId="7" borderId="40" xfId="2" applyNumberFormat="1" applyFont="1" applyFill="1" applyBorder="1" applyAlignment="1">
      <alignment horizontal="center" vertical="center"/>
    </xf>
    <xf numFmtId="179" fontId="33" fillId="7" borderId="41" xfId="2" applyNumberFormat="1" applyFont="1" applyFill="1" applyBorder="1" applyAlignment="1">
      <alignment vertical="center"/>
    </xf>
    <xf numFmtId="179" fontId="5" fillId="0" borderId="0" xfId="1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84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3" fontId="13" fillId="17" borderId="12" xfId="0" applyNumberFormat="1" applyFont="1" applyFill="1" applyBorder="1" applyAlignment="1">
      <alignment horizontal="center" vertical="center"/>
    </xf>
    <xf numFmtId="183" fontId="21" fillId="17" borderId="12" xfId="0" applyNumberFormat="1" applyFont="1" applyFill="1" applyBorder="1" applyAlignment="1">
      <alignment horizontal="left" vertical="center"/>
    </xf>
    <xf numFmtId="183" fontId="21" fillId="17" borderId="12" xfId="0" applyNumberFormat="1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179" fontId="21" fillId="17" borderId="12" xfId="1" applyNumberFormat="1" applyFont="1" applyFill="1" applyBorder="1" applyAlignment="1">
      <alignment horizontal="center" vertical="center"/>
    </xf>
    <xf numFmtId="179" fontId="16" fillId="17" borderId="12" xfId="1" applyNumberFormat="1" applyFont="1" applyFill="1" applyBorder="1" applyAlignment="1">
      <alignment horizontal="center" vertical="center"/>
    </xf>
    <xf numFmtId="179" fontId="21" fillId="17" borderId="12" xfId="1" applyNumberFormat="1" applyFont="1" applyFill="1" applyBorder="1">
      <alignment vertical="center"/>
    </xf>
    <xf numFmtId="179" fontId="21" fillId="18" borderId="12" xfId="1" applyNumberFormat="1" applyFont="1" applyFill="1" applyBorder="1">
      <alignment vertical="center"/>
    </xf>
    <xf numFmtId="183" fontId="49" fillId="0" borderId="12" xfId="0" applyNumberFormat="1" applyFont="1" applyBorder="1" applyAlignment="1">
      <alignment horizontal="center" vertical="center"/>
    </xf>
    <xf numFmtId="0" fontId="16" fillId="0" borderId="12" xfId="0" applyFont="1" applyBorder="1" applyAlignment="1">
      <alignment horizontal="left" vertical="center"/>
    </xf>
    <xf numFmtId="41" fontId="5" fillId="0" borderId="0" xfId="0" applyNumberFormat="1" applyFont="1">
      <alignment vertical="center"/>
    </xf>
    <xf numFmtId="0" fontId="26" fillId="2" borderId="1" xfId="0" applyFont="1" applyFill="1" applyBorder="1" applyAlignment="1">
      <alignment horizontal="center" vertical="center"/>
    </xf>
    <xf numFmtId="0" fontId="50" fillId="0" borderId="12" xfId="0" applyFont="1" applyBorder="1" applyAlignment="1">
      <alignment horizontal="left" vertical="center"/>
    </xf>
    <xf numFmtId="183" fontId="51" fillId="0" borderId="12" xfId="0" applyNumberFormat="1" applyFont="1" applyBorder="1" applyAlignment="1">
      <alignment horizontal="center" vertical="center"/>
    </xf>
    <xf numFmtId="179" fontId="21" fillId="5" borderId="12" xfId="1" applyNumberFormat="1" applyFont="1" applyFill="1" applyBorder="1">
      <alignment vertical="center"/>
    </xf>
    <xf numFmtId="0" fontId="50" fillId="0" borderId="12" xfId="0" applyFont="1" applyBorder="1">
      <alignment vertical="center"/>
    </xf>
    <xf numFmtId="183" fontId="21" fillId="0" borderId="14" xfId="0" applyNumberFormat="1" applyFont="1" applyBorder="1">
      <alignment vertical="center"/>
    </xf>
    <xf numFmtId="183" fontId="21" fillId="0" borderId="14" xfId="0" applyNumberFormat="1" applyFont="1" applyBorder="1" applyAlignment="1">
      <alignment vertical="center" wrapText="1"/>
    </xf>
    <xf numFmtId="183" fontId="13" fillId="14" borderId="12" xfId="0" applyNumberFormat="1" applyFont="1" applyFill="1" applyBorder="1" applyAlignment="1">
      <alignment horizontal="center" vertical="center"/>
    </xf>
    <xf numFmtId="183" fontId="21" fillId="14" borderId="12" xfId="0" applyNumberFormat="1" applyFont="1" applyFill="1" applyBorder="1" applyAlignment="1">
      <alignment horizontal="left" vertical="center"/>
    </xf>
    <xf numFmtId="183" fontId="21" fillId="14" borderId="12" xfId="0" applyNumberFormat="1" applyFont="1" applyFill="1" applyBorder="1" applyAlignment="1">
      <alignment horizontal="center" vertical="center"/>
    </xf>
    <xf numFmtId="177" fontId="5" fillId="14" borderId="12" xfId="0" applyNumberFormat="1" applyFont="1" applyFill="1" applyBorder="1" applyAlignment="1">
      <alignment horizontal="center" vertical="center"/>
    </xf>
    <xf numFmtId="179" fontId="21" fillId="14" borderId="12" xfId="1" applyNumberFormat="1" applyFont="1" applyFill="1" applyBorder="1" applyAlignment="1">
      <alignment horizontal="center" vertical="center"/>
    </xf>
    <xf numFmtId="0" fontId="13" fillId="14" borderId="1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84" fontId="5" fillId="0" borderId="1" xfId="0" applyNumberFormat="1" applyFont="1" applyBorder="1">
      <alignment vertical="center"/>
    </xf>
    <xf numFmtId="185" fontId="5" fillId="0" borderId="1" xfId="0" applyNumberFormat="1" applyFont="1" applyBorder="1">
      <alignment vertical="center"/>
    </xf>
    <xf numFmtId="41" fontId="5" fillId="0" borderId="1" xfId="4" applyFont="1" applyFill="1" applyBorder="1">
      <alignment vertical="center"/>
    </xf>
    <xf numFmtId="41" fontId="5" fillId="0" borderId="0" xfId="1" applyFont="1">
      <alignment vertical="center"/>
    </xf>
    <xf numFmtId="0" fontId="9" fillId="0" borderId="12" xfId="0" applyFont="1" applyBorder="1" applyAlignment="1">
      <alignment horizontal="center" vertical="center"/>
    </xf>
    <xf numFmtId="179" fontId="26" fillId="2" borderId="9" xfId="1" applyNumberFormat="1" applyFont="1" applyFill="1" applyBorder="1">
      <alignment vertical="center"/>
    </xf>
    <xf numFmtId="41" fontId="26" fillId="2" borderId="9" xfId="1" applyFont="1" applyFill="1" applyBorder="1">
      <alignment vertical="center"/>
    </xf>
    <xf numFmtId="179" fontId="32" fillId="0" borderId="0" xfId="1" applyNumberFormat="1" applyFont="1" applyBorder="1" applyAlignment="1">
      <alignment horizontal="center" vertical="center"/>
    </xf>
    <xf numFmtId="41" fontId="32" fillId="0" borderId="0" xfId="1" applyFont="1" applyBorder="1" applyAlignment="1">
      <alignment horizontal="center" vertical="center"/>
    </xf>
    <xf numFmtId="41" fontId="5" fillId="0" borderId="0" xfId="1" applyFont="1" applyBorder="1">
      <alignment vertical="center"/>
    </xf>
    <xf numFmtId="179" fontId="5" fillId="0" borderId="30" xfId="3" applyNumberFormat="1" applyFont="1" applyBorder="1">
      <alignment vertical="center"/>
    </xf>
    <xf numFmtId="179" fontId="5" fillId="0" borderId="31" xfId="3" applyNumberFormat="1" applyFont="1" applyBorder="1">
      <alignment vertical="center"/>
    </xf>
    <xf numFmtId="183" fontId="13" fillId="11" borderId="12" xfId="0" applyNumberFormat="1" applyFont="1" applyFill="1" applyBorder="1" applyAlignment="1">
      <alignment horizontal="center" vertical="center"/>
    </xf>
    <xf numFmtId="183" fontId="21" fillId="11" borderId="12" xfId="0" applyNumberFormat="1" applyFont="1" applyFill="1" applyBorder="1" applyAlignment="1">
      <alignment horizontal="left" vertical="center"/>
    </xf>
    <xf numFmtId="177" fontId="5" fillId="11" borderId="12" xfId="0" applyNumberFormat="1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181" fontId="21" fillId="0" borderId="12" xfId="0" applyNumberFormat="1" applyFont="1" applyBorder="1" applyAlignment="1">
      <alignment horizontal="center" vertical="center"/>
    </xf>
    <xf numFmtId="43" fontId="21" fillId="0" borderId="0" xfId="0" applyNumberFormat="1" applyFont="1">
      <alignment vertical="center"/>
    </xf>
    <xf numFmtId="179" fontId="53" fillId="5" borderId="12" xfId="1" applyNumberFormat="1" applyFont="1" applyFill="1" applyBorder="1">
      <alignment vertical="center"/>
    </xf>
    <xf numFmtId="0" fontId="54" fillId="0" borderId="12" xfId="0" applyFont="1" applyBorder="1" applyAlignment="1">
      <alignment horizontal="center" vertical="center"/>
    </xf>
    <xf numFmtId="183" fontId="13" fillId="9" borderId="12" xfId="0" applyNumberFormat="1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left" vertical="center"/>
    </xf>
    <xf numFmtId="183" fontId="21" fillId="9" borderId="12" xfId="0" applyNumberFormat="1" applyFont="1" applyFill="1" applyBorder="1" applyAlignment="1">
      <alignment horizontal="left" vertical="center"/>
    </xf>
    <xf numFmtId="181" fontId="21" fillId="9" borderId="12" xfId="0" applyNumberFormat="1" applyFont="1" applyFill="1" applyBorder="1" applyAlignment="1">
      <alignment horizontal="center" vertical="center"/>
    </xf>
    <xf numFmtId="183" fontId="21" fillId="9" borderId="12" xfId="0" applyNumberFormat="1" applyFont="1" applyFill="1" applyBorder="1" applyAlignment="1">
      <alignment horizontal="center" vertical="center"/>
    </xf>
    <xf numFmtId="177" fontId="5" fillId="9" borderId="12" xfId="0" applyNumberFormat="1" applyFont="1" applyFill="1" applyBorder="1" applyAlignment="1">
      <alignment horizontal="center" vertical="center"/>
    </xf>
    <xf numFmtId="0" fontId="13" fillId="9" borderId="12" xfId="0" applyFont="1" applyFill="1" applyBorder="1" applyAlignment="1">
      <alignment horizontal="center" vertical="center"/>
    </xf>
    <xf numFmtId="179" fontId="32" fillId="0" borderId="0" xfId="1" applyNumberFormat="1" applyFont="1" applyFill="1" applyBorder="1" applyAlignment="1">
      <alignment horizontal="center" vertical="center"/>
    </xf>
    <xf numFmtId="0" fontId="32" fillId="0" borderId="0" xfId="1" applyNumberFormat="1" applyFont="1" applyFill="1" applyAlignment="1">
      <alignment horizontal="center" vertical="center"/>
    </xf>
    <xf numFmtId="41" fontId="32" fillId="0" borderId="0" xfId="1" applyFont="1" applyFill="1" applyBorder="1" applyAlignment="1">
      <alignment horizontal="center" vertical="center"/>
    </xf>
    <xf numFmtId="179" fontId="32" fillId="0" borderId="0" xfId="1" applyNumberFormat="1" applyFont="1" applyBorder="1">
      <alignment vertical="center"/>
    </xf>
    <xf numFmtId="184" fontId="23" fillId="0" borderId="1" xfId="3" applyNumberFormat="1" applyBorder="1">
      <alignment vertical="center"/>
    </xf>
    <xf numFmtId="0" fontId="5" fillId="0" borderId="13" xfId="3" applyFont="1" applyBorder="1" applyAlignment="1">
      <alignment horizontal="center" vertical="center"/>
    </xf>
    <xf numFmtId="0" fontId="52" fillId="0" borderId="0" xfId="137" applyNumberFormat="1" applyFont="1" applyAlignment="1">
      <alignment vertical="center"/>
    </xf>
    <xf numFmtId="183" fontId="52" fillId="0" borderId="0" xfId="137" applyNumberFormat="1" applyFont="1" applyAlignment="1">
      <alignment horizontal="center" vertical="center"/>
    </xf>
    <xf numFmtId="186" fontId="52" fillId="0" borderId="0" xfId="137" applyFont="1" applyAlignment="1">
      <alignment horizontal="center" vertical="center"/>
    </xf>
    <xf numFmtId="178" fontId="52" fillId="0" borderId="0" xfId="137" applyNumberFormat="1" applyFont="1" applyAlignment="1">
      <alignment horizontal="center" vertical="center" shrinkToFit="1"/>
    </xf>
    <xf numFmtId="178" fontId="52" fillId="0" borderId="0" xfId="4" applyNumberFormat="1" applyFont="1" applyFill="1" applyAlignment="1">
      <alignment vertical="center"/>
    </xf>
    <xf numFmtId="187" fontId="52" fillId="0" borderId="0" xfId="4" applyNumberFormat="1" applyFont="1" applyFill="1" applyAlignment="1">
      <alignment vertical="center" shrinkToFit="1"/>
    </xf>
    <xf numFmtId="178" fontId="52" fillId="0" borderId="0" xfId="4" applyNumberFormat="1" applyFont="1" applyFill="1" applyAlignment="1">
      <alignment vertical="center" shrinkToFit="1"/>
    </xf>
    <xf numFmtId="178" fontId="52" fillId="0" borderId="0" xfId="4" applyNumberFormat="1" applyFont="1" applyFill="1" applyBorder="1" applyAlignment="1">
      <alignment vertical="center"/>
    </xf>
    <xf numFmtId="178" fontId="52" fillId="0" borderId="0" xfId="137" applyNumberFormat="1" applyFont="1" applyAlignment="1">
      <alignment vertical="center"/>
    </xf>
    <xf numFmtId="186" fontId="52" fillId="0" borderId="0" xfId="137" applyFont="1" applyAlignment="1">
      <alignment vertical="center"/>
    </xf>
    <xf numFmtId="186" fontId="52" fillId="0" borderId="0" xfId="137" applyFont="1" applyAlignment="1">
      <alignment vertical="center" shrinkToFit="1"/>
    </xf>
    <xf numFmtId="0" fontId="56" fillId="0" borderId="0" xfId="137" applyNumberFormat="1" applyFont="1" applyAlignment="1">
      <alignment vertical="center"/>
    </xf>
    <xf numFmtId="186" fontId="57" fillId="0" borderId="0" xfId="138" applyFont="1">
      <alignment vertical="center"/>
    </xf>
    <xf numFmtId="0" fontId="58" fillId="0" borderId="0" xfId="138" applyNumberFormat="1" applyFont="1">
      <alignment vertical="center"/>
    </xf>
    <xf numFmtId="183" fontId="59" fillId="0" borderId="0" xfId="138" applyNumberFormat="1" applyFont="1" applyAlignment="1">
      <alignment horizontal="left" vertical="center"/>
    </xf>
    <xf numFmtId="186" fontId="58" fillId="0" borderId="0" xfId="138" applyFont="1" applyAlignment="1">
      <alignment horizontal="left" vertical="center"/>
    </xf>
    <xf numFmtId="43" fontId="58" fillId="0" borderId="0" xfId="138" applyNumberFormat="1" applyFont="1" applyAlignment="1">
      <alignment horizontal="left" vertical="center" shrinkToFit="1"/>
    </xf>
    <xf numFmtId="186" fontId="58" fillId="0" borderId="0" xfId="138" applyFont="1">
      <alignment vertical="center"/>
    </xf>
    <xf numFmtId="43" fontId="58" fillId="0" borderId="0" xfId="138" applyNumberFormat="1" applyFont="1" applyAlignment="1">
      <alignment horizontal="left" vertical="center"/>
    </xf>
    <xf numFmtId="186" fontId="58" fillId="0" borderId="0" xfId="138" applyFont="1" applyAlignment="1">
      <alignment vertical="center" shrinkToFit="1"/>
    </xf>
    <xf numFmtId="186" fontId="61" fillId="0" borderId="0" xfId="138" applyFont="1">
      <alignment vertical="center"/>
    </xf>
    <xf numFmtId="179" fontId="58" fillId="0" borderId="0" xfId="4" applyNumberFormat="1" applyFont="1">
      <alignment vertical="center"/>
    </xf>
    <xf numFmtId="179" fontId="58" fillId="0" borderId="0" xfId="4" applyNumberFormat="1" applyFont="1" applyAlignment="1">
      <alignment vertical="center" shrinkToFit="1"/>
    </xf>
    <xf numFmtId="178" fontId="45" fillId="0" borderId="0" xfId="4" quotePrefix="1" applyNumberFormat="1" applyFont="1" applyFill="1" applyAlignment="1">
      <alignment horizontal="left" vertical="center"/>
    </xf>
    <xf numFmtId="186" fontId="58" fillId="0" borderId="0" xfId="138" applyFont="1" applyAlignment="1">
      <alignment horizontal="center" vertical="center"/>
    </xf>
    <xf numFmtId="0" fontId="62" fillId="0" borderId="0" xfId="138" applyNumberFormat="1" applyFont="1">
      <alignment vertical="center"/>
    </xf>
    <xf numFmtId="0" fontId="63" fillId="0" borderId="0" xfId="137" applyNumberFormat="1" applyFont="1" applyAlignment="1">
      <alignment vertical="center"/>
    </xf>
    <xf numFmtId="178" fontId="63" fillId="0" borderId="0" xfId="4" quotePrefix="1" applyNumberFormat="1" applyFont="1" applyFill="1" applyAlignment="1">
      <alignment horizontal="left" vertical="center"/>
    </xf>
    <xf numFmtId="178" fontId="63" fillId="0" borderId="0" xfId="4" applyNumberFormat="1" applyFont="1" applyFill="1" applyAlignment="1">
      <alignment horizontal="left" vertical="center"/>
    </xf>
    <xf numFmtId="178" fontId="63" fillId="0" borderId="0" xfId="4" applyNumberFormat="1" applyFont="1" applyFill="1" applyAlignment="1">
      <alignment horizontal="left" vertical="center" shrinkToFit="1"/>
    </xf>
    <xf numFmtId="178" fontId="63" fillId="0" borderId="0" xfId="4" applyNumberFormat="1" applyFont="1" applyFill="1" applyBorder="1" applyAlignment="1">
      <alignment horizontal="left" vertical="center"/>
    </xf>
    <xf numFmtId="178" fontId="63" fillId="0" borderId="0" xfId="137" applyNumberFormat="1" applyFont="1" applyAlignment="1">
      <alignment horizontal="left" vertical="center" shrinkToFit="1"/>
    </xf>
    <xf numFmtId="178" fontId="63" fillId="0" borderId="0" xfId="137" applyNumberFormat="1" applyFont="1" applyAlignment="1">
      <alignment horizontal="left" vertical="center"/>
    </xf>
    <xf numFmtId="0" fontId="45" fillId="0" borderId="0" xfId="137" applyNumberFormat="1" applyFont="1" applyAlignment="1">
      <alignment horizontal="left" vertical="center"/>
    </xf>
    <xf numFmtId="186" fontId="63" fillId="0" borderId="0" xfId="138" applyFont="1">
      <alignment vertical="center"/>
    </xf>
    <xf numFmtId="183" fontId="45" fillId="2" borderId="1" xfId="4" applyNumberFormat="1" applyFont="1" applyFill="1" applyBorder="1" applyAlignment="1">
      <alignment horizontal="center" vertical="center"/>
    </xf>
    <xf numFmtId="178" fontId="45" fillId="2" borderId="1" xfId="4" applyNumberFormat="1" applyFont="1" applyFill="1" applyBorder="1" applyAlignment="1">
      <alignment horizontal="center" vertical="center"/>
    </xf>
    <xf numFmtId="178" fontId="45" fillId="2" borderId="1" xfId="4" applyNumberFormat="1" applyFont="1" applyFill="1" applyBorder="1" applyAlignment="1">
      <alignment horizontal="center" vertical="center" shrinkToFit="1"/>
    </xf>
    <xf numFmtId="179" fontId="45" fillId="2" borderId="1" xfId="4" applyNumberFormat="1" applyFont="1" applyFill="1" applyBorder="1" applyAlignment="1">
      <alignment horizontal="center" vertical="center" wrapText="1"/>
    </xf>
    <xf numFmtId="178" fontId="45" fillId="2" borderId="1" xfId="4" applyNumberFormat="1" applyFont="1" applyFill="1" applyBorder="1" applyAlignment="1">
      <alignment horizontal="center" vertical="center" wrapText="1"/>
    </xf>
    <xf numFmtId="186" fontId="57" fillId="0" borderId="0" xfId="138" applyFont="1" applyAlignment="1">
      <alignment vertical="center" shrinkToFit="1"/>
    </xf>
    <xf numFmtId="179" fontId="45" fillId="2" borderId="1" xfId="4" applyNumberFormat="1" applyFont="1" applyFill="1" applyBorder="1" applyAlignment="1">
      <alignment horizontal="center" vertical="center" shrinkToFit="1"/>
    </xf>
    <xf numFmtId="0" fontId="56" fillId="0" borderId="0" xfId="137" applyNumberFormat="1" applyFont="1" applyAlignment="1">
      <alignment horizontal="left" vertical="center"/>
    </xf>
    <xf numFmtId="0" fontId="56" fillId="0" borderId="0" xfId="138" applyNumberFormat="1" applyFont="1">
      <alignment vertical="center"/>
    </xf>
    <xf numFmtId="183" fontId="57" fillId="0" borderId="1" xfId="138" applyNumberFormat="1" applyFont="1" applyBorder="1" applyAlignment="1">
      <alignment horizontal="left" vertical="center"/>
    </xf>
    <xf numFmtId="186" fontId="57" fillId="0" borderId="1" xfId="138" applyFont="1" applyBorder="1" applyAlignment="1">
      <alignment horizontal="left" vertical="center"/>
    </xf>
    <xf numFmtId="179" fontId="57" fillId="0" borderId="1" xfId="4" applyNumberFormat="1" applyFont="1" applyBorder="1" applyAlignment="1">
      <alignment vertical="center" shrinkToFit="1"/>
    </xf>
    <xf numFmtId="179" fontId="57" fillId="0" borderId="2" xfId="4" applyNumberFormat="1" applyFont="1" applyFill="1" applyBorder="1">
      <alignment vertical="center"/>
    </xf>
    <xf numFmtId="41" fontId="57" fillId="0" borderId="1" xfId="4" applyFont="1" applyBorder="1" applyAlignment="1">
      <alignment vertical="center" shrinkToFit="1"/>
    </xf>
    <xf numFmtId="186" fontId="52" fillId="0" borderId="0" xfId="4" applyNumberFormat="1" applyFont="1" applyAlignment="1">
      <alignment vertical="center" shrinkToFit="1"/>
    </xf>
    <xf numFmtId="186" fontId="57" fillId="0" borderId="1" xfId="138" applyFont="1" applyBorder="1">
      <alignment vertical="center"/>
    </xf>
    <xf numFmtId="179" fontId="57" fillId="0" borderId="1" xfId="4" applyNumberFormat="1" applyFont="1" applyBorder="1">
      <alignment vertical="center"/>
    </xf>
    <xf numFmtId="0" fontId="56" fillId="0" borderId="0" xfId="4" applyNumberFormat="1" applyFont="1" applyBorder="1">
      <alignment vertical="center"/>
    </xf>
    <xf numFmtId="186" fontId="57" fillId="0" borderId="0" xfId="4" applyNumberFormat="1" applyFont="1" applyAlignment="1">
      <alignment vertical="center" shrinkToFit="1"/>
    </xf>
    <xf numFmtId="186" fontId="64" fillId="0" borderId="0" xfId="4" applyNumberFormat="1" applyFont="1" applyAlignment="1">
      <alignment vertical="center" shrinkToFit="1"/>
    </xf>
    <xf numFmtId="186" fontId="56" fillId="0" borderId="0" xfId="4" applyNumberFormat="1" applyFont="1" applyAlignment="1">
      <alignment vertical="center" shrinkToFit="1"/>
    </xf>
    <xf numFmtId="43" fontId="56" fillId="0" borderId="0" xfId="138" applyNumberFormat="1" applyFont="1" applyAlignment="1">
      <alignment vertical="center" shrinkToFit="1"/>
    </xf>
    <xf numFmtId="186" fontId="65" fillId="3" borderId="1" xfId="138" applyFont="1" applyFill="1" applyBorder="1">
      <alignment vertical="center"/>
    </xf>
    <xf numFmtId="186" fontId="57" fillId="3" borderId="1" xfId="138" applyFont="1" applyFill="1" applyBorder="1">
      <alignment vertical="center"/>
    </xf>
    <xf numFmtId="179" fontId="57" fillId="3" borderId="1" xfId="4" applyNumberFormat="1" applyFont="1" applyFill="1" applyBorder="1" applyAlignment="1">
      <alignment vertical="center" shrinkToFit="1"/>
    </xf>
    <xf numFmtId="41" fontId="57" fillId="3" borderId="1" xfId="4" applyFont="1" applyFill="1" applyBorder="1" applyAlignment="1">
      <alignment vertical="center" shrinkToFit="1"/>
    </xf>
    <xf numFmtId="43" fontId="56" fillId="0" borderId="0" xfId="138" applyNumberFormat="1" applyFont="1" applyAlignment="1">
      <alignment horizontal="right" vertical="center" shrinkToFit="1"/>
    </xf>
    <xf numFmtId="179" fontId="57" fillId="3" borderId="1" xfId="4" applyNumberFormat="1" applyFont="1" applyFill="1" applyBorder="1">
      <alignment vertical="center"/>
    </xf>
    <xf numFmtId="25" fontId="56" fillId="0" borderId="0" xfId="138" applyNumberFormat="1" applyFont="1" applyAlignment="1">
      <alignment horizontal="right" vertical="center" shrinkToFit="1"/>
    </xf>
    <xf numFmtId="183" fontId="45" fillId="2" borderId="3" xfId="138" applyNumberFormat="1" applyFont="1" applyFill="1" applyBorder="1" applyAlignment="1">
      <alignment horizontal="center" vertical="center"/>
    </xf>
    <xf numFmtId="186" fontId="45" fillId="2" borderId="4" xfId="138" applyFont="1" applyFill="1" applyBorder="1" applyAlignment="1">
      <alignment horizontal="center" vertical="center"/>
    </xf>
    <xf numFmtId="179" fontId="45" fillId="2" borderId="1" xfId="4" applyNumberFormat="1" applyFont="1" applyFill="1" applyBorder="1" applyAlignment="1">
      <alignment vertical="center" shrinkToFit="1"/>
    </xf>
    <xf numFmtId="179" fontId="45" fillId="2" borderId="1" xfId="4" applyNumberFormat="1" applyFont="1" applyFill="1" applyBorder="1">
      <alignment vertical="center"/>
    </xf>
    <xf numFmtId="41" fontId="45" fillId="2" borderId="1" xfId="4" applyFont="1" applyFill="1" applyBorder="1">
      <alignment vertical="center"/>
    </xf>
    <xf numFmtId="5" fontId="56" fillId="0" borderId="0" xfId="138" applyNumberFormat="1" applyFont="1" applyAlignment="1">
      <alignment horizontal="right" vertical="center" shrinkToFit="1"/>
    </xf>
    <xf numFmtId="183" fontId="57" fillId="0" borderId="0" xfId="138" applyNumberFormat="1" applyFont="1" applyAlignment="1">
      <alignment horizontal="center" vertical="center"/>
    </xf>
    <xf numFmtId="186" fontId="57" fillId="0" borderId="0" xfId="138" applyFont="1" applyAlignment="1">
      <alignment horizontal="left" vertical="center"/>
    </xf>
    <xf numFmtId="179" fontId="57" fillId="0" borderId="0" xfId="4" applyNumberFormat="1" applyFont="1" applyAlignment="1">
      <alignment horizontal="left" vertical="center" shrinkToFit="1"/>
    </xf>
    <xf numFmtId="179" fontId="57" fillId="0" borderId="0" xfId="4" applyNumberFormat="1" applyFont="1" applyAlignment="1">
      <alignment horizontal="left" vertical="center"/>
    </xf>
    <xf numFmtId="41" fontId="57" fillId="0" borderId="0" xfId="4" applyFont="1" applyAlignment="1">
      <alignment horizontal="left" vertical="center"/>
    </xf>
    <xf numFmtId="186" fontId="64" fillId="0" borderId="0" xfId="138" applyFont="1" applyAlignment="1">
      <alignment horizontal="right" vertical="center" shrinkToFit="1"/>
    </xf>
    <xf numFmtId="179" fontId="57" fillId="0" borderId="0" xfId="4" applyNumberFormat="1" applyFont="1">
      <alignment vertical="center"/>
    </xf>
    <xf numFmtId="179" fontId="57" fillId="0" borderId="0" xfId="4" applyNumberFormat="1" applyFont="1" applyAlignment="1">
      <alignment vertical="center" shrinkToFit="1"/>
    </xf>
    <xf numFmtId="183" fontId="67" fillId="2" borderId="7" xfId="4" applyNumberFormat="1" applyFont="1" applyFill="1" applyBorder="1" applyAlignment="1">
      <alignment horizontal="center" vertical="center"/>
    </xf>
    <xf numFmtId="178" fontId="67" fillId="2" borderId="5" xfId="4" applyNumberFormat="1" applyFont="1" applyFill="1" applyBorder="1" applyAlignment="1">
      <alignment horizontal="center" vertical="center"/>
    </xf>
    <xf numFmtId="178" fontId="67" fillId="2" borderId="7" xfId="4" applyNumberFormat="1" applyFont="1" applyFill="1" applyBorder="1" applyAlignment="1">
      <alignment horizontal="center" vertical="center" shrinkToFit="1"/>
    </xf>
    <xf numFmtId="186" fontId="67" fillId="2" borderId="9" xfId="4" applyNumberFormat="1" applyFont="1" applyFill="1" applyBorder="1" applyAlignment="1">
      <alignment horizontal="center" vertical="center"/>
    </xf>
    <xf numFmtId="178" fontId="67" fillId="2" borderId="9" xfId="4" applyNumberFormat="1" applyFont="1" applyFill="1" applyBorder="1" applyAlignment="1">
      <alignment horizontal="center" vertical="center"/>
    </xf>
    <xf numFmtId="178" fontId="67" fillId="2" borderId="9" xfId="4" applyNumberFormat="1" applyFont="1" applyFill="1" applyBorder="1" applyAlignment="1">
      <alignment horizontal="center" vertical="center" shrinkToFit="1"/>
    </xf>
    <xf numFmtId="178" fontId="67" fillId="2" borderId="1" xfId="4" applyNumberFormat="1" applyFont="1" applyFill="1" applyBorder="1" applyAlignment="1">
      <alignment horizontal="center" vertical="center" shrinkToFit="1"/>
    </xf>
    <xf numFmtId="183" fontId="45" fillId="2" borderId="11" xfId="4" applyNumberFormat="1" applyFont="1" applyFill="1" applyBorder="1" applyAlignment="1">
      <alignment horizontal="center" vertical="center"/>
    </xf>
    <xf numFmtId="178" fontId="45" fillId="2" borderId="10" xfId="4" applyNumberFormat="1" applyFont="1" applyFill="1" applyBorder="1" applyAlignment="1">
      <alignment horizontal="center" vertical="center"/>
    </xf>
    <xf numFmtId="178" fontId="45" fillId="2" borderId="11" xfId="4" applyNumberFormat="1" applyFont="1" applyFill="1" applyBorder="1" applyAlignment="1">
      <alignment horizontal="center" vertical="center" shrinkToFit="1"/>
    </xf>
    <xf numFmtId="186" fontId="45" fillId="2" borderId="13" xfId="4" applyNumberFormat="1" applyFont="1" applyFill="1" applyBorder="1" applyAlignment="1">
      <alignment horizontal="center" vertical="center"/>
    </xf>
    <xf numFmtId="178" fontId="45" fillId="2" borderId="13" xfId="4" applyNumberFormat="1" applyFont="1" applyFill="1" applyBorder="1" applyAlignment="1">
      <alignment horizontal="center" vertical="center"/>
    </xf>
    <xf numFmtId="178" fontId="45" fillId="2" borderId="13" xfId="4" applyNumberFormat="1" applyFont="1" applyFill="1" applyBorder="1" applyAlignment="1">
      <alignment horizontal="center" vertical="center" shrinkToFit="1"/>
    </xf>
    <xf numFmtId="179" fontId="45" fillId="2" borderId="9" xfId="4" applyNumberFormat="1" applyFont="1" applyFill="1" applyBorder="1" applyAlignment="1">
      <alignment horizontal="center" vertical="center"/>
    </xf>
    <xf numFmtId="179" fontId="45" fillId="2" borderId="9" xfId="4" applyNumberFormat="1" applyFont="1" applyFill="1" applyBorder="1" applyAlignment="1">
      <alignment horizontal="center" vertical="center" shrinkToFit="1"/>
    </xf>
    <xf numFmtId="182" fontId="52" fillId="0" borderId="42" xfId="4" applyNumberFormat="1" applyFont="1" applyFill="1" applyBorder="1" applyAlignment="1">
      <alignment horizontal="right" vertical="center" shrinkToFit="1"/>
    </xf>
    <xf numFmtId="186" fontId="57" fillId="6" borderId="42" xfId="138" quotePrefix="1" applyFont="1" applyFill="1" applyBorder="1" applyAlignment="1">
      <alignment vertical="center" shrinkToFit="1"/>
    </xf>
    <xf numFmtId="0" fontId="57" fillId="0" borderId="0" xfId="138" applyNumberFormat="1" applyFont="1">
      <alignment vertical="center"/>
    </xf>
    <xf numFmtId="179" fontId="21" fillId="19" borderId="12" xfId="1" applyNumberFormat="1" applyFont="1" applyFill="1" applyBorder="1" applyAlignment="1">
      <alignment horizontal="center" vertical="center"/>
    </xf>
    <xf numFmtId="0" fontId="14" fillId="0" borderId="0" xfId="1" applyNumberFormat="1" applyFont="1" applyFill="1" applyAlignment="1">
      <alignment horizontal="center" vertical="center"/>
    </xf>
    <xf numFmtId="183" fontId="21" fillId="10" borderId="12" xfId="0" applyNumberFormat="1" applyFont="1" applyFill="1" applyBorder="1" applyAlignment="1">
      <alignment horizontal="left" vertical="center"/>
    </xf>
    <xf numFmtId="183" fontId="21" fillId="10" borderId="12" xfId="0" applyNumberFormat="1" applyFont="1" applyFill="1" applyBorder="1" applyAlignment="1">
      <alignment horizontal="center" vertical="center"/>
    </xf>
    <xf numFmtId="177" fontId="5" fillId="10" borderId="12" xfId="0" applyNumberFormat="1" applyFont="1" applyFill="1" applyBorder="1" applyAlignment="1">
      <alignment horizontal="center" vertical="center"/>
    </xf>
    <xf numFmtId="43" fontId="5" fillId="10" borderId="12" xfId="0" applyNumberFormat="1" applyFont="1" applyFill="1" applyBorder="1" applyAlignment="1">
      <alignment horizontal="center" vertical="center"/>
    </xf>
    <xf numFmtId="179" fontId="21" fillId="10" borderId="12" xfId="1" applyNumberFormat="1" applyFont="1" applyFill="1" applyBorder="1">
      <alignment vertical="center"/>
    </xf>
    <xf numFmtId="183" fontId="13" fillId="5" borderId="12" xfId="0" applyNumberFormat="1" applyFont="1" applyFill="1" applyBorder="1" applyAlignment="1">
      <alignment horizontal="center" vertical="center"/>
    </xf>
    <xf numFmtId="183" fontId="21" fillId="5" borderId="12" xfId="0" applyNumberFormat="1" applyFont="1" applyFill="1" applyBorder="1" applyAlignment="1">
      <alignment horizontal="left" vertical="center"/>
    </xf>
    <xf numFmtId="183" fontId="21" fillId="5" borderId="12" xfId="0" applyNumberFormat="1" applyFont="1" applyFill="1" applyBorder="1" applyAlignment="1">
      <alignment horizontal="center" vertical="center"/>
    </xf>
    <xf numFmtId="177" fontId="5" fillId="5" borderId="12" xfId="0" applyNumberFormat="1" applyFont="1" applyFill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179" fontId="21" fillId="0" borderId="12" xfId="1" applyNumberFormat="1" applyFont="1" applyBorder="1" applyAlignment="1">
      <alignment horizontal="center" vertical="center"/>
    </xf>
    <xf numFmtId="179" fontId="21" fillId="0" borderId="12" xfId="1" applyNumberFormat="1" applyFont="1" applyBorder="1">
      <alignment vertical="center"/>
    </xf>
    <xf numFmtId="183" fontId="13" fillId="19" borderId="12" xfId="0" applyNumberFormat="1" applyFont="1" applyFill="1" applyBorder="1" applyAlignment="1">
      <alignment horizontal="center" vertical="center"/>
    </xf>
    <xf numFmtId="183" fontId="21" fillId="19" borderId="12" xfId="0" applyNumberFormat="1" applyFont="1" applyFill="1" applyBorder="1" applyAlignment="1">
      <alignment horizontal="left" vertical="center"/>
    </xf>
    <xf numFmtId="0" fontId="21" fillId="19" borderId="12" xfId="0" applyFont="1" applyFill="1" applyBorder="1" applyAlignment="1">
      <alignment horizontal="center" vertical="center"/>
    </xf>
    <xf numFmtId="183" fontId="21" fillId="19" borderId="12" xfId="0" applyNumberFormat="1" applyFont="1" applyFill="1" applyBorder="1" applyAlignment="1">
      <alignment horizontal="center" vertical="center"/>
    </xf>
    <xf numFmtId="177" fontId="5" fillId="19" borderId="12" xfId="0" applyNumberFormat="1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179" fontId="21" fillId="19" borderId="12" xfId="1" applyNumberFormat="1" applyFont="1" applyFill="1" applyBorder="1">
      <alignment vertical="center"/>
    </xf>
    <xf numFmtId="183" fontId="21" fillId="19" borderId="14" xfId="0" applyNumberFormat="1" applyFont="1" applyFill="1" applyBorder="1" applyAlignment="1">
      <alignment horizontal="left" vertical="center"/>
    </xf>
    <xf numFmtId="179" fontId="5" fillId="19" borderId="12" xfId="1" applyNumberFormat="1" applyFont="1" applyFill="1" applyBorder="1" applyAlignment="1">
      <alignment horizontal="center" vertical="center"/>
    </xf>
    <xf numFmtId="183" fontId="57" fillId="0" borderId="42" xfId="138" applyNumberFormat="1" applyFont="1" applyBorder="1" applyAlignment="1">
      <alignment horizontal="center" vertical="center" wrapText="1" shrinkToFit="1"/>
    </xf>
    <xf numFmtId="0" fontId="57" fillId="0" borderId="42" xfId="138" applyNumberFormat="1" applyFont="1" applyBorder="1" applyAlignment="1">
      <alignment horizontal="center" vertical="center" wrapText="1" shrinkToFit="1"/>
    </xf>
    <xf numFmtId="0" fontId="57" fillId="0" borderId="42" xfId="4" applyNumberFormat="1" applyFont="1" applyBorder="1" applyAlignment="1">
      <alignment vertical="center" wrapText="1" shrinkToFit="1"/>
    </xf>
    <xf numFmtId="0" fontId="57" fillId="0" borderId="42" xfId="138" applyNumberFormat="1" applyFont="1" applyBorder="1" applyAlignment="1">
      <alignment vertical="center" wrapText="1" shrinkToFit="1"/>
    </xf>
    <xf numFmtId="179" fontId="57" fillId="0" borderId="42" xfId="4" applyNumberFormat="1" applyFont="1" applyFill="1" applyBorder="1" applyAlignment="1">
      <alignment vertical="center" wrapText="1" shrinkToFit="1"/>
    </xf>
    <xf numFmtId="0" fontId="57" fillId="0" borderId="42" xfId="138" applyNumberFormat="1" applyFont="1" applyBorder="1" applyAlignment="1">
      <alignment horizontal="left" vertical="center" wrapText="1" shrinkToFit="1"/>
    </xf>
    <xf numFmtId="186" fontId="64" fillId="0" borderId="0" xfId="138" applyFont="1">
      <alignment vertical="center"/>
    </xf>
    <xf numFmtId="188" fontId="46" fillId="17" borderId="47" xfId="138" applyNumberFormat="1" applyFont="1" applyFill="1" applyBorder="1" applyAlignment="1">
      <alignment horizontal="center" vertical="center"/>
    </xf>
    <xf numFmtId="186" fontId="46" fillId="17" borderId="48" xfId="138" applyFont="1" applyFill="1" applyBorder="1" applyAlignment="1">
      <alignment horizontal="left" vertical="center"/>
    </xf>
    <xf numFmtId="186" fontId="46" fillId="17" borderId="49" xfId="138" applyFont="1" applyFill="1" applyBorder="1" applyAlignment="1">
      <alignment horizontal="left" vertical="center" shrinkToFit="1"/>
    </xf>
    <xf numFmtId="186" fontId="46" fillId="17" borderId="49" xfId="138" applyFont="1" applyFill="1" applyBorder="1" applyAlignment="1">
      <alignment horizontal="left" vertical="center"/>
    </xf>
    <xf numFmtId="186" fontId="46" fillId="17" borderId="49" xfId="138" applyFont="1" applyFill="1" applyBorder="1">
      <alignment vertical="center"/>
    </xf>
    <xf numFmtId="186" fontId="46" fillId="17" borderId="49" xfId="138" applyFont="1" applyFill="1" applyBorder="1" applyAlignment="1">
      <alignment vertical="center" shrinkToFit="1"/>
    </xf>
    <xf numFmtId="186" fontId="57" fillId="17" borderId="51" xfId="138" applyFont="1" applyFill="1" applyBorder="1" applyAlignment="1">
      <alignment vertical="center" shrinkToFit="1"/>
    </xf>
    <xf numFmtId="188" fontId="46" fillId="17" borderId="52" xfId="138" applyNumberFormat="1" applyFont="1" applyFill="1" applyBorder="1" applyAlignment="1">
      <alignment horizontal="center" vertical="center" wrapText="1"/>
    </xf>
    <xf numFmtId="186" fontId="46" fillId="17" borderId="53" xfId="138" applyFont="1" applyFill="1" applyBorder="1" applyAlignment="1">
      <alignment horizontal="left" vertical="center" wrapText="1"/>
    </xf>
    <xf numFmtId="186" fontId="46" fillId="17" borderId="53" xfId="138" applyFont="1" applyFill="1" applyBorder="1" applyAlignment="1">
      <alignment horizontal="left" vertical="center" wrapText="1" shrinkToFit="1"/>
    </xf>
    <xf numFmtId="186" fontId="46" fillId="17" borderId="53" xfId="138" applyFont="1" applyFill="1" applyBorder="1" applyAlignment="1">
      <alignment vertical="center" wrapText="1"/>
    </xf>
    <xf numFmtId="186" fontId="46" fillId="17" borderId="53" xfId="138" applyFont="1" applyFill="1" applyBorder="1" applyAlignment="1">
      <alignment vertical="center" wrapText="1" shrinkToFit="1"/>
    </xf>
    <xf numFmtId="186" fontId="46" fillId="17" borderId="53" xfId="138" applyFont="1" applyFill="1" applyBorder="1" applyAlignment="1">
      <alignment horizontal="center" vertical="center" wrapText="1"/>
    </xf>
    <xf numFmtId="179" fontId="46" fillId="17" borderId="53" xfId="4" applyNumberFormat="1" applyFont="1" applyFill="1" applyBorder="1" applyAlignment="1">
      <alignment horizontal="center" vertical="center" wrapText="1"/>
    </xf>
    <xf numFmtId="182" fontId="46" fillId="17" borderId="53" xfId="4" applyNumberFormat="1" applyFont="1" applyFill="1" applyBorder="1" applyAlignment="1">
      <alignment horizontal="center" vertical="center" wrapText="1" shrinkToFit="1"/>
    </xf>
    <xf numFmtId="179" fontId="46" fillId="17" borderId="53" xfId="4" applyNumberFormat="1" applyFont="1" applyFill="1" applyBorder="1" applyAlignment="1">
      <alignment horizontal="center" vertical="center" shrinkToFit="1"/>
    </xf>
    <xf numFmtId="179" fontId="46" fillId="17" borderId="53" xfId="4" applyNumberFormat="1" applyFont="1" applyFill="1" applyBorder="1">
      <alignment vertical="center"/>
    </xf>
    <xf numFmtId="182" fontId="46" fillId="17" borderId="53" xfId="4" applyNumberFormat="1" applyFont="1" applyFill="1" applyBorder="1">
      <alignment vertical="center"/>
    </xf>
    <xf numFmtId="189" fontId="66" fillId="17" borderId="53" xfId="138" applyNumberFormat="1" applyFont="1" applyFill="1" applyBorder="1" applyAlignment="1">
      <alignment horizontal="left" vertical="center"/>
    </xf>
    <xf numFmtId="186" fontId="46" fillId="17" borderId="53" xfId="138" applyFont="1" applyFill="1" applyBorder="1" applyAlignment="1">
      <alignment horizontal="left" vertical="center"/>
    </xf>
    <xf numFmtId="186" fontId="57" fillId="17" borderId="54" xfId="138" applyFont="1" applyFill="1" applyBorder="1" applyAlignment="1">
      <alignment vertical="center" shrinkToFit="1"/>
    </xf>
    <xf numFmtId="179" fontId="5" fillId="0" borderId="42" xfId="1" applyNumberFormat="1" applyFont="1" applyFill="1" applyBorder="1" applyAlignment="1">
      <alignment horizontal="center" vertical="center"/>
    </xf>
    <xf numFmtId="179" fontId="5" fillId="0" borderId="42" xfId="1" applyNumberFormat="1" applyFont="1" applyBorder="1" applyAlignment="1">
      <alignment horizontal="center" vertical="center"/>
    </xf>
    <xf numFmtId="183" fontId="21" fillId="0" borderId="42" xfId="0" applyNumberFormat="1" applyFont="1" applyBorder="1" applyAlignment="1">
      <alignment horizontal="left" vertical="center" wrapText="1"/>
    </xf>
    <xf numFmtId="0" fontId="5" fillId="0" borderId="42" xfId="0" applyFont="1" applyBorder="1" applyAlignment="1">
      <alignment vertical="center" wrapText="1"/>
    </xf>
    <xf numFmtId="183" fontId="21" fillId="0" borderId="42" xfId="0" applyNumberFormat="1" applyFont="1" applyBorder="1" applyAlignment="1">
      <alignment horizontal="left" vertical="center"/>
    </xf>
    <xf numFmtId="179" fontId="57" fillId="0" borderId="42" xfId="1" applyNumberFormat="1" applyFont="1" applyBorder="1" applyAlignment="1">
      <alignment vertical="center" shrinkToFit="1"/>
    </xf>
    <xf numFmtId="179" fontId="16" fillId="0" borderId="42" xfId="1" applyNumberFormat="1" applyFont="1" applyBorder="1" applyAlignment="1">
      <alignment horizontal="center" vertical="center"/>
    </xf>
    <xf numFmtId="179" fontId="13" fillId="0" borderId="42" xfId="1" applyNumberFormat="1" applyFont="1" applyBorder="1" applyAlignment="1">
      <alignment horizontal="center" vertical="center"/>
    </xf>
    <xf numFmtId="179" fontId="57" fillId="0" borderId="42" xfId="1" applyNumberFormat="1" applyFont="1" applyFill="1" applyBorder="1" applyAlignment="1">
      <alignment vertical="center" shrinkToFit="1"/>
    </xf>
    <xf numFmtId="179" fontId="46" fillId="17" borderId="50" xfId="1" applyNumberFormat="1" applyFont="1" applyFill="1" applyBorder="1">
      <alignment vertical="center"/>
    </xf>
    <xf numFmtId="179" fontId="45" fillId="2" borderId="5" xfId="4" applyNumberFormat="1" applyFont="1" applyFill="1" applyBorder="1" applyAlignment="1">
      <alignment horizontal="center" vertical="center"/>
    </xf>
    <xf numFmtId="189" fontId="66" fillId="17" borderId="49" xfId="138" applyNumberFormat="1" applyFont="1" applyFill="1" applyBorder="1" applyAlignment="1">
      <alignment horizontal="left" vertical="center"/>
    </xf>
    <xf numFmtId="186" fontId="57" fillId="6" borderId="44" xfId="138" applyFont="1" applyFill="1" applyBorder="1" applyAlignment="1">
      <alignment horizontal="left" vertical="center" shrinkToFit="1"/>
    </xf>
    <xf numFmtId="178" fontId="45" fillId="2" borderId="58" xfId="138" applyNumberFormat="1" applyFont="1" applyFill="1" applyBorder="1" applyAlignment="1">
      <alignment horizontal="center" vertical="center"/>
    </xf>
    <xf numFmtId="178" fontId="45" fillId="2" borderId="59" xfId="138" applyNumberFormat="1" applyFont="1" applyFill="1" applyBorder="1" applyAlignment="1">
      <alignment horizontal="center" vertical="center"/>
    </xf>
    <xf numFmtId="179" fontId="46" fillId="17" borderId="60" xfId="4" applyNumberFormat="1" applyFont="1" applyFill="1" applyBorder="1">
      <alignment vertical="center"/>
    </xf>
    <xf numFmtId="179" fontId="46" fillId="17" borderId="61" xfId="4" applyNumberFormat="1" applyFont="1" applyFill="1" applyBorder="1">
      <alignment vertical="center"/>
    </xf>
    <xf numFmtId="179" fontId="57" fillId="6" borderId="62" xfId="4" applyNumberFormat="1" applyFont="1" applyFill="1" applyBorder="1" applyAlignment="1">
      <alignment vertical="center" shrinkToFit="1"/>
    </xf>
    <xf numFmtId="43" fontId="57" fillId="6" borderId="63" xfId="4" applyNumberFormat="1" applyFont="1" applyFill="1" applyBorder="1" applyAlignment="1">
      <alignment vertical="center" shrinkToFit="1"/>
    </xf>
    <xf numFmtId="179" fontId="46" fillId="17" borderId="64" xfId="4" applyNumberFormat="1" applyFont="1" applyFill="1" applyBorder="1">
      <alignment vertical="center"/>
    </xf>
    <xf numFmtId="179" fontId="46" fillId="17" borderId="65" xfId="4" applyNumberFormat="1" applyFont="1" applyFill="1" applyBorder="1">
      <alignment vertical="center"/>
    </xf>
    <xf numFmtId="179" fontId="57" fillId="4" borderId="43" xfId="4" applyNumberFormat="1" applyFont="1" applyFill="1" applyBorder="1" applyAlignment="1">
      <alignment vertical="center" shrinkToFit="1"/>
    </xf>
    <xf numFmtId="179" fontId="46" fillId="17" borderId="49" xfId="138" applyNumberFormat="1" applyFont="1" applyFill="1" applyBorder="1">
      <alignment vertical="center"/>
    </xf>
    <xf numFmtId="179" fontId="57" fillId="9" borderId="43" xfId="4" applyNumberFormat="1" applyFont="1" applyFill="1" applyBorder="1" applyAlignment="1">
      <alignment vertical="center" shrinkToFit="1"/>
    </xf>
    <xf numFmtId="183" fontId="57" fillId="9" borderId="42" xfId="138" applyNumberFormat="1" applyFont="1" applyFill="1" applyBorder="1" applyAlignment="1">
      <alignment horizontal="center" vertical="center" wrapText="1" shrinkToFit="1"/>
    </xf>
    <xf numFmtId="0" fontId="57" fillId="9" borderId="42" xfId="138" applyNumberFormat="1" applyFont="1" applyFill="1" applyBorder="1" applyAlignment="1">
      <alignment horizontal="center" vertical="center" wrapText="1" shrinkToFit="1"/>
    </xf>
    <xf numFmtId="179" fontId="13" fillId="9" borderId="42" xfId="1" applyNumberFormat="1" applyFont="1" applyFill="1" applyBorder="1" applyAlignment="1">
      <alignment horizontal="center" vertical="center" wrapText="1"/>
    </xf>
    <xf numFmtId="41" fontId="57" fillId="9" borderId="42" xfId="1" applyFont="1" applyFill="1" applyBorder="1" applyAlignment="1">
      <alignment vertical="center" wrapText="1" shrinkToFit="1"/>
    </xf>
    <xf numFmtId="179" fontId="57" fillId="9" borderId="42" xfId="1" applyNumberFormat="1" applyFont="1" applyFill="1" applyBorder="1" applyAlignment="1">
      <alignment vertical="center" shrinkToFit="1"/>
    </xf>
    <xf numFmtId="182" fontId="52" fillId="9" borderId="42" xfId="4" applyNumberFormat="1" applyFont="1" applyFill="1" applyBorder="1" applyAlignment="1">
      <alignment horizontal="right" vertical="center" shrinkToFit="1"/>
    </xf>
    <xf numFmtId="41" fontId="13" fillId="9" borderId="42" xfId="1" applyFont="1" applyFill="1" applyBorder="1" applyAlignment="1">
      <alignment horizontal="center" vertical="center" wrapText="1"/>
    </xf>
    <xf numFmtId="179" fontId="57" fillId="9" borderId="62" xfId="4" applyNumberFormat="1" applyFont="1" applyFill="1" applyBorder="1" applyAlignment="1">
      <alignment vertical="center" shrinkToFit="1"/>
    </xf>
    <xf numFmtId="43" fontId="57" fillId="9" borderId="63" xfId="4" applyNumberFormat="1" applyFont="1" applyFill="1" applyBorder="1" applyAlignment="1">
      <alignment vertical="center" shrinkToFit="1"/>
    </xf>
    <xf numFmtId="186" fontId="57" fillId="9" borderId="44" xfId="138" applyFont="1" applyFill="1" applyBorder="1" applyAlignment="1">
      <alignment horizontal="left" vertical="center" shrinkToFit="1"/>
    </xf>
    <xf numFmtId="186" fontId="57" fillId="9" borderId="42" xfId="138" quotePrefix="1" applyFont="1" applyFill="1" applyBorder="1" applyAlignment="1">
      <alignment vertical="center" shrinkToFit="1"/>
    </xf>
    <xf numFmtId="179" fontId="57" fillId="5" borderId="43" xfId="4" applyNumberFormat="1" applyFont="1" applyFill="1" applyBorder="1" applyAlignment="1">
      <alignment vertical="center" shrinkToFit="1"/>
    </xf>
    <xf numFmtId="0" fontId="57" fillId="9" borderId="42" xfId="138" applyNumberFormat="1" applyFont="1" applyFill="1" applyBorder="1" applyAlignment="1">
      <alignment horizontal="left" vertical="center" wrapText="1" shrinkToFit="1"/>
    </xf>
    <xf numFmtId="0" fontId="57" fillId="9" borderId="42" xfId="138" applyNumberFormat="1" applyFont="1" applyFill="1" applyBorder="1" applyAlignment="1">
      <alignment vertical="center" wrapText="1" shrinkToFit="1"/>
    </xf>
    <xf numFmtId="0" fontId="57" fillId="9" borderId="42" xfId="4" applyNumberFormat="1" applyFont="1" applyFill="1" applyBorder="1" applyAlignment="1">
      <alignment vertical="center" wrapText="1" shrinkToFit="1"/>
    </xf>
    <xf numFmtId="179" fontId="57" fillId="9" borderId="42" xfId="4" applyNumberFormat="1" applyFont="1" applyFill="1" applyBorder="1" applyAlignment="1">
      <alignment vertical="center" wrapText="1" shrinkToFit="1"/>
    </xf>
    <xf numFmtId="179" fontId="5" fillId="9" borderId="42" xfId="1" applyNumberFormat="1" applyFont="1" applyFill="1" applyBorder="1" applyAlignment="1">
      <alignment horizontal="center" vertical="center"/>
    </xf>
    <xf numFmtId="179" fontId="13" fillId="0" borderId="42" xfId="1" applyNumberFormat="1" applyFont="1" applyFill="1" applyBorder="1" applyAlignment="1">
      <alignment horizontal="center" vertical="center"/>
    </xf>
    <xf numFmtId="179" fontId="5" fillId="0" borderId="42" xfId="1" applyNumberFormat="1" applyFont="1" applyFill="1" applyBorder="1">
      <alignment vertical="center"/>
    </xf>
    <xf numFmtId="179" fontId="21" fillId="0" borderId="42" xfId="1" applyNumberFormat="1" applyFont="1" applyFill="1" applyBorder="1" applyAlignment="1">
      <alignment horizontal="center" vertical="center"/>
    </xf>
    <xf numFmtId="0" fontId="70" fillId="0" borderId="42" xfId="0" applyFont="1" applyBorder="1" applyAlignment="1">
      <alignment vertical="center" wrapText="1"/>
    </xf>
    <xf numFmtId="186" fontId="57" fillId="0" borderId="42" xfId="138" quotePrefix="1" applyFont="1" applyBorder="1" applyAlignment="1">
      <alignment vertical="center" shrinkToFit="1"/>
    </xf>
    <xf numFmtId="179" fontId="72" fillId="17" borderId="50" xfId="1" applyNumberFormat="1" applyFont="1" applyFill="1" applyBorder="1">
      <alignment vertical="center"/>
    </xf>
    <xf numFmtId="185" fontId="52" fillId="0" borderId="0" xfId="1" applyNumberFormat="1" applyFont="1" applyFill="1">
      <alignment vertical="center"/>
    </xf>
    <xf numFmtId="41" fontId="57" fillId="0" borderId="0" xfId="1" applyFont="1" applyFill="1">
      <alignment vertical="center"/>
    </xf>
    <xf numFmtId="179" fontId="57" fillId="0" borderId="0" xfId="1" applyNumberFormat="1" applyFont="1">
      <alignment vertical="center"/>
    </xf>
    <xf numFmtId="179" fontId="12" fillId="11" borderId="42" xfId="1" applyNumberFormat="1" applyFont="1" applyFill="1" applyBorder="1" applyAlignment="1">
      <alignment horizontal="center" vertical="center"/>
    </xf>
    <xf numFmtId="179" fontId="9" fillId="11" borderId="42" xfId="1" applyNumberFormat="1" applyFont="1" applyFill="1" applyBorder="1" applyAlignment="1">
      <alignment horizontal="center" vertical="center"/>
    </xf>
    <xf numFmtId="179" fontId="73" fillId="0" borderId="0" xfId="4" applyNumberFormat="1" applyFont="1" applyAlignment="1">
      <alignment vertical="center" shrinkToFit="1"/>
    </xf>
    <xf numFmtId="41" fontId="73" fillId="0" borderId="0" xfId="1" applyFont="1" applyAlignment="1">
      <alignment vertical="center" shrinkToFit="1"/>
    </xf>
    <xf numFmtId="179" fontId="57" fillId="0" borderId="1" xfId="4" applyNumberFormat="1" applyFont="1" applyFill="1" applyBorder="1">
      <alignment vertical="center"/>
    </xf>
    <xf numFmtId="41" fontId="57" fillId="0" borderId="1" xfId="4" applyFont="1" applyFill="1" applyBorder="1" applyAlignment="1">
      <alignment vertical="center" shrinkToFit="1"/>
    </xf>
    <xf numFmtId="179" fontId="74" fillId="0" borderId="0" xfId="1" applyNumberFormat="1" applyFont="1" applyAlignment="1">
      <alignment horizontal="right" vertical="center"/>
    </xf>
    <xf numFmtId="179" fontId="64" fillId="0" borderId="1" xfId="4" applyNumberFormat="1" applyFont="1" applyBorder="1">
      <alignment vertical="center"/>
    </xf>
    <xf numFmtId="179" fontId="64" fillId="0" borderId="1" xfId="4" applyNumberFormat="1" applyFont="1" applyFill="1" applyBorder="1">
      <alignment vertical="center"/>
    </xf>
    <xf numFmtId="0" fontId="13" fillId="9" borderId="42" xfId="0" applyFont="1" applyFill="1" applyBorder="1" applyAlignment="1">
      <alignment vertical="center" wrapText="1"/>
    </xf>
    <xf numFmtId="183" fontId="21" fillId="0" borderId="42" xfId="0" applyNumberFormat="1" applyFont="1" applyBorder="1">
      <alignment vertical="center"/>
    </xf>
    <xf numFmtId="188" fontId="46" fillId="17" borderId="42" xfId="138" applyNumberFormat="1" applyFont="1" applyFill="1" applyBorder="1" applyAlignment="1">
      <alignment horizontal="center" vertical="center"/>
    </xf>
    <xf numFmtId="186" fontId="46" fillId="17" borderId="42" xfId="138" applyFont="1" applyFill="1" applyBorder="1">
      <alignment vertical="center"/>
    </xf>
    <xf numFmtId="186" fontId="46" fillId="17" borderId="42" xfId="138" applyFont="1" applyFill="1" applyBorder="1" applyAlignment="1">
      <alignment horizontal="left" vertical="center" shrinkToFit="1"/>
    </xf>
    <xf numFmtId="186" fontId="46" fillId="17" borderId="42" xfId="138" applyFont="1" applyFill="1" applyBorder="1" applyAlignment="1">
      <alignment horizontal="left" vertical="center"/>
    </xf>
    <xf numFmtId="186" fontId="46" fillId="17" borderId="42" xfId="138" applyFont="1" applyFill="1" applyBorder="1" applyAlignment="1">
      <alignment vertical="center" shrinkToFit="1"/>
    </xf>
    <xf numFmtId="179" fontId="46" fillId="17" borderId="42" xfId="138" applyNumberFormat="1" applyFont="1" applyFill="1" applyBorder="1">
      <alignment vertical="center"/>
    </xf>
    <xf numFmtId="179" fontId="46" fillId="17" borderId="42" xfId="1" applyNumberFormat="1" applyFont="1" applyFill="1" applyBorder="1">
      <alignment vertical="center"/>
    </xf>
    <xf numFmtId="179" fontId="46" fillId="17" borderId="42" xfId="4" applyNumberFormat="1" applyFont="1" applyFill="1" applyBorder="1">
      <alignment vertical="center"/>
    </xf>
    <xf numFmtId="186" fontId="57" fillId="17" borderId="42" xfId="138" applyFont="1" applyFill="1" applyBorder="1" applyAlignment="1">
      <alignment vertical="center" shrinkToFit="1"/>
    </xf>
    <xf numFmtId="0" fontId="13" fillId="0" borderId="42" xfId="0" applyFont="1" applyBorder="1">
      <alignment vertical="center"/>
    </xf>
    <xf numFmtId="0" fontId="13" fillId="0" borderId="42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5" fillId="0" borderId="42" xfId="0" applyFont="1" applyBorder="1">
      <alignment vertical="center"/>
    </xf>
    <xf numFmtId="188" fontId="46" fillId="17" borderId="42" xfId="138" applyNumberFormat="1" applyFont="1" applyFill="1" applyBorder="1" applyAlignment="1">
      <alignment horizontal="center" vertical="center" wrapText="1"/>
    </xf>
    <xf numFmtId="186" fontId="46" fillId="17" borderId="42" xfId="138" applyFont="1" applyFill="1" applyBorder="1" applyAlignment="1">
      <alignment horizontal="left" vertical="center" wrapText="1"/>
    </xf>
    <xf numFmtId="186" fontId="46" fillId="17" borderId="42" xfId="138" applyFont="1" applyFill="1" applyBorder="1" applyAlignment="1">
      <alignment horizontal="left" vertical="center" wrapText="1" shrinkToFit="1"/>
    </xf>
    <xf numFmtId="186" fontId="46" fillId="17" borderId="42" xfId="138" applyFont="1" applyFill="1" applyBorder="1" applyAlignment="1">
      <alignment vertical="center" wrapText="1"/>
    </xf>
    <xf numFmtId="186" fontId="46" fillId="17" borderId="42" xfId="138" applyFont="1" applyFill="1" applyBorder="1" applyAlignment="1">
      <alignment vertical="center" wrapText="1" shrinkToFit="1"/>
    </xf>
    <xf numFmtId="186" fontId="46" fillId="17" borderId="42" xfId="138" applyFont="1" applyFill="1" applyBorder="1" applyAlignment="1">
      <alignment horizontal="center" vertical="center" wrapText="1"/>
    </xf>
    <xf numFmtId="179" fontId="46" fillId="17" borderId="42" xfId="4" applyNumberFormat="1" applyFont="1" applyFill="1" applyBorder="1" applyAlignment="1">
      <alignment horizontal="center" vertical="center" wrapText="1"/>
    </xf>
    <xf numFmtId="182" fontId="46" fillId="17" borderId="42" xfId="4" applyNumberFormat="1" applyFont="1" applyFill="1" applyBorder="1" applyAlignment="1">
      <alignment horizontal="center" vertical="center" wrapText="1" shrinkToFit="1"/>
    </xf>
    <xf numFmtId="179" fontId="46" fillId="17" borderId="42" xfId="4" applyNumberFormat="1" applyFont="1" applyFill="1" applyBorder="1" applyAlignment="1">
      <alignment horizontal="center" vertical="center" shrinkToFit="1"/>
    </xf>
    <xf numFmtId="179" fontId="72" fillId="17" borderId="43" xfId="1" applyNumberFormat="1" applyFont="1" applyFill="1" applyBorder="1">
      <alignment vertical="center"/>
    </xf>
    <xf numFmtId="182" fontId="46" fillId="17" borderId="43" xfId="4" applyNumberFormat="1" applyFont="1" applyFill="1" applyBorder="1">
      <alignment vertical="center"/>
    </xf>
    <xf numFmtId="189" fontId="66" fillId="17" borderId="44" xfId="138" applyNumberFormat="1" applyFont="1" applyFill="1" applyBorder="1" applyAlignment="1">
      <alignment horizontal="left" vertical="center"/>
    </xf>
    <xf numFmtId="179" fontId="46" fillId="17" borderId="62" xfId="4" applyNumberFormat="1" applyFont="1" applyFill="1" applyBorder="1">
      <alignment vertical="center"/>
    </xf>
    <xf numFmtId="179" fontId="46" fillId="17" borderId="63" xfId="4" applyNumberFormat="1" applyFont="1" applyFill="1" applyBorder="1">
      <alignment vertical="center"/>
    </xf>
    <xf numFmtId="179" fontId="46" fillId="17" borderId="66" xfId="4" applyNumberFormat="1" applyFont="1" applyFill="1" applyBorder="1">
      <alignment vertical="center"/>
    </xf>
    <xf numFmtId="179" fontId="46" fillId="17" borderId="67" xfId="4" applyNumberFormat="1" applyFont="1" applyFill="1" applyBorder="1">
      <alignment vertical="center"/>
    </xf>
    <xf numFmtId="0" fontId="57" fillId="0" borderId="42" xfId="4" applyNumberFormat="1" applyFont="1" applyFill="1" applyBorder="1" applyAlignment="1">
      <alignment vertical="center" wrapText="1" shrinkToFit="1"/>
    </xf>
    <xf numFmtId="179" fontId="57" fillId="0" borderId="62" xfId="4" applyNumberFormat="1" applyFont="1" applyFill="1" applyBorder="1" applyAlignment="1">
      <alignment vertical="center" shrinkToFit="1"/>
    </xf>
    <xf numFmtId="43" fontId="57" fillId="0" borderId="63" xfId="4" applyNumberFormat="1" applyFont="1" applyFill="1" applyBorder="1" applyAlignment="1">
      <alignment vertical="center" shrinkToFit="1"/>
    </xf>
    <xf numFmtId="186" fontId="57" fillId="0" borderId="44" xfId="138" applyFont="1" applyBorder="1" applyAlignment="1">
      <alignment horizontal="left" vertical="center" shrinkToFit="1"/>
    </xf>
    <xf numFmtId="177" fontId="13" fillId="0" borderId="42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 wrapText="1"/>
    </xf>
    <xf numFmtId="179" fontId="57" fillId="10" borderId="43" xfId="4" applyNumberFormat="1" applyFont="1" applyFill="1" applyBorder="1" applyAlignment="1">
      <alignment vertical="center" shrinkToFit="1"/>
    </xf>
    <xf numFmtId="179" fontId="52" fillId="0" borderId="1" xfId="4" applyNumberFormat="1" applyFont="1" applyBorder="1">
      <alignment vertical="center"/>
    </xf>
    <xf numFmtId="179" fontId="52" fillId="0" borderId="1" xfId="4" applyNumberFormat="1" applyFont="1" applyFill="1" applyBorder="1">
      <alignment vertical="center"/>
    </xf>
    <xf numFmtId="182" fontId="57" fillId="10" borderId="43" xfId="4" applyNumberFormat="1" applyFont="1" applyFill="1" applyBorder="1" applyAlignment="1">
      <alignment vertical="center" shrinkToFit="1"/>
    </xf>
    <xf numFmtId="179" fontId="75" fillId="10" borderId="43" xfId="4" applyNumberFormat="1" applyFont="1" applyFill="1" applyBorder="1" applyAlignment="1">
      <alignment vertical="center" shrinkToFit="1"/>
    </xf>
    <xf numFmtId="179" fontId="16" fillId="0" borderId="42" xfId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1" fontId="57" fillId="0" borderId="42" xfId="1" applyFont="1" applyBorder="1" applyAlignment="1">
      <alignment vertical="center" wrapText="1" shrinkToFit="1"/>
    </xf>
    <xf numFmtId="183" fontId="57" fillId="11" borderId="42" xfId="138" applyNumberFormat="1" applyFont="1" applyFill="1" applyBorder="1" applyAlignment="1">
      <alignment horizontal="center" vertical="center" wrapText="1" shrinkToFit="1"/>
    </xf>
    <xf numFmtId="0" fontId="13" fillId="11" borderId="42" xfId="0" applyFont="1" applyFill="1" applyBorder="1" applyAlignment="1">
      <alignment horizontal="center" vertical="center"/>
    </xf>
    <xf numFmtId="0" fontId="16" fillId="11" borderId="42" xfId="0" applyFont="1" applyFill="1" applyBorder="1" applyAlignment="1">
      <alignment horizontal="center" vertical="center" wrapText="1"/>
    </xf>
    <xf numFmtId="0" fontId="57" fillId="11" borderId="42" xfId="138" applyNumberFormat="1" applyFont="1" applyFill="1" applyBorder="1" applyAlignment="1">
      <alignment horizontal="center" vertical="center" wrapText="1" shrinkToFit="1"/>
    </xf>
    <xf numFmtId="0" fontId="57" fillId="11" borderId="42" xfId="4" applyNumberFormat="1" applyFont="1" applyFill="1" applyBorder="1" applyAlignment="1">
      <alignment vertical="center" wrapText="1" shrinkToFit="1"/>
    </xf>
    <xf numFmtId="179" fontId="57" fillId="11" borderId="42" xfId="4" applyNumberFormat="1" applyFont="1" applyFill="1" applyBorder="1" applyAlignment="1">
      <alignment vertical="center" wrapText="1" shrinkToFit="1"/>
    </xf>
    <xf numFmtId="182" fontId="52" fillId="11" borderId="42" xfId="4" applyNumberFormat="1" applyFont="1" applyFill="1" applyBorder="1" applyAlignment="1">
      <alignment horizontal="right" vertical="center" shrinkToFit="1"/>
    </xf>
    <xf numFmtId="179" fontId="57" fillId="11" borderId="62" xfId="4" applyNumberFormat="1" applyFont="1" applyFill="1" applyBorder="1" applyAlignment="1">
      <alignment vertical="center" shrinkToFit="1"/>
    </xf>
    <xf numFmtId="43" fontId="57" fillId="11" borderId="63" xfId="4" applyNumberFormat="1" applyFont="1" applyFill="1" applyBorder="1" applyAlignment="1">
      <alignment vertical="center" shrinkToFit="1"/>
    </xf>
    <xf numFmtId="186" fontId="57" fillId="11" borderId="44" xfId="138" applyFont="1" applyFill="1" applyBorder="1" applyAlignment="1">
      <alignment horizontal="left" vertical="center" shrinkToFit="1"/>
    </xf>
    <xf numFmtId="186" fontId="57" fillId="11" borderId="42" xfId="138" quotePrefix="1" applyFont="1" applyFill="1" applyBorder="1" applyAlignment="1">
      <alignment vertical="center" shrinkToFit="1"/>
    </xf>
    <xf numFmtId="183" fontId="21" fillId="11" borderId="42" xfId="0" applyNumberFormat="1" applyFont="1" applyFill="1" applyBorder="1">
      <alignment vertical="center"/>
    </xf>
    <xf numFmtId="0" fontId="57" fillId="11" borderId="42" xfId="138" applyNumberFormat="1" applyFont="1" applyFill="1" applyBorder="1" applyAlignment="1">
      <alignment vertical="center" wrapText="1" shrinkToFit="1"/>
    </xf>
    <xf numFmtId="179" fontId="16" fillId="11" borderId="42" xfId="1" applyNumberFormat="1" applyFont="1" applyFill="1" applyBorder="1" applyAlignment="1">
      <alignment horizontal="center" vertical="center"/>
    </xf>
    <xf numFmtId="179" fontId="62" fillId="0" borderId="0" xfId="4" applyNumberFormat="1" applyFont="1">
      <alignment vertical="center"/>
    </xf>
    <xf numFmtId="178" fontId="45" fillId="0" borderId="0" xfId="4" applyNumberFormat="1" applyFont="1" applyFill="1" applyBorder="1" applyAlignment="1">
      <alignment horizontal="left" vertical="center"/>
    </xf>
    <xf numFmtId="183" fontId="57" fillId="20" borderId="42" xfId="138" applyNumberFormat="1" applyFont="1" applyFill="1" applyBorder="1" applyAlignment="1">
      <alignment horizontal="center" vertical="center" wrapText="1" shrinkToFit="1"/>
    </xf>
    <xf numFmtId="0" fontId="5" fillId="20" borderId="42" xfId="0" applyFont="1" applyFill="1" applyBorder="1">
      <alignment vertical="center"/>
    </xf>
    <xf numFmtId="0" fontId="13" fillId="20" borderId="42" xfId="0" applyFont="1" applyFill="1" applyBorder="1" applyAlignment="1">
      <alignment horizontal="center" vertical="center"/>
    </xf>
    <xf numFmtId="0" fontId="16" fillId="20" borderId="42" xfId="0" applyFont="1" applyFill="1" applyBorder="1" applyAlignment="1">
      <alignment horizontal="center" vertical="center" wrapText="1"/>
    </xf>
    <xf numFmtId="0" fontId="57" fillId="20" borderId="42" xfId="138" applyNumberFormat="1" applyFont="1" applyFill="1" applyBorder="1" applyAlignment="1">
      <alignment horizontal="center" vertical="center" wrapText="1" shrinkToFit="1"/>
    </xf>
    <xf numFmtId="179" fontId="5" fillId="20" borderId="42" xfId="1" applyNumberFormat="1" applyFont="1" applyFill="1" applyBorder="1" applyAlignment="1">
      <alignment horizontal="center" vertical="center"/>
    </xf>
    <xf numFmtId="0" fontId="57" fillId="20" borderId="42" xfId="4" applyNumberFormat="1" applyFont="1" applyFill="1" applyBorder="1" applyAlignment="1">
      <alignment vertical="center" wrapText="1" shrinkToFit="1"/>
    </xf>
    <xf numFmtId="179" fontId="57" fillId="20" borderId="43" xfId="4" applyNumberFormat="1" applyFont="1" applyFill="1" applyBorder="1" applyAlignment="1">
      <alignment vertical="center" shrinkToFit="1"/>
    </xf>
    <xf numFmtId="182" fontId="52" fillId="20" borderId="42" xfId="4" applyNumberFormat="1" applyFont="1" applyFill="1" applyBorder="1" applyAlignment="1">
      <alignment horizontal="right" vertical="center" shrinkToFit="1"/>
    </xf>
    <xf numFmtId="179" fontId="57" fillId="20" borderId="62" xfId="4" applyNumberFormat="1" applyFont="1" applyFill="1" applyBorder="1" applyAlignment="1">
      <alignment vertical="center" shrinkToFit="1"/>
    </xf>
    <xf numFmtId="43" fontId="57" fillId="20" borderId="63" xfId="4" applyNumberFormat="1" applyFont="1" applyFill="1" applyBorder="1" applyAlignment="1">
      <alignment vertical="center" shrinkToFit="1"/>
    </xf>
    <xf numFmtId="186" fontId="57" fillId="20" borderId="44" xfId="138" applyFont="1" applyFill="1" applyBorder="1" applyAlignment="1">
      <alignment horizontal="left" vertical="center" shrinkToFit="1"/>
    </xf>
    <xf numFmtId="186" fontId="57" fillId="20" borderId="42" xfId="138" quotePrefix="1" applyFont="1" applyFill="1" applyBorder="1" applyAlignment="1">
      <alignment vertical="center" shrinkToFit="1"/>
    </xf>
    <xf numFmtId="0" fontId="5" fillId="20" borderId="42" xfId="0" applyFont="1" applyFill="1" applyBorder="1" applyAlignment="1">
      <alignment vertical="center" wrapText="1"/>
    </xf>
    <xf numFmtId="179" fontId="52" fillId="5" borderId="43" xfId="4" applyNumberFormat="1" applyFont="1" applyFill="1" applyBorder="1" applyAlignment="1">
      <alignment vertical="center" shrinkToFit="1"/>
    </xf>
    <xf numFmtId="0" fontId="21" fillId="0" borderId="13" xfId="0" applyFont="1" applyBorder="1" applyAlignment="1">
      <alignment horizontal="center" vertical="center"/>
    </xf>
    <xf numFmtId="184" fontId="5" fillId="0" borderId="29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79" fontId="5" fillId="0" borderId="31" xfId="1" applyNumberFormat="1" applyFont="1" applyBorder="1" applyAlignment="1">
      <alignment horizontal="center" vertical="center"/>
    </xf>
    <xf numFmtId="179" fontId="5" fillId="0" borderId="30" xfId="1" applyNumberFormat="1" applyFont="1" applyBorder="1" applyAlignment="1">
      <alignment horizontal="center" vertical="center"/>
    </xf>
    <xf numFmtId="179" fontId="5" fillId="0" borderId="2" xfId="1" applyNumberFormat="1" applyFont="1" applyBorder="1" applyAlignment="1">
      <alignment horizontal="center" vertical="center"/>
    </xf>
    <xf numFmtId="179" fontId="56" fillId="0" borderId="0" xfId="4" applyNumberFormat="1" applyFont="1" applyAlignment="1">
      <alignment horizontal="left" vertical="center"/>
    </xf>
    <xf numFmtId="41" fontId="56" fillId="0" borderId="0" xfId="4" applyFont="1" applyAlignment="1">
      <alignment horizontal="left" vertical="center"/>
    </xf>
    <xf numFmtId="43" fontId="57" fillId="4" borderId="63" xfId="4" applyNumberFormat="1" applyFont="1" applyFill="1" applyBorder="1" applyAlignment="1">
      <alignment vertical="center" shrinkToFit="1"/>
    </xf>
    <xf numFmtId="179" fontId="57" fillId="4" borderId="0" xfId="4" applyNumberFormat="1" applyFont="1" applyFill="1">
      <alignment vertical="center"/>
    </xf>
    <xf numFmtId="0" fontId="77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183" fontId="57" fillId="10" borderId="42" xfId="138" applyNumberFormat="1" applyFont="1" applyFill="1" applyBorder="1" applyAlignment="1">
      <alignment horizontal="center" vertical="center" wrapText="1" shrinkToFit="1"/>
    </xf>
    <xf numFmtId="183" fontId="21" fillId="10" borderId="42" xfId="0" applyNumberFormat="1" applyFont="1" applyFill="1" applyBorder="1">
      <alignment vertical="center"/>
    </xf>
    <xf numFmtId="0" fontId="16" fillId="10" borderId="42" xfId="0" applyFont="1" applyFill="1" applyBorder="1" applyAlignment="1">
      <alignment horizontal="center" vertical="center" wrapText="1"/>
    </xf>
    <xf numFmtId="0" fontId="57" fillId="10" borderId="42" xfId="138" applyNumberFormat="1" applyFont="1" applyFill="1" applyBorder="1" applyAlignment="1">
      <alignment horizontal="center" vertical="center" wrapText="1" shrinkToFit="1"/>
    </xf>
    <xf numFmtId="179" fontId="57" fillId="10" borderId="42" xfId="1" applyNumberFormat="1" applyFont="1" applyFill="1" applyBorder="1" applyAlignment="1">
      <alignment vertical="center" wrapText="1" shrinkToFit="1"/>
    </xf>
    <xf numFmtId="0" fontId="57" fillId="10" borderId="42" xfId="4" applyNumberFormat="1" applyFont="1" applyFill="1" applyBorder="1" applyAlignment="1">
      <alignment vertical="center" wrapText="1" shrinkToFit="1"/>
    </xf>
    <xf numFmtId="179" fontId="13" fillId="10" borderId="42" xfId="1" applyNumberFormat="1" applyFont="1" applyFill="1" applyBorder="1" applyAlignment="1">
      <alignment horizontal="center" vertical="center"/>
    </xf>
    <xf numFmtId="182" fontId="52" fillId="10" borderId="42" xfId="4" applyNumberFormat="1" applyFont="1" applyFill="1" applyBorder="1" applyAlignment="1">
      <alignment horizontal="right" vertical="center" shrinkToFit="1"/>
    </xf>
    <xf numFmtId="179" fontId="57" fillId="10" borderId="62" xfId="4" applyNumberFormat="1" applyFont="1" applyFill="1" applyBorder="1" applyAlignment="1">
      <alignment vertical="center" shrinkToFit="1"/>
    </xf>
    <xf numFmtId="43" fontId="57" fillId="10" borderId="63" xfId="4" applyNumberFormat="1" applyFont="1" applyFill="1" applyBorder="1" applyAlignment="1">
      <alignment vertical="center" shrinkToFit="1"/>
    </xf>
    <xf numFmtId="186" fontId="57" fillId="10" borderId="44" xfId="138" applyFont="1" applyFill="1" applyBorder="1" applyAlignment="1">
      <alignment horizontal="left" vertical="center" shrinkToFit="1"/>
    </xf>
    <xf numFmtId="183" fontId="57" fillId="4" borderId="42" xfId="138" applyNumberFormat="1" applyFont="1" applyFill="1" applyBorder="1" applyAlignment="1">
      <alignment horizontal="center" vertical="center" wrapText="1" shrinkToFit="1"/>
    </xf>
    <xf numFmtId="183" fontId="21" fillId="4" borderId="42" xfId="0" applyNumberFormat="1" applyFont="1" applyFill="1" applyBorder="1">
      <alignment vertical="center"/>
    </xf>
    <xf numFmtId="0" fontId="16" fillId="4" borderId="42" xfId="0" applyFont="1" applyFill="1" applyBorder="1" applyAlignment="1">
      <alignment horizontal="center" vertical="center" wrapText="1"/>
    </xf>
    <xf numFmtId="0" fontId="57" fillId="4" borderId="42" xfId="138" applyNumberFormat="1" applyFont="1" applyFill="1" applyBorder="1" applyAlignment="1">
      <alignment horizontal="center" vertical="center" wrapText="1" shrinkToFit="1"/>
    </xf>
    <xf numFmtId="0" fontId="57" fillId="4" borderId="42" xfId="138" applyNumberFormat="1" applyFont="1" applyFill="1" applyBorder="1" applyAlignment="1">
      <alignment vertical="center" wrapText="1" shrinkToFit="1"/>
    </xf>
    <xf numFmtId="0" fontId="57" fillId="4" borderId="42" xfId="4" applyNumberFormat="1" applyFont="1" applyFill="1" applyBorder="1" applyAlignment="1">
      <alignment vertical="center" wrapText="1" shrinkToFit="1"/>
    </xf>
    <xf numFmtId="179" fontId="57" fillId="4" borderId="42" xfId="4" applyNumberFormat="1" applyFont="1" applyFill="1" applyBorder="1" applyAlignment="1">
      <alignment vertical="center" wrapText="1" shrinkToFit="1"/>
    </xf>
    <xf numFmtId="179" fontId="13" fillId="4" borderId="42" xfId="1" applyNumberFormat="1" applyFont="1" applyFill="1" applyBorder="1" applyAlignment="1">
      <alignment horizontal="center" vertical="center"/>
    </xf>
    <xf numFmtId="182" fontId="52" fillId="4" borderId="42" xfId="4" applyNumberFormat="1" applyFont="1" applyFill="1" applyBorder="1" applyAlignment="1">
      <alignment horizontal="right" vertical="center" shrinkToFit="1"/>
    </xf>
    <xf numFmtId="179" fontId="57" fillId="4" borderId="62" xfId="4" applyNumberFormat="1" applyFont="1" applyFill="1" applyBorder="1" applyAlignment="1">
      <alignment vertical="center" shrinkToFit="1"/>
    </xf>
    <xf numFmtId="186" fontId="57" fillId="4" borderId="44" xfId="138" applyFont="1" applyFill="1" applyBorder="1" applyAlignment="1">
      <alignment horizontal="left" vertical="center" shrinkToFit="1"/>
    </xf>
    <xf numFmtId="179" fontId="57" fillId="8" borderId="43" xfId="4" applyNumberFormat="1" applyFont="1" applyFill="1" applyBorder="1" applyAlignment="1">
      <alignment vertical="center" shrinkToFit="1"/>
    </xf>
    <xf numFmtId="178" fontId="45" fillId="0" borderId="0" xfId="4" quotePrefix="1" applyNumberFormat="1" applyFont="1" applyFill="1" applyBorder="1" applyAlignment="1">
      <alignment horizontal="left" vertical="center"/>
    </xf>
    <xf numFmtId="179" fontId="58" fillId="0" borderId="0" xfId="4" applyNumberFormat="1" applyFont="1" applyFill="1" applyBorder="1">
      <alignment vertical="center"/>
    </xf>
    <xf numFmtId="178" fontId="63" fillId="0" borderId="0" xfId="4" quotePrefix="1" applyNumberFormat="1" applyFont="1" applyFill="1" applyBorder="1" applyAlignment="1">
      <alignment horizontal="left" vertical="center"/>
    </xf>
    <xf numFmtId="178" fontId="63" fillId="0" borderId="0" xfId="4" applyNumberFormat="1" applyFont="1" applyFill="1" applyBorder="1" applyAlignment="1">
      <alignment horizontal="left" vertical="center" shrinkToFit="1"/>
    </xf>
    <xf numFmtId="183" fontId="45" fillId="0" borderId="0" xfId="4" applyNumberFormat="1" applyFont="1" applyFill="1" applyBorder="1" applyAlignment="1">
      <alignment horizontal="center" vertical="center"/>
    </xf>
    <xf numFmtId="178" fontId="45" fillId="0" borderId="0" xfId="4" applyNumberFormat="1" applyFont="1" applyFill="1" applyBorder="1" applyAlignment="1">
      <alignment horizontal="center" vertical="center"/>
    </xf>
    <xf numFmtId="178" fontId="45" fillId="0" borderId="0" xfId="4" applyNumberFormat="1" applyFont="1" applyFill="1" applyBorder="1" applyAlignment="1">
      <alignment horizontal="center" vertical="center" shrinkToFit="1"/>
    </xf>
    <xf numFmtId="179" fontId="45" fillId="0" borderId="0" xfId="4" applyNumberFormat="1" applyFont="1" applyFill="1" applyBorder="1" applyAlignment="1">
      <alignment horizontal="center" vertical="center" shrinkToFit="1"/>
    </xf>
    <xf numFmtId="178" fontId="45" fillId="0" borderId="0" xfId="4" applyNumberFormat="1" applyFont="1" applyFill="1" applyBorder="1" applyAlignment="1">
      <alignment horizontal="center" vertical="center" wrapText="1"/>
    </xf>
    <xf numFmtId="41" fontId="57" fillId="0" borderId="0" xfId="4" applyFont="1" applyFill="1" applyBorder="1" applyAlignment="1">
      <alignment vertical="center" shrinkToFit="1"/>
    </xf>
    <xf numFmtId="186" fontId="65" fillId="0" borderId="0" xfId="138" applyFont="1">
      <alignment vertical="center"/>
    </xf>
    <xf numFmtId="183" fontId="45" fillId="0" borderId="0" xfId="138" applyNumberFormat="1" applyFont="1" applyAlignment="1">
      <alignment horizontal="center" vertical="center"/>
    </xf>
    <xf numFmtId="186" fontId="45" fillId="0" borderId="0" xfId="138" applyFont="1" applyAlignment="1">
      <alignment horizontal="center" vertical="center"/>
    </xf>
    <xf numFmtId="179" fontId="52" fillId="0" borderId="62" xfId="4" applyNumberFormat="1" applyFont="1" applyFill="1" applyBorder="1" applyAlignment="1">
      <alignment vertical="center" shrinkToFit="1"/>
    </xf>
    <xf numFmtId="179" fontId="66" fillId="17" borderId="62" xfId="4" applyNumberFormat="1" applyFont="1" applyFill="1" applyBorder="1">
      <alignment vertical="center"/>
    </xf>
    <xf numFmtId="179" fontId="66" fillId="17" borderId="63" xfId="4" applyNumberFormat="1" applyFont="1" applyFill="1" applyBorder="1">
      <alignment vertical="center"/>
    </xf>
    <xf numFmtId="183" fontId="57" fillId="21" borderId="42" xfId="138" applyNumberFormat="1" applyFont="1" applyFill="1" applyBorder="1" applyAlignment="1">
      <alignment horizontal="center" vertical="center" wrapText="1" shrinkToFit="1"/>
    </xf>
    <xf numFmtId="183" fontId="21" fillId="21" borderId="42" xfId="0" applyNumberFormat="1" applyFont="1" applyFill="1" applyBorder="1">
      <alignment vertical="center"/>
    </xf>
    <xf numFmtId="0" fontId="16" fillId="21" borderId="42" xfId="0" applyFont="1" applyFill="1" applyBorder="1" applyAlignment="1">
      <alignment horizontal="center" vertical="center" wrapText="1"/>
    </xf>
    <xf numFmtId="0" fontId="57" fillId="21" borderId="42" xfId="138" applyNumberFormat="1" applyFont="1" applyFill="1" applyBorder="1" applyAlignment="1">
      <alignment horizontal="center" vertical="center" wrapText="1" shrinkToFit="1"/>
    </xf>
    <xf numFmtId="0" fontId="57" fillId="21" borderId="42" xfId="138" applyNumberFormat="1" applyFont="1" applyFill="1" applyBorder="1" applyAlignment="1">
      <alignment vertical="center" wrapText="1" shrinkToFit="1"/>
    </xf>
    <xf numFmtId="0" fontId="57" fillId="21" borderId="42" xfId="4" applyNumberFormat="1" applyFont="1" applyFill="1" applyBorder="1" applyAlignment="1">
      <alignment vertical="center" wrapText="1" shrinkToFit="1"/>
    </xf>
    <xf numFmtId="179" fontId="57" fillId="21" borderId="42" xfId="4" applyNumberFormat="1" applyFont="1" applyFill="1" applyBorder="1" applyAlignment="1">
      <alignment vertical="center" wrapText="1" shrinkToFit="1"/>
    </xf>
    <xf numFmtId="179" fontId="13" fillId="21" borderId="42" xfId="1" applyNumberFormat="1" applyFont="1" applyFill="1" applyBorder="1" applyAlignment="1">
      <alignment horizontal="center" vertical="center"/>
    </xf>
    <xf numFmtId="182" fontId="52" fillId="21" borderId="42" xfId="4" applyNumberFormat="1" applyFont="1" applyFill="1" applyBorder="1" applyAlignment="1">
      <alignment horizontal="right" vertical="center" shrinkToFit="1"/>
    </xf>
    <xf numFmtId="179" fontId="57" fillId="21" borderId="62" xfId="4" applyNumberFormat="1" applyFont="1" applyFill="1" applyBorder="1" applyAlignment="1">
      <alignment vertical="center" shrinkToFit="1"/>
    </xf>
    <xf numFmtId="43" fontId="57" fillId="21" borderId="63" xfId="4" applyNumberFormat="1" applyFont="1" applyFill="1" applyBorder="1" applyAlignment="1">
      <alignment vertical="center" shrinkToFit="1"/>
    </xf>
    <xf numFmtId="186" fontId="57" fillId="21" borderId="44" xfId="138" applyFont="1" applyFill="1" applyBorder="1" applyAlignment="1">
      <alignment horizontal="left" vertical="center" shrinkToFit="1"/>
    </xf>
    <xf numFmtId="179" fontId="66" fillId="0" borderId="62" xfId="4" applyNumberFormat="1" applyFont="1" applyFill="1" applyBorder="1" applyAlignment="1">
      <alignment vertical="center" shrinkToFit="1"/>
    </xf>
    <xf numFmtId="43" fontId="66" fillId="0" borderId="63" xfId="4" applyNumberFormat="1" applyFont="1" applyFill="1" applyBorder="1" applyAlignment="1">
      <alignment vertical="center" shrinkToFit="1"/>
    </xf>
    <xf numFmtId="179" fontId="66" fillId="0" borderId="0" xfId="4" applyNumberFormat="1" applyFont="1">
      <alignment vertical="center"/>
    </xf>
    <xf numFmtId="186" fontId="46" fillId="17" borderId="43" xfId="138" applyFont="1" applyFill="1" applyBorder="1" applyAlignment="1">
      <alignment horizontal="left" vertical="center"/>
    </xf>
    <xf numFmtId="186" fontId="57" fillId="21" borderId="43" xfId="138" quotePrefix="1" applyFont="1" applyFill="1" applyBorder="1" applyAlignment="1">
      <alignment vertical="center" shrinkToFit="1"/>
    </xf>
    <xf numFmtId="186" fontId="57" fillId="10" borderId="43" xfId="138" quotePrefix="1" applyFont="1" applyFill="1" applyBorder="1" applyAlignment="1">
      <alignment vertical="center" shrinkToFit="1"/>
    </xf>
    <xf numFmtId="186" fontId="57" fillId="0" borderId="43" xfId="138" quotePrefix="1" applyFont="1" applyBorder="1" applyAlignment="1">
      <alignment vertical="center" shrinkToFit="1"/>
    </xf>
    <xf numFmtId="186" fontId="57" fillId="4" borderId="43" xfId="138" quotePrefix="1" applyFont="1" applyFill="1" applyBorder="1" applyAlignment="1">
      <alignment vertical="center" shrinkToFit="1"/>
    </xf>
    <xf numFmtId="186" fontId="57" fillId="6" borderId="43" xfId="138" quotePrefix="1" applyFont="1" applyFill="1" applyBorder="1" applyAlignment="1">
      <alignment vertical="center" shrinkToFit="1"/>
    </xf>
    <xf numFmtId="186" fontId="57" fillId="17" borderId="68" xfId="138" applyFont="1" applyFill="1" applyBorder="1" applyAlignment="1">
      <alignment vertical="center" shrinkToFit="1"/>
    </xf>
    <xf numFmtId="186" fontId="57" fillId="17" borderId="1" xfId="138" applyFont="1" applyFill="1" applyBorder="1" applyAlignment="1">
      <alignment vertical="center" shrinkToFit="1"/>
    </xf>
    <xf numFmtId="186" fontId="57" fillId="21" borderId="1" xfId="138" quotePrefix="1" applyFont="1" applyFill="1" applyBorder="1" applyAlignment="1">
      <alignment vertical="center" shrinkToFit="1"/>
    </xf>
    <xf numFmtId="186" fontId="57" fillId="10" borderId="1" xfId="138" quotePrefix="1" applyFont="1" applyFill="1" applyBorder="1" applyAlignment="1">
      <alignment vertical="center" shrinkToFit="1"/>
    </xf>
    <xf numFmtId="186" fontId="57" fillId="0" borderId="1" xfId="138" quotePrefix="1" applyFont="1" applyBorder="1" applyAlignment="1">
      <alignment vertical="center" shrinkToFit="1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0" fillId="0" borderId="1" xfId="0" applyFont="1" applyBorder="1" applyAlignment="1">
      <alignment vertical="center" wrapText="1"/>
    </xf>
    <xf numFmtId="183" fontId="57" fillId="0" borderId="1" xfId="138" applyNumberFormat="1" applyFont="1" applyBorder="1" applyAlignment="1">
      <alignment horizontal="center" vertical="center"/>
    </xf>
    <xf numFmtId="186" fontId="57" fillId="0" borderId="1" xfId="138" applyFont="1" applyBorder="1" applyAlignment="1">
      <alignment vertical="center" shrinkToFit="1"/>
    </xf>
    <xf numFmtId="183" fontId="57" fillId="20" borderId="1" xfId="138" applyNumberFormat="1" applyFont="1" applyFill="1" applyBorder="1" applyAlignment="1">
      <alignment horizontal="center" vertical="center"/>
    </xf>
    <xf numFmtId="182" fontId="52" fillId="20" borderId="1" xfId="4" applyNumberFormat="1" applyFont="1" applyFill="1" applyBorder="1" applyAlignment="1">
      <alignment horizontal="right" vertical="center" shrinkToFit="1"/>
    </xf>
    <xf numFmtId="41" fontId="57" fillId="20" borderId="1" xfId="1" applyFont="1" applyFill="1" applyBorder="1" applyAlignment="1">
      <alignment vertical="center" shrinkToFit="1"/>
    </xf>
    <xf numFmtId="179" fontId="57" fillId="20" borderId="1" xfId="4" applyNumberFormat="1" applyFont="1" applyFill="1" applyBorder="1" applyAlignment="1">
      <alignment vertical="center" shrinkToFit="1"/>
    </xf>
    <xf numFmtId="182" fontId="52" fillId="0" borderId="1" xfId="4" applyNumberFormat="1" applyFont="1" applyFill="1" applyBorder="1" applyAlignment="1">
      <alignment horizontal="right" vertical="center" shrinkToFit="1"/>
    </xf>
    <xf numFmtId="41" fontId="57" fillId="0" borderId="1" xfId="1" applyFont="1" applyBorder="1" applyAlignment="1">
      <alignment vertical="center" shrinkToFit="1"/>
    </xf>
    <xf numFmtId="179" fontId="57" fillId="0" borderId="1" xfId="4" applyNumberFormat="1" applyFont="1" applyFill="1" applyBorder="1" applyAlignment="1">
      <alignment vertical="center" shrinkToFit="1"/>
    </xf>
    <xf numFmtId="179" fontId="13" fillId="11" borderId="42" xfId="1" applyNumberFormat="1" applyFont="1" applyFill="1" applyBorder="1" applyAlignment="1">
      <alignment horizontal="center" vertical="center"/>
    </xf>
    <xf numFmtId="179" fontId="57" fillId="11" borderId="43" xfId="4" applyNumberFormat="1" applyFont="1" applyFill="1" applyBorder="1" applyAlignment="1">
      <alignment vertical="center" shrinkToFit="1"/>
    </xf>
    <xf numFmtId="179" fontId="66" fillId="11" borderId="69" xfId="4" applyNumberFormat="1" applyFont="1" applyFill="1" applyBorder="1" applyAlignment="1">
      <alignment vertical="center" shrinkToFit="1"/>
    </xf>
    <xf numFmtId="43" fontId="66" fillId="11" borderId="70" xfId="4" applyNumberFormat="1" applyFont="1" applyFill="1" applyBorder="1" applyAlignment="1">
      <alignment vertical="center" shrinkToFit="1"/>
    </xf>
    <xf numFmtId="186" fontId="57" fillId="11" borderId="43" xfId="138" quotePrefix="1" applyFont="1" applyFill="1" applyBorder="1" applyAlignment="1">
      <alignment vertical="center" shrinkToFit="1"/>
    </xf>
    <xf numFmtId="186" fontId="57" fillId="11" borderId="0" xfId="138" quotePrefix="1" applyFont="1" applyFill="1" applyAlignment="1">
      <alignment vertical="center" shrinkToFit="1"/>
    </xf>
    <xf numFmtId="0" fontId="13" fillId="0" borderId="42" xfId="0" applyFont="1" applyBorder="1" applyAlignment="1">
      <alignment vertical="center" wrapText="1"/>
    </xf>
    <xf numFmtId="179" fontId="64" fillId="0" borderId="0" xfId="4" applyNumberFormat="1" applyFont="1">
      <alignment vertical="center"/>
    </xf>
    <xf numFmtId="183" fontId="9" fillId="4" borderId="42" xfId="0" applyNumberFormat="1" applyFont="1" applyFill="1" applyBorder="1">
      <alignment vertical="center"/>
    </xf>
    <xf numFmtId="0" fontId="12" fillId="4" borderId="42" xfId="0" applyFont="1" applyFill="1" applyBorder="1" applyAlignment="1">
      <alignment horizontal="center" vertical="center" wrapText="1"/>
    </xf>
    <xf numFmtId="0" fontId="64" fillId="4" borderId="42" xfId="138" applyNumberFormat="1" applyFont="1" applyFill="1" applyBorder="1" applyAlignment="1">
      <alignment horizontal="center" vertical="center" wrapText="1" shrinkToFit="1"/>
    </xf>
    <xf numFmtId="0" fontId="64" fillId="4" borderId="42" xfId="138" applyNumberFormat="1" applyFont="1" applyFill="1" applyBorder="1" applyAlignment="1">
      <alignment vertical="center" wrapText="1" shrinkToFit="1"/>
    </xf>
    <xf numFmtId="0" fontId="64" fillId="4" borderId="42" xfId="4" applyNumberFormat="1" applyFont="1" applyFill="1" applyBorder="1" applyAlignment="1">
      <alignment vertical="center" wrapText="1" shrinkToFit="1"/>
    </xf>
    <xf numFmtId="179" fontId="64" fillId="4" borderId="42" xfId="4" applyNumberFormat="1" applyFont="1" applyFill="1" applyBorder="1" applyAlignment="1">
      <alignment vertical="center" wrapText="1" shrinkToFit="1"/>
    </xf>
    <xf numFmtId="179" fontId="12" fillId="4" borderId="42" xfId="1" applyNumberFormat="1" applyFont="1" applyFill="1" applyBorder="1" applyAlignment="1">
      <alignment horizontal="center" vertical="center"/>
    </xf>
    <xf numFmtId="182" fontId="64" fillId="4" borderId="42" xfId="4" applyNumberFormat="1" applyFont="1" applyFill="1" applyBorder="1" applyAlignment="1">
      <alignment horizontal="right" vertical="center" shrinkToFit="1"/>
    </xf>
    <xf numFmtId="179" fontId="64" fillId="20" borderId="43" xfId="4" applyNumberFormat="1" applyFont="1" applyFill="1" applyBorder="1" applyAlignment="1">
      <alignment vertical="center" shrinkToFit="1"/>
    </xf>
    <xf numFmtId="179" fontId="64" fillId="4" borderId="62" xfId="4" applyNumberFormat="1" applyFont="1" applyFill="1" applyBorder="1" applyAlignment="1">
      <alignment vertical="center" shrinkToFit="1"/>
    </xf>
    <xf numFmtId="43" fontId="64" fillId="4" borderId="63" xfId="4" applyNumberFormat="1" applyFont="1" applyFill="1" applyBorder="1" applyAlignment="1">
      <alignment vertical="center" shrinkToFit="1"/>
    </xf>
    <xf numFmtId="186" fontId="64" fillId="4" borderId="43" xfId="138" quotePrefix="1" applyFont="1" applyFill="1" applyBorder="1" applyAlignment="1">
      <alignment vertical="center" shrinkToFit="1"/>
    </xf>
    <xf numFmtId="0" fontId="9" fillId="4" borderId="1" xfId="0" applyFont="1" applyFill="1" applyBorder="1" applyAlignment="1">
      <alignment vertical="center" wrapText="1"/>
    </xf>
    <xf numFmtId="41" fontId="57" fillId="0" borderId="0" xfId="1" applyFont="1">
      <alignment vertical="center"/>
    </xf>
    <xf numFmtId="179" fontId="57" fillId="0" borderId="0" xfId="1" applyNumberFormat="1" applyFont="1" applyBorder="1">
      <alignment vertical="center"/>
    </xf>
    <xf numFmtId="179" fontId="56" fillId="0" borderId="0" xfId="4" applyNumberFormat="1" applyFont="1" applyAlignment="1">
      <alignment vertical="center" shrinkToFit="1"/>
    </xf>
    <xf numFmtId="41" fontId="56" fillId="0" borderId="0" xfId="1" applyFont="1" applyAlignment="1">
      <alignment vertical="center" shrinkToFit="1"/>
    </xf>
    <xf numFmtId="179" fontId="64" fillId="0" borderId="0" xfId="1" applyNumberFormat="1" applyFont="1">
      <alignment vertical="center"/>
    </xf>
    <xf numFmtId="43" fontId="64" fillId="0" borderId="63" xfId="4" applyNumberFormat="1" applyFont="1" applyFill="1" applyBorder="1" applyAlignment="1">
      <alignment vertical="center" shrinkToFit="1"/>
    </xf>
    <xf numFmtId="179" fontId="64" fillId="0" borderId="62" xfId="4" applyNumberFormat="1" applyFont="1" applyFill="1" applyBorder="1" applyAlignment="1">
      <alignment vertical="center" shrinkToFit="1"/>
    </xf>
    <xf numFmtId="179" fontId="16" fillId="4" borderId="42" xfId="1" applyNumberFormat="1" applyFont="1" applyFill="1" applyBorder="1" applyAlignment="1">
      <alignment horizontal="center" vertical="center"/>
    </xf>
    <xf numFmtId="186" fontId="64" fillId="0" borderId="0" xfId="138" applyFont="1" applyAlignment="1">
      <alignment vertical="center" shrinkToFit="1"/>
    </xf>
    <xf numFmtId="41" fontId="52" fillId="0" borderId="0" xfId="1" applyFont="1">
      <alignment vertical="center"/>
    </xf>
    <xf numFmtId="186" fontId="52" fillId="0" borderId="0" xfId="138" applyFont="1">
      <alignment vertical="center"/>
    </xf>
    <xf numFmtId="186" fontId="82" fillId="0" borderId="0" xfId="138" applyFont="1">
      <alignment vertical="center"/>
    </xf>
    <xf numFmtId="41" fontId="64" fillId="3" borderId="1" xfId="4" applyFont="1" applyFill="1" applyBorder="1" applyAlignment="1">
      <alignment vertical="center" shrinkToFit="1"/>
    </xf>
    <xf numFmtId="179" fontId="64" fillId="3" borderId="1" xfId="4" applyNumberFormat="1" applyFont="1" applyFill="1" applyBorder="1">
      <alignment vertical="center"/>
    </xf>
    <xf numFmtId="177" fontId="13" fillId="0" borderId="1" xfId="0" applyNumberFormat="1" applyFont="1" applyBorder="1" applyAlignment="1">
      <alignment horizontal="center" vertical="center"/>
    </xf>
    <xf numFmtId="0" fontId="57" fillId="0" borderId="0" xfId="138" applyNumberFormat="1" applyFont="1" applyAlignment="1">
      <alignment vertical="center" wrapText="1" shrinkToFit="1"/>
    </xf>
    <xf numFmtId="177" fontId="13" fillId="0" borderId="0" xfId="0" applyNumberFormat="1" applyFont="1" applyAlignment="1">
      <alignment horizontal="center" vertical="center"/>
    </xf>
    <xf numFmtId="179" fontId="16" fillId="0" borderId="1" xfId="1" applyNumberFormat="1" applyFont="1" applyBorder="1" applyAlignment="1">
      <alignment horizontal="center" vertical="center"/>
    </xf>
    <xf numFmtId="179" fontId="16" fillId="0" borderId="0" xfId="1" applyNumberFormat="1" applyFont="1" applyBorder="1" applyAlignment="1">
      <alignment horizontal="center" vertical="center"/>
    </xf>
    <xf numFmtId="0" fontId="5" fillId="11" borderId="1" xfId="0" applyFont="1" applyFill="1" applyBorder="1" applyAlignment="1">
      <alignment vertical="center" wrapText="1"/>
    </xf>
    <xf numFmtId="43" fontId="52" fillId="0" borderId="63" xfId="4" applyNumberFormat="1" applyFont="1" applyFill="1" applyBorder="1" applyAlignment="1">
      <alignment vertical="center" shrinkToFit="1"/>
    </xf>
    <xf numFmtId="186" fontId="46" fillId="17" borderId="42" xfId="138" applyFont="1" applyFill="1" applyBorder="1" applyAlignment="1">
      <alignment horizontal="center" vertical="center"/>
    </xf>
    <xf numFmtId="179" fontId="5" fillId="0" borderId="1" xfId="1" applyNumberFormat="1" applyFont="1" applyBorder="1" applyAlignment="1">
      <alignment horizontal="center" vertical="center"/>
    </xf>
    <xf numFmtId="186" fontId="56" fillId="0" borderId="0" xfId="138" applyFont="1" applyAlignment="1">
      <alignment vertical="center" shrinkToFit="1"/>
    </xf>
    <xf numFmtId="186" fontId="56" fillId="0" borderId="0" xfId="138" applyFont="1">
      <alignment vertical="center"/>
    </xf>
    <xf numFmtId="0" fontId="52" fillId="0" borderId="0" xfId="137" applyNumberFormat="1" applyFont="1" applyAlignment="1">
      <alignment vertical="center" shrinkToFit="1"/>
    </xf>
    <xf numFmtId="183" fontId="45" fillId="2" borderId="3" xfId="138" applyNumberFormat="1" applyFont="1" applyFill="1" applyBorder="1" applyAlignment="1">
      <alignment horizontal="center" vertical="center" shrinkToFit="1"/>
    </xf>
    <xf numFmtId="186" fontId="45" fillId="2" borderId="4" xfId="138" applyFont="1" applyFill="1" applyBorder="1" applyAlignment="1">
      <alignment horizontal="center" vertical="center" shrinkToFit="1"/>
    </xf>
    <xf numFmtId="41" fontId="45" fillId="2" borderId="1" xfId="4" applyFont="1" applyFill="1" applyBorder="1" applyAlignment="1">
      <alignment vertical="center" shrinkToFit="1"/>
    </xf>
    <xf numFmtId="41" fontId="52" fillId="0" borderId="0" xfId="1" applyFont="1" applyAlignment="1">
      <alignment vertical="center" shrinkToFit="1"/>
    </xf>
    <xf numFmtId="183" fontId="72" fillId="0" borderId="0" xfId="138" applyNumberFormat="1" applyFont="1" applyAlignment="1">
      <alignment horizontal="center" vertical="center" shrinkToFit="1"/>
    </xf>
    <xf numFmtId="186" fontId="45" fillId="0" borderId="0" xfId="138" applyFont="1" applyAlignment="1">
      <alignment horizontal="center" vertical="center" shrinkToFit="1"/>
    </xf>
    <xf numFmtId="0" fontId="56" fillId="0" borderId="0" xfId="138" applyNumberFormat="1" applyFont="1" applyAlignment="1">
      <alignment vertical="center" shrinkToFit="1"/>
    </xf>
    <xf numFmtId="179" fontId="62" fillId="0" borderId="0" xfId="4" applyNumberFormat="1" applyFont="1" applyAlignment="1">
      <alignment vertical="center" shrinkToFit="1"/>
    </xf>
    <xf numFmtId="185" fontId="52" fillId="0" borderId="0" xfId="1" applyNumberFormat="1" applyFont="1" applyFill="1" applyAlignment="1">
      <alignment vertical="center" shrinkToFit="1"/>
    </xf>
    <xf numFmtId="186" fontId="58" fillId="0" borderId="0" xfId="138" applyFont="1" applyAlignment="1">
      <alignment horizontal="center" vertical="center" shrinkToFit="1"/>
    </xf>
    <xf numFmtId="186" fontId="57" fillId="11" borderId="1" xfId="138" quotePrefix="1" applyFont="1" applyFill="1" applyBorder="1" applyAlignment="1">
      <alignment vertical="center" shrinkToFit="1"/>
    </xf>
    <xf numFmtId="43" fontId="57" fillId="0" borderId="0" xfId="4" applyNumberFormat="1" applyFont="1">
      <alignment vertical="center"/>
    </xf>
    <xf numFmtId="179" fontId="72" fillId="17" borderId="72" xfId="1" applyNumberFormat="1" applyFont="1" applyFill="1" applyBorder="1">
      <alignment vertical="center"/>
    </xf>
    <xf numFmtId="179" fontId="72" fillId="17" borderId="63" xfId="1" applyNumberFormat="1" applyFont="1" applyFill="1" applyBorder="1">
      <alignment vertical="center"/>
    </xf>
    <xf numFmtId="43" fontId="57" fillId="0" borderId="0" xfId="4" applyNumberFormat="1" applyFont="1" applyFill="1">
      <alignment vertical="center"/>
    </xf>
    <xf numFmtId="179" fontId="57" fillId="0" borderId="0" xfId="1" applyNumberFormat="1" applyFont="1" applyFill="1">
      <alignment vertical="center"/>
    </xf>
    <xf numFmtId="190" fontId="57" fillId="11" borderId="43" xfId="4" applyNumberFormat="1" applyFont="1" applyFill="1" applyBorder="1" applyAlignment="1">
      <alignment vertical="center" shrinkToFit="1"/>
    </xf>
    <xf numFmtId="179" fontId="13" fillId="4" borderId="43" xfId="1" applyNumberFormat="1" applyFont="1" applyFill="1" applyBorder="1" applyAlignment="1">
      <alignment horizontal="center" vertical="center"/>
    </xf>
    <xf numFmtId="1" fontId="57" fillId="0" borderId="0" xfId="4" applyNumberFormat="1" applyFont="1" applyFill="1">
      <alignment vertical="center"/>
    </xf>
    <xf numFmtId="43" fontId="64" fillId="0" borderId="67" xfId="4" applyNumberFormat="1" applyFont="1" applyFill="1" applyBorder="1" applyAlignment="1">
      <alignment vertical="center" shrinkToFit="1"/>
    </xf>
    <xf numFmtId="43" fontId="64" fillId="0" borderId="0" xfId="4" applyNumberFormat="1" applyFont="1">
      <alignment vertical="center"/>
    </xf>
    <xf numFmtId="41" fontId="56" fillId="0" borderId="0" xfId="1" applyFont="1">
      <alignment vertical="center"/>
    </xf>
    <xf numFmtId="186" fontId="57" fillId="0" borderId="0" xfId="138" applyFont="1" applyAlignment="1">
      <alignment horizontal="center" vertical="center" shrinkToFit="1"/>
    </xf>
    <xf numFmtId="183" fontId="21" fillId="11" borderId="42" xfId="0" applyNumberFormat="1" applyFont="1" applyFill="1" applyBorder="1" applyAlignment="1">
      <alignment horizontal="left" vertical="center"/>
    </xf>
    <xf numFmtId="183" fontId="57" fillId="0" borderId="0" xfId="138" applyNumberFormat="1" applyFont="1" applyAlignment="1">
      <alignment horizontal="left" vertical="center"/>
    </xf>
    <xf numFmtId="183" fontId="21" fillId="10" borderId="42" xfId="0" applyNumberFormat="1" applyFont="1" applyFill="1" applyBorder="1" applyAlignment="1">
      <alignment horizontal="left" vertical="center"/>
    </xf>
    <xf numFmtId="179" fontId="64" fillId="0" borderId="66" xfId="4" applyNumberFormat="1" applyFont="1" applyFill="1" applyBorder="1" applyAlignment="1">
      <alignment vertical="center" shrinkToFit="1"/>
    </xf>
    <xf numFmtId="0" fontId="85" fillId="0" borderId="1" xfId="0" applyFont="1" applyBorder="1" applyAlignment="1">
      <alignment horizontal="left" vertical="center"/>
    </xf>
    <xf numFmtId="0" fontId="86" fillId="0" borderId="1" xfId="0" applyFont="1" applyBorder="1" applyAlignment="1">
      <alignment horizontal="left" vertical="center"/>
    </xf>
    <xf numFmtId="41" fontId="57" fillId="11" borderId="42" xfId="1" applyFont="1" applyFill="1" applyBorder="1" applyAlignment="1">
      <alignment vertical="center" wrapText="1" shrinkToFit="1"/>
    </xf>
    <xf numFmtId="179" fontId="57" fillId="11" borderId="42" xfId="1" applyNumberFormat="1" applyFont="1" applyFill="1" applyBorder="1" applyAlignment="1">
      <alignment vertical="center" wrapText="1" shrinkToFit="1"/>
    </xf>
    <xf numFmtId="179" fontId="64" fillId="0" borderId="0" xfId="1" applyNumberFormat="1" applyFont="1" applyFill="1">
      <alignment vertical="center"/>
    </xf>
    <xf numFmtId="178" fontId="72" fillId="0" borderId="0" xfId="4" applyNumberFormat="1" applyFont="1" applyFill="1" applyBorder="1" applyAlignment="1">
      <alignment horizontal="center" vertical="center" shrinkToFit="1"/>
    </xf>
    <xf numFmtId="41" fontId="52" fillId="0" borderId="0" xfId="4" applyFont="1" applyFill="1" applyBorder="1" applyAlignment="1">
      <alignment vertical="center" shrinkToFit="1"/>
    </xf>
    <xf numFmtId="179" fontId="66" fillId="17" borderId="72" xfId="1" applyNumberFormat="1" applyFont="1" applyFill="1" applyBorder="1">
      <alignment vertical="center"/>
    </xf>
    <xf numFmtId="179" fontId="66" fillId="17" borderId="63" xfId="1" applyNumberFormat="1" applyFont="1" applyFill="1" applyBorder="1">
      <alignment vertical="center"/>
    </xf>
    <xf numFmtId="41" fontId="57" fillId="0" borderId="0" xfId="1" applyFont="1" applyAlignment="1">
      <alignment vertical="center" shrinkToFit="1"/>
    </xf>
    <xf numFmtId="178" fontId="45" fillId="2" borderId="9" xfId="4" applyNumberFormat="1" applyFont="1" applyFill="1" applyBorder="1" applyAlignment="1">
      <alignment horizontal="center" vertical="center" shrinkToFit="1"/>
    </xf>
    <xf numFmtId="179" fontId="72" fillId="17" borderId="42" xfId="1" applyNumberFormat="1" applyFont="1" applyFill="1" applyBorder="1">
      <alignment vertical="center"/>
    </xf>
    <xf numFmtId="179" fontId="66" fillId="17" borderId="42" xfId="1" applyNumberFormat="1" applyFont="1" applyFill="1" applyBorder="1">
      <alignment vertical="center"/>
    </xf>
    <xf numFmtId="189" fontId="66" fillId="17" borderId="42" xfId="138" applyNumberFormat="1" applyFont="1" applyFill="1" applyBorder="1" applyAlignment="1">
      <alignment horizontal="left" vertical="center"/>
    </xf>
    <xf numFmtId="179" fontId="57" fillId="4" borderId="42" xfId="4" applyNumberFormat="1" applyFont="1" applyFill="1" applyBorder="1" applyAlignment="1">
      <alignment vertical="center" shrinkToFit="1"/>
    </xf>
    <xf numFmtId="179" fontId="57" fillId="11" borderId="42" xfId="4" applyNumberFormat="1" applyFont="1" applyFill="1" applyBorder="1" applyAlignment="1">
      <alignment vertical="center" shrinkToFit="1"/>
    </xf>
    <xf numFmtId="186" fontId="57" fillId="0" borderId="42" xfId="138" applyFont="1" applyBorder="1" applyAlignment="1">
      <alignment horizontal="left" vertical="center" shrinkToFit="1"/>
    </xf>
    <xf numFmtId="179" fontId="57" fillId="5" borderId="42" xfId="4" applyNumberFormat="1" applyFont="1" applyFill="1" applyBorder="1" applyAlignment="1">
      <alignment vertical="center" shrinkToFit="1"/>
    </xf>
    <xf numFmtId="186" fontId="57" fillId="0" borderId="42" xfId="138" applyFont="1" applyBorder="1" applyAlignment="1">
      <alignment vertical="center" shrinkToFit="1"/>
    </xf>
    <xf numFmtId="0" fontId="52" fillId="11" borderId="42" xfId="0" applyFont="1" applyFill="1" applyBorder="1" applyAlignment="1">
      <alignment horizontal="center" vertical="center" wrapText="1"/>
    </xf>
    <xf numFmtId="179" fontId="57" fillId="11" borderId="42" xfId="1" applyNumberFormat="1" applyFont="1" applyFill="1" applyBorder="1" applyAlignment="1">
      <alignment horizontal="center" vertical="center"/>
    </xf>
    <xf numFmtId="0" fontId="57" fillId="0" borderId="42" xfId="0" applyFont="1" applyBorder="1" applyAlignment="1">
      <alignment horizontal="left" vertical="center"/>
    </xf>
    <xf numFmtId="0" fontId="52" fillId="0" borderId="42" xfId="0" applyFont="1" applyBorder="1" applyAlignment="1">
      <alignment horizontal="center" vertical="center" wrapText="1"/>
    </xf>
    <xf numFmtId="179" fontId="57" fillId="0" borderId="42" xfId="1" applyNumberFormat="1" applyFont="1" applyFill="1" applyBorder="1" applyAlignment="1">
      <alignment horizontal="center" vertical="center"/>
    </xf>
    <xf numFmtId="179" fontId="52" fillId="0" borderId="42" xfId="1" applyNumberFormat="1" applyFont="1" applyFill="1" applyBorder="1" applyAlignment="1">
      <alignment horizontal="center" vertical="center"/>
    </xf>
    <xf numFmtId="183" fontId="52" fillId="11" borderId="42" xfId="0" applyNumberFormat="1" applyFont="1" applyFill="1" applyBorder="1" applyAlignment="1">
      <alignment horizontal="left" vertical="center"/>
    </xf>
    <xf numFmtId="183" fontId="52" fillId="0" borderId="42" xfId="0" applyNumberFormat="1" applyFont="1" applyBorder="1" applyAlignment="1">
      <alignment horizontal="left" vertical="center"/>
    </xf>
    <xf numFmtId="0" fontId="57" fillId="0" borderId="42" xfId="0" applyFont="1" applyBorder="1" applyAlignment="1">
      <alignment horizontal="center" vertical="center"/>
    </xf>
    <xf numFmtId="177" fontId="57" fillId="0" borderId="42" xfId="0" applyNumberFormat="1" applyFont="1" applyBorder="1" applyAlignment="1">
      <alignment horizontal="center" vertical="center"/>
    </xf>
    <xf numFmtId="191" fontId="57" fillId="0" borderId="42" xfId="0" applyNumberFormat="1" applyFont="1" applyBorder="1" applyAlignment="1">
      <alignment horizontal="center" vertical="center"/>
    </xf>
    <xf numFmtId="0" fontId="57" fillId="0" borderId="42" xfId="0" applyFont="1" applyBorder="1" applyAlignment="1">
      <alignment vertical="center" wrapText="1"/>
    </xf>
    <xf numFmtId="177" fontId="57" fillId="0" borderId="1" xfId="4" applyNumberFormat="1" applyFont="1" applyBorder="1">
      <alignment vertical="center"/>
    </xf>
    <xf numFmtId="186" fontId="57" fillId="11" borderId="42" xfId="138" applyFont="1" applyFill="1" applyBorder="1" applyAlignment="1">
      <alignment horizontal="left" vertical="center" shrinkToFit="1"/>
    </xf>
    <xf numFmtId="179" fontId="57" fillId="0" borderId="42" xfId="4" applyNumberFormat="1" applyFont="1" applyFill="1" applyBorder="1" applyAlignment="1">
      <alignment vertical="center" shrinkToFit="1"/>
    </xf>
    <xf numFmtId="179" fontId="57" fillId="0" borderId="0" xfId="1" applyNumberFormat="1" applyFont="1" applyAlignment="1">
      <alignment vertical="center" shrinkToFit="1"/>
    </xf>
    <xf numFmtId="43" fontId="57" fillId="11" borderId="42" xfId="4" applyNumberFormat="1" applyFont="1" applyFill="1" applyBorder="1" applyAlignment="1">
      <alignment vertical="center" shrinkToFit="1"/>
    </xf>
    <xf numFmtId="179" fontId="57" fillId="20" borderId="42" xfId="4" applyNumberFormat="1" applyFont="1" applyFill="1" applyBorder="1" applyAlignment="1">
      <alignment vertical="center" shrinkToFit="1"/>
    </xf>
    <xf numFmtId="179" fontId="57" fillId="20" borderId="0" xfId="1" applyNumberFormat="1" applyFont="1" applyFill="1">
      <alignment vertical="center"/>
    </xf>
    <xf numFmtId="0" fontId="57" fillId="10" borderId="42" xfId="0" applyFont="1" applyFill="1" applyBorder="1" applyAlignment="1">
      <alignment horizontal="left" vertical="center"/>
    </xf>
    <xf numFmtId="183" fontId="52" fillId="10" borderId="42" xfId="0" applyNumberFormat="1" applyFont="1" applyFill="1" applyBorder="1" applyAlignment="1">
      <alignment horizontal="left" vertical="center"/>
    </xf>
    <xf numFmtId="0" fontId="52" fillId="10" borderId="42" xfId="0" applyFont="1" applyFill="1" applyBorder="1" applyAlignment="1">
      <alignment horizontal="center" vertical="center" wrapText="1"/>
    </xf>
    <xf numFmtId="179" fontId="57" fillId="10" borderId="42" xfId="1" applyNumberFormat="1" applyFont="1" applyFill="1" applyBorder="1" applyAlignment="1">
      <alignment horizontal="center" vertical="center" wrapText="1" shrinkToFit="1"/>
    </xf>
    <xf numFmtId="41" fontId="57" fillId="10" borderId="42" xfId="1" applyFont="1" applyFill="1" applyBorder="1" applyAlignment="1">
      <alignment horizontal="center" vertical="center" wrapText="1" shrinkToFit="1"/>
    </xf>
    <xf numFmtId="179" fontId="57" fillId="10" borderId="42" xfId="1" applyNumberFormat="1" applyFont="1" applyFill="1" applyBorder="1" applyAlignment="1">
      <alignment horizontal="center" vertical="center"/>
    </xf>
    <xf numFmtId="179" fontId="57" fillId="10" borderId="42" xfId="4" applyNumberFormat="1" applyFont="1" applyFill="1" applyBorder="1" applyAlignment="1">
      <alignment vertical="center" shrinkToFit="1"/>
    </xf>
    <xf numFmtId="186" fontId="57" fillId="10" borderId="42" xfId="138" applyFont="1" applyFill="1" applyBorder="1" applyAlignment="1">
      <alignment horizontal="left" vertical="center" shrinkToFit="1"/>
    </xf>
    <xf numFmtId="186" fontId="57" fillId="10" borderId="42" xfId="138" quotePrefix="1" applyFont="1" applyFill="1" applyBorder="1" applyAlignment="1">
      <alignment vertical="center" shrinkToFit="1"/>
    </xf>
    <xf numFmtId="179" fontId="57" fillId="11" borderId="0" xfId="1" applyNumberFormat="1" applyFont="1" applyFill="1">
      <alignment vertical="center"/>
    </xf>
    <xf numFmtId="4" fontId="15" fillId="0" borderId="0" xfId="0" applyNumberFormat="1" applyFont="1">
      <alignment vertical="center"/>
    </xf>
    <xf numFmtId="179" fontId="57" fillId="0" borderId="42" xfId="1" applyNumberFormat="1" applyFont="1" applyFill="1" applyBorder="1" applyAlignment="1">
      <alignment horizontal="center" vertical="center" wrapText="1" shrinkToFit="1"/>
    </xf>
    <xf numFmtId="41" fontId="57" fillId="0" borderId="42" xfId="1" applyFont="1" applyFill="1" applyBorder="1" applyAlignment="1">
      <alignment horizontal="center" vertical="center" wrapText="1" shrinkToFit="1"/>
    </xf>
    <xf numFmtId="0" fontId="57" fillId="11" borderId="42" xfId="0" applyFont="1" applyFill="1" applyBorder="1" applyAlignment="1">
      <alignment horizontal="left" vertical="center"/>
    </xf>
    <xf numFmtId="177" fontId="90" fillId="11" borderId="1" xfId="0" applyNumberFormat="1" applyFont="1" applyFill="1" applyBorder="1" applyAlignment="1">
      <alignment horizontal="center" vertical="center"/>
    </xf>
    <xf numFmtId="179" fontId="52" fillId="11" borderId="42" xfId="4" applyNumberFormat="1" applyFont="1" applyFill="1" applyBorder="1" applyAlignment="1">
      <alignment vertical="center" shrinkToFit="1"/>
    </xf>
    <xf numFmtId="179" fontId="64" fillId="0" borderId="42" xfId="4" applyNumberFormat="1" applyFont="1" applyFill="1" applyBorder="1" applyAlignment="1">
      <alignment vertical="center" shrinkToFit="1"/>
    </xf>
    <xf numFmtId="183" fontId="64" fillId="0" borderId="42" xfId="0" applyNumberFormat="1" applyFont="1" applyBorder="1" applyAlignment="1">
      <alignment horizontal="left" vertical="center"/>
    </xf>
    <xf numFmtId="186" fontId="94" fillId="0" borderId="42" xfId="138" quotePrefix="1" applyFont="1" applyBorder="1" applyAlignment="1">
      <alignment vertical="center" shrinkToFit="1"/>
    </xf>
    <xf numFmtId="188" fontId="46" fillId="17" borderId="73" xfId="138" applyNumberFormat="1" applyFont="1" applyFill="1" applyBorder="1" applyAlignment="1">
      <alignment horizontal="center" vertical="center"/>
    </xf>
    <xf numFmtId="186" fontId="46" fillId="17" borderId="73" xfId="138" applyFont="1" applyFill="1" applyBorder="1">
      <alignment vertical="center"/>
    </xf>
    <xf numFmtId="186" fontId="46" fillId="17" borderId="73" xfId="138" applyFont="1" applyFill="1" applyBorder="1" applyAlignment="1">
      <alignment horizontal="left" vertical="center"/>
    </xf>
    <xf numFmtId="186" fontId="46" fillId="17" borderId="73" xfId="138" applyFont="1" applyFill="1" applyBorder="1" applyAlignment="1">
      <alignment horizontal="center" vertical="center"/>
    </xf>
    <xf numFmtId="186" fontId="46" fillId="17" borderId="73" xfId="138" applyFont="1" applyFill="1" applyBorder="1" applyAlignment="1">
      <alignment vertical="center" shrinkToFit="1"/>
    </xf>
    <xf numFmtId="179" fontId="46" fillId="17" borderId="73" xfId="138" applyNumberFormat="1" applyFont="1" applyFill="1" applyBorder="1">
      <alignment vertical="center"/>
    </xf>
    <xf numFmtId="179" fontId="46" fillId="17" borderId="73" xfId="4" applyNumberFormat="1" applyFont="1" applyFill="1" applyBorder="1">
      <alignment vertical="center"/>
    </xf>
    <xf numFmtId="179" fontId="46" fillId="17" borderId="73" xfId="1" applyNumberFormat="1" applyFont="1" applyFill="1" applyBorder="1">
      <alignment vertical="center"/>
    </xf>
    <xf numFmtId="179" fontId="72" fillId="17" borderId="73" xfId="1" applyNumberFormat="1" applyFont="1" applyFill="1" applyBorder="1">
      <alignment vertical="center"/>
    </xf>
    <xf numFmtId="179" fontId="66" fillId="17" borderId="73" xfId="1" applyNumberFormat="1" applyFont="1" applyFill="1" applyBorder="1">
      <alignment vertical="center"/>
    </xf>
    <xf numFmtId="189" fontId="66" fillId="17" borderId="73" xfId="138" applyNumberFormat="1" applyFont="1" applyFill="1" applyBorder="1" applyAlignment="1">
      <alignment horizontal="left" vertical="center"/>
    </xf>
    <xf numFmtId="186" fontId="57" fillId="17" borderId="73" xfId="138" applyFont="1" applyFill="1" applyBorder="1" applyAlignment="1">
      <alignment vertical="center" shrinkToFit="1"/>
    </xf>
    <xf numFmtId="0" fontId="85" fillId="0" borderId="42" xfId="0" applyFont="1" applyBorder="1" applyAlignment="1">
      <alignment horizontal="left" vertical="center"/>
    </xf>
    <xf numFmtId="0" fontId="52" fillId="0" borderId="42" xfId="0" applyFont="1" applyBorder="1">
      <alignment vertical="center"/>
    </xf>
    <xf numFmtId="0" fontId="95" fillId="0" borderId="42" xfId="0" applyFont="1" applyBorder="1">
      <alignment vertical="center"/>
    </xf>
    <xf numFmtId="177" fontId="90" fillId="0" borderId="42" xfId="0" applyNumberFormat="1" applyFont="1" applyBorder="1" applyAlignment="1">
      <alignment horizontal="center" vertical="center"/>
    </xf>
    <xf numFmtId="186" fontId="64" fillId="0" borderId="42" xfId="138" applyFont="1" applyBorder="1">
      <alignment vertical="center"/>
    </xf>
    <xf numFmtId="177" fontId="85" fillId="0" borderId="42" xfId="0" applyNumberFormat="1" applyFont="1" applyBorder="1" applyAlignment="1">
      <alignment horizontal="center" vertical="center"/>
    </xf>
    <xf numFmtId="0" fontId="91" fillId="0" borderId="42" xfId="0" applyFont="1" applyBorder="1" applyAlignment="1">
      <alignment horizontal="center" vertical="center"/>
    </xf>
    <xf numFmtId="0" fontId="85" fillId="0" borderId="42" xfId="0" applyFont="1" applyBorder="1" applyAlignment="1">
      <alignment horizontal="center" vertical="center"/>
    </xf>
    <xf numFmtId="0" fontId="52" fillId="0" borderId="42" xfId="138" applyNumberFormat="1" applyFont="1" applyBorder="1" applyAlignment="1">
      <alignment horizontal="center" vertical="center" wrapText="1" shrinkToFit="1"/>
    </xf>
    <xf numFmtId="186" fontId="52" fillId="0" borderId="42" xfId="138" applyFont="1" applyBorder="1" applyAlignment="1">
      <alignment vertical="center" shrinkToFit="1"/>
    </xf>
    <xf numFmtId="43" fontId="52" fillId="0" borderId="0" xfId="138" applyNumberFormat="1" applyFont="1">
      <alignment vertical="center"/>
    </xf>
    <xf numFmtId="0" fontId="52" fillId="20" borderId="42" xfId="0" applyFont="1" applyFill="1" applyBorder="1">
      <alignment vertical="center"/>
    </xf>
    <xf numFmtId="183" fontId="52" fillId="20" borderId="42" xfId="0" applyNumberFormat="1" applyFont="1" applyFill="1" applyBorder="1" applyAlignment="1">
      <alignment horizontal="left" vertical="center"/>
    </xf>
    <xf numFmtId="0" fontId="52" fillId="20" borderId="42" xfId="0" applyFont="1" applyFill="1" applyBorder="1" applyAlignment="1">
      <alignment horizontal="center" vertical="center" wrapText="1"/>
    </xf>
    <xf numFmtId="0" fontId="52" fillId="20" borderId="42" xfId="138" applyNumberFormat="1" applyFont="1" applyFill="1" applyBorder="1" applyAlignment="1">
      <alignment horizontal="center" vertical="center" wrapText="1" shrinkToFit="1"/>
    </xf>
    <xf numFmtId="179" fontId="52" fillId="20" borderId="42" xfId="1" applyNumberFormat="1" applyFont="1" applyFill="1" applyBorder="1" applyAlignment="1">
      <alignment horizontal="center" vertical="center"/>
    </xf>
    <xf numFmtId="186" fontId="57" fillId="20" borderId="42" xfId="138" applyFont="1" applyFill="1" applyBorder="1" applyAlignment="1">
      <alignment horizontal="left" vertical="center" shrinkToFit="1"/>
    </xf>
    <xf numFmtId="179" fontId="57" fillId="8" borderId="42" xfId="4" applyNumberFormat="1" applyFont="1" applyFill="1" applyBorder="1" applyAlignment="1">
      <alignment vertical="center" shrinkToFit="1"/>
    </xf>
    <xf numFmtId="0" fontId="52" fillId="0" borderId="42" xfId="0" applyFont="1" applyBorder="1" applyAlignment="1">
      <alignment horizontal="left" vertical="center"/>
    </xf>
    <xf numFmtId="4" fontId="56" fillId="0" borderId="0" xfId="0" applyNumberFormat="1" applyFont="1">
      <alignment vertical="center"/>
    </xf>
    <xf numFmtId="0" fontId="57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77" fontId="52" fillId="0" borderId="42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64" fillId="0" borderId="42" xfId="0" applyFont="1" applyBorder="1" applyAlignment="1">
      <alignment horizontal="center" vertical="center"/>
    </xf>
    <xf numFmtId="0" fontId="97" fillId="0" borderId="0" xfId="137" applyNumberFormat="1" applyFont="1" applyAlignment="1">
      <alignment vertical="center"/>
    </xf>
    <xf numFmtId="183" fontId="97" fillId="0" borderId="0" xfId="137" applyNumberFormat="1" applyFont="1" applyAlignment="1">
      <alignment horizontal="center" vertical="center"/>
    </xf>
    <xf numFmtId="186" fontId="97" fillId="0" borderId="0" xfId="137" applyFont="1" applyAlignment="1">
      <alignment horizontal="center" vertical="center"/>
    </xf>
    <xf numFmtId="178" fontId="97" fillId="0" borderId="0" xfId="4" applyNumberFormat="1" applyFont="1" applyFill="1" applyAlignment="1">
      <alignment vertical="center"/>
    </xf>
    <xf numFmtId="187" fontId="97" fillId="0" borderId="0" xfId="4" applyNumberFormat="1" applyFont="1" applyFill="1" applyAlignment="1">
      <alignment vertical="center" shrinkToFit="1"/>
    </xf>
    <xf numFmtId="178" fontId="97" fillId="0" borderId="0" xfId="4" applyNumberFormat="1" applyFont="1" applyFill="1" applyAlignment="1">
      <alignment vertical="center" shrinkToFit="1"/>
    </xf>
    <xf numFmtId="178" fontId="97" fillId="0" borderId="0" xfId="4" applyNumberFormat="1" applyFont="1" applyFill="1" applyBorder="1" applyAlignment="1">
      <alignment vertical="center"/>
    </xf>
    <xf numFmtId="178" fontId="97" fillId="0" borderId="0" xfId="137" applyNumberFormat="1" applyFont="1" applyAlignment="1">
      <alignment vertical="center"/>
    </xf>
    <xf numFmtId="186" fontId="97" fillId="0" borderId="0" xfId="137" applyFont="1" applyAlignment="1">
      <alignment vertical="center"/>
    </xf>
    <xf numFmtId="186" fontId="97" fillId="0" borderId="0" xfId="137" applyFont="1" applyAlignment="1">
      <alignment vertical="center" shrinkToFit="1"/>
    </xf>
    <xf numFmtId="0" fontId="98" fillId="0" borderId="0" xfId="137" applyNumberFormat="1" applyFont="1" applyAlignment="1">
      <alignment vertical="center"/>
    </xf>
    <xf numFmtId="186" fontId="99" fillId="0" borderId="0" xfId="138" applyFont="1">
      <alignment vertical="center"/>
    </xf>
    <xf numFmtId="186" fontId="100" fillId="0" borderId="0" xfId="138" applyFont="1">
      <alignment vertical="center"/>
    </xf>
    <xf numFmtId="0" fontId="99" fillId="0" borderId="0" xfId="138" applyNumberFormat="1" applyFont="1">
      <alignment vertical="center"/>
    </xf>
    <xf numFmtId="183" fontId="101" fillId="0" borderId="0" xfId="138" applyNumberFormat="1" applyFont="1" applyAlignment="1">
      <alignment horizontal="left" vertical="center"/>
    </xf>
    <xf numFmtId="43" fontId="57" fillId="0" borderId="0" xfId="138" applyNumberFormat="1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86" fontId="57" fillId="0" borderId="0" xfId="138" applyFont="1" applyAlignment="1">
      <alignment horizontal="center" vertical="center"/>
    </xf>
    <xf numFmtId="179" fontId="57" fillId="0" borderId="0" xfId="4" applyNumberFormat="1" applyFont="1" applyFill="1" applyBorder="1">
      <alignment vertical="center"/>
    </xf>
    <xf numFmtId="179" fontId="73" fillId="0" borderId="0" xfId="1" applyNumberFormat="1" applyFont="1" applyAlignment="1">
      <alignment horizontal="right" vertical="center"/>
    </xf>
    <xf numFmtId="179" fontId="57" fillId="0" borderId="0" xfId="1" applyNumberFormat="1" applyFont="1" applyAlignment="1">
      <alignment horizontal="right" vertical="center"/>
    </xf>
    <xf numFmtId="0" fontId="57" fillId="10" borderId="1" xfId="0" applyFont="1" applyFill="1" applyBorder="1" applyAlignment="1">
      <alignment horizontal="center" vertical="center"/>
    </xf>
    <xf numFmtId="0" fontId="52" fillId="10" borderId="1" xfId="0" applyFont="1" applyFill="1" applyBorder="1" applyAlignment="1">
      <alignment horizontal="center" vertical="center" wrapText="1"/>
    </xf>
    <xf numFmtId="177" fontId="57" fillId="10" borderId="42" xfId="0" applyNumberFormat="1" applyFont="1" applyFill="1" applyBorder="1" applyAlignment="1">
      <alignment horizontal="center" vertical="center"/>
    </xf>
    <xf numFmtId="0" fontId="57" fillId="10" borderId="42" xfId="0" applyFont="1" applyFill="1" applyBorder="1" applyAlignment="1">
      <alignment horizontal="center" vertical="center"/>
    </xf>
    <xf numFmtId="183" fontId="57" fillId="8" borderId="42" xfId="138" applyNumberFormat="1" applyFont="1" applyFill="1" applyBorder="1" applyAlignment="1">
      <alignment horizontal="center" vertical="center" wrapText="1" shrinkToFit="1"/>
    </xf>
    <xf numFmtId="0" fontId="57" fillId="8" borderId="42" xfId="0" applyFont="1" applyFill="1" applyBorder="1" applyAlignment="1">
      <alignment horizontal="left" vertical="center"/>
    </xf>
    <xf numFmtId="0" fontId="57" fillId="8" borderId="1" xfId="0" applyFont="1" applyFill="1" applyBorder="1" applyAlignment="1">
      <alignment horizontal="center" vertical="center"/>
    </xf>
    <xf numFmtId="0" fontId="52" fillId="8" borderId="1" xfId="0" applyFont="1" applyFill="1" applyBorder="1" applyAlignment="1">
      <alignment horizontal="center" vertical="center" wrapText="1"/>
    </xf>
    <xf numFmtId="0" fontId="57" fillId="8" borderId="42" xfId="138" applyNumberFormat="1" applyFont="1" applyFill="1" applyBorder="1" applyAlignment="1">
      <alignment horizontal="center" vertical="center" wrapText="1" shrinkToFit="1"/>
    </xf>
    <xf numFmtId="177" fontId="52" fillId="8" borderId="42" xfId="0" applyNumberFormat="1" applyFont="1" applyFill="1" applyBorder="1" applyAlignment="1">
      <alignment horizontal="center" vertical="center"/>
    </xf>
    <xf numFmtId="186" fontId="64" fillId="8" borderId="42" xfId="138" applyFont="1" applyFill="1" applyBorder="1">
      <alignment vertical="center"/>
    </xf>
    <xf numFmtId="179" fontId="57" fillId="8" borderId="42" xfId="1" applyNumberFormat="1" applyFont="1" applyFill="1" applyBorder="1" applyAlignment="1">
      <alignment horizontal="center" vertical="center"/>
    </xf>
    <xf numFmtId="182" fontId="52" fillId="8" borderId="42" xfId="4" applyNumberFormat="1" applyFont="1" applyFill="1" applyBorder="1" applyAlignment="1">
      <alignment horizontal="right" vertical="center" shrinkToFit="1"/>
    </xf>
    <xf numFmtId="186" fontId="57" fillId="8" borderId="42" xfId="138" applyFont="1" applyFill="1" applyBorder="1" applyAlignment="1">
      <alignment horizontal="left" vertical="center" shrinkToFit="1"/>
    </xf>
    <xf numFmtId="186" fontId="57" fillId="8" borderId="42" xfId="138" quotePrefix="1" applyFont="1" applyFill="1" applyBorder="1" applyAlignment="1">
      <alignment vertical="center" shrinkToFit="1"/>
    </xf>
    <xf numFmtId="0" fontId="52" fillId="8" borderId="1" xfId="0" applyFont="1" applyFill="1" applyBorder="1" applyAlignment="1">
      <alignment horizontal="center" vertical="center"/>
    </xf>
    <xf numFmtId="183" fontId="57" fillId="18" borderId="42" xfId="138" applyNumberFormat="1" applyFont="1" applyFill="1" applyBorder="1" applyAlignment="1">
      <alignment horizontal="center" vertical="center" wrapText="1" shrinkToFit="1"/>
    </xf>
    <xf numFmtId="0" fontId="57" fillId="18" borderId="42" xfId="0" applyFont="1" applyFill="1" applyBorder="1" applyAlignment="1">
      <alignment horizontal="left" vertical="center"/>
    </xf>
    <xf numFmtId="183" fontId="52" fillId="18" borderId="42" xfId="0" applyNumberFormat="1" applyFont="1" applyFill="1" applyBorder="1" applyAlignment="1">
      <alignment horizontal="left" vertical="center"/>
    </xf>
    <xf numFmtId="0" fontId="52" fillId="18" borderId="42" xfId="0" applyFont="1" applyFill="1" applyBorder="1" applyAlignment="1">
      <alignment horizontal="center" vertical="center" wrapText="1"/>
    </xf>
    <xf numFmtId="0" fontId="57" fillId="18" borderId="42" xfId="138" applyNumberFormat="1" applyFont="1" applyFill="1" applyBorder="1" applyAlignment="1">
      <alignment horizontal="center" vertical="center" wrapText="1" shrinkToFit="1"/>
    </xf>
    <xf numFmtId="179" fontId="57" fillId="18" borderId="42" xfId="1" applyNumberFormat="1" applyFont="1" applyFill="1" applyBorder="1" applyAlignment="1">
      <alignment horizontal="center" vertical="center"/>
    </xf>
    <xf numFmtId="182" fontId="52" fillId="18" borderId="42" xfId="4" applyNumberFormat="1" applyFont="1" applyFill="1" applyBorder="1" applyAlignment="1">
      <alignment horizontal="right" vertical="center" shrinkToFit="1"/>
    </xf>
    <xf numFmtId="179" fontId="57" fillId="18" borderId="42" xfId="4" applyNumberFormat="1" applyFont="1" applyFill="1" applyBorder="1" applyAlignment="1">
      <alignment vertical="center" shrinkToFit="1"/>
    </xf>
    <xf numFmtId="186" fontId="57" fillId="18" borderId="42" xfId="138" applyFont="1" applyFill="1" applyBorder="1" applyAlignment="1">
      <alignment horizontal="left" vertical="center" shrinkToFit="1"/>
    </xf>
    <xf numFmtId="186" fontId="57" fillId="18" borderId="42" xfId="138" quotePrefix="1" applyFont="1" applyFill="1" applyBorder="1" applyAlignment="1">
      <alignment vertical="center" shrinkToFit="1"/>
    </xf>
    <xf numFmtId="41" fontId="56" fillId="0" borderId="0" xfId="138" applyNumberFormat="1" applyFont="1">
      <alignment vertical="center"/>
    </xf>
    <xf numFmtId="41" fontId="57" fillId="18" borderId="42" xfId="1" applyFont="1" applyFill="1" applyBorder="1" applyAlignment="1">
      <alignment horizontal="center" vertical="center" wrapText="1" shrinkToFit="1"/>
    </xf>
    <xf numFmtId="183" fontId="67" fillId="2" borderId="42" xfId="4" applyNumberFormat="1" applyFont="1" applyFill="1" applyBorder="1" applyAlignment="1">
      <alignment horizontal="center" vertical="center"/>
    </xf>
    <xf numFmtId="178" fontId="67" fillId="2" borderId="42" xfId="4" applyNumberFormat="1" applyFont="1" applyFill="1" applyBorder="1" applyAlignment="1">
      <alignment horizontal="center" vertical="center"/>
    </xf>
    <xf numFmtId="186" fontId="67" fillId="2" borderId="42" xfId="4" applyNumberFormat="1" applyFont="1" applyFill="1" applyBorder="1" applyAlignment="1">
      <alignment horizontal="center" vertical="center"/>
    </xf>
    <xf numFmtId="178" fontId="67" fillId="2" borderId="42" xfId="4" applyNumberFormat="1" applyFont="1" applyFill="1" applyBorder="1" applyAlignment="1">
      <alignment horizontal="center" vertical="center" shrinkToFit="1"/>
    </xf>
    <xf numFmtId="183" fontId="45" fillId="2" borderId="42" xfId="4" applyNumberFormat="1" applyFont="1" applyFill="1" applyBorder="1" applyAlignment="1">
      <alignment horizontal="center" vertical="center"/>
    </xf>
    <xf numFmtId="178" fontId="45" fillId="2" borderId="42" xfId="4" applyNumberFormat="1" applyFont="1" applyFill="1" applyBorder="1" applyAlignment="1">
      <alignment horizontal="center" vertical="center"/>
    </xf>
    <xf numFmtId="186" fontId="45" fillId="2" borderId="42" xfId="4" applyNumberFormat="1" applyFont="1" applyFill="1" applyBorder="1" applyAlignment="1">
      <alignment horizontal="center" vertical="center"/>
    </xf>
    <xf numFmtId="178" fontId="45" fillId="2" borderId="42" xfId="4" applyNumberFormat="1" applyFont="1" applyFill="1" applyBorder="1" applyAlignment="1">
      <alignment horizontal="center" vertical="center" shrinkToFit="1"/>
    </xf>
    <xf numFmtId="179" fontId="45" fillId="2" borderId="42" xfId="4" applyNumberFormat="1" applyFont="1" applyFill="1" applyBorder="1" applyAlignment="1">
      <alignment horizontal="center" vertical="center"/>
    </xf>
    <xf numFmtId="179" fontId="45" fillId="2" borderId="42" xfId="4" applyNumberFormat="1" applyFont="1" applyFill="1" applyBorder="1" applyAlignment="1">
      <alignment horizontal="center" vertical="center" shrinkToFit="1"/>
    </xf>
    <xf numFmtId="178" fontId="45" fillId="2" borderId="42" xfId="138" applyNumberFormat="1" applyFont="1" applyFill="1" applyBorder="1" applyAlignment="1">
      <alignment horizontal="center" vertical="center"/>
    </xf>
    <xf numFmtId="0" fontId="57" fillId="8" borderId="42" xfId="0" applyFont="1" applyFill="1" applyBorder="1" applyAlignment="1">
      <alignment horizontal="center" vertical="center"/>
    </xf>
    <xf numFmtId="0" fontId="52" fillId="8" borderId="42" xfId="0" applyFont="1" applyFill="1" applyBorder="1" applyAlignment="1">
      <alignment horizontal="center" vertical="center"/>
    </xf>
    <xf numFmtId="0" fontId="52" fillId="8" borderId="42" xfId="0" applyFont="1" applyFill="1" applyBorder="1" applyAlignment="1">
      <alignment horizontal="center" vertical="center" wrapText="1"/>
    </xf>
    <xf numFmtId="0" fontId="52" fillId="0" borderId="42" xfId="0" applyFont="1" applyBorder="1" applyAlignment="1">
      <alignment horizontal="center" vertical="center"/>
    </xf>
    <xf numFmtId="183" fontId="46" fillId="0" borderId="0" xfId="138" applyNumberFormat="1" applyFont="1" applyAlignment="1">
      <alignment horizontal="left" vertical="center"/>
    </xf>
    <xf numFmtId="183" fontId="57" fillId="8" borderId="42" xfId="0" applyNumberFormat="1" applyFont="1" applyFill="1" applyBorder="1" applyAlignment="1">
      <alignment horizontal="center" vertical="center"/>
    </xf>
    <xf numFmtId="183" fontId="57" fillId="0" borderId="42" xfId="0" applyNumberFormat="1" applyFont="1" applyBorder="1" applyAlignment="1">
      <alignment horizontal="center" vertical="center"/>
    </xf>
    <xf numFmtId="184" fontId="57" fillId="0" borderId="42" xfId="0" applyNumberFormat="1" applyFont="1" applyBorder="1" applyAlignment="1">
      <alignment horizontal="center" vertical="center"/>
    </xf>
    <xf numFmtId="179" fontId="52" fillId="0" borderId="42" xfId="1" applyNumberFormat="1" applyFont="1" applyFill="1" applyBorder="1" applyAlignment="1">
      <alignment horizontal="center" vertical="center" wrapText="1"/>
    </xf>
    <xf numFmtId="179" fontId="52" fillId="0" borderId="42" xfId="1" applyNumberFormat="1" applyFont="1" applyFill="1" applyBorder="1" applyAlignment="1">
      <alignment horizontal="center" vertical="center" wrapText="1" shrinkToFit="1"/>
    </xf>
    <xf numFmtId="186" fontId="52" fillId="0" borderId="1" xfId="138" applyFont="1" applyBorder="1" applyAlignment="1">
      <alignment horizontal="left" vertical="center"/>
    </xf>
    <xf numFmtId="41" fontId="52" fillId="0" borderId="1" xfId="4" applyFont="1" applyFill="1" applyBorder="1" applyAlignment="1">
      <alignment vertical="center" shrinkToFit="1"/>
    </xf>
    <xf numFmtId="186" fontId="52" fillId="0" borderId="1" xfId="138" applyFont="1" applyBorder="1">
      <alignment vertical="center"/>
    </xf>
    <xf numFmtId="186" fontId="52" fillId="3" borderId="1" xfId="138" applyFont="1" applyFill="1" applyBorder="1">
      <alignment vertical="center"/>
    </xf>
    <xf numFmtId="179" fontId="52" fillId="3" borderId="1" xfId="4" applyNumberFormat="1" applyFont="1" applyFill="1" applyBorder="1">
      <alignment vertical="center"/>
    </xf>
    <xf numFmtId="41" fontId="52" fillId="3" borderId="1" xfId="4" applyFont="1" applyFill="1" applyBorder="1" applyAlignment="1">
      <alignment vertical="center" shrinkToFit="1"/>
    </xf>
    <xf numFmtId="179" fontId="52" fillId="0" borderId="1" xfId="4" applyNumberFormat="1" applyFont="1" applyBorder="1" applyAlignment="1">
      <alignment vertical="center" shrinkToFit="1"/>
    </xf>
    <xf numFmtId="186" fontId="52" fillId="0" borderId="0" xfId="137" applyFont="1" applyAlignment="1">
      <alignment horizontal="left" vertical="center"/>
    </xf>
    <xf numFmtId="178" fontId="45" fillId="2" borderId="1" xfId="4" applyNumberFormat="1" applyFont="1" applyFill="1" applyBorder="1" applyAlignment="1">
      <alignment horizontal="left" vertical="center"/>
    </xf>
    <xf numFmtId="186" fontId="57" fillId="3" borderId="1" xfId="138" applyFont="1" applyFill="1" applyBorder="1" applyAlignment="1">
      <alignment horizontal="left" vertical="center"/>
    </xf>
    <xf numFmtId="186" fontId="45" fillId="2" borderId="4" xfId="138" applyFont="1" applyFill="1" applyBorder="1" applyAlignment="1">
      <alignment horizontal="left" vertical="center" shrinkToFit="1"/>
    </xf>
    <xf numFmtId="178" fontId="67" fillId="2" borderId="42" xfId="4" applyNumberFormat="1" applyFont="1" applyFill="1" applyBorder="1" applyAlignment="1">
      <alignment horizontal="left" vertical="center"/>
    </xf>
    <xf numFmtId="178" fontId="45" fillId="2" borderId="42" xfId="4" applyNumberFormat="1" applyFont="1" applyFill="1" applyBorder="1" applyAlignment="1">
      <alignment horizontal="left" vertical="center"/>
    </xf>
    <xf numFmtId="178" fontId="52" fillId="0" borderId="0" xfId="4" applyNumberFormat="1" applyFont="1" applyFill="1" applyAlignment="1">
      <alignment horizontal="center" vertical="center" shrinkToFit="1"/>
    </xf>
    <xf numFmtId="179" fontId="57" fillId="0" borderId="0" xfId="4" applyNumberFormat="1" applyFont="1" applyAlignment="1">
      <alignment horizontal="center" vertical="center" shrinkToFit="1"/>
    </xf>
    <xf numFmtId="178" fontId="63" fillId="0" borderId="0" xfId="4" applyNumberFormat="1" applyFont="1" applyFill="1" applyAlignment="1">
      <alignment horizontal="center" vertical="center" shrinkToFit="1"/>
    </xf>
    <xf numFmtId="179" fontId="52" fillId="0" borderId="1" xfId="4" applyNumberFormat="1" applyFont="1" applyBorder="1" applyAlignment="1">
      <alignment horizontal="center" vertical="center"/>
    </xf>
    <xf numFmtId="179" fontId="52" fillId="0" borderId="1" xfId="4" applyNumberFormat="1" applyFont="1" applyFill="1" applyBorder="1" applyAlignment="1">
      <alignment horizontal="center" vertical="center"/>
    </xf>
    <xf numFmtId="179" fontId="64" fillId="3" borderId="1" xfId="4" applyNumberFormat="1" applyFont="1" applyFill="1" applyBorder="1" applyAlignment="1">
      <alignment horizontal="center" vertical="center"/>
    </xf>
    <xf numFmtId="179" fontId="57" fillId="0" borderId="1" xfId="4" applyNumberFormat="1" applyFont="1" applyBorder="1" applyAlignment="1">
      <alignment horizontal="center" vertical="center"/>
    </xf>
    <xf numFmtId="179" fontId="57" fillId="0" borderId="0" xfId="1" applyNumberFormat="1" applyFont="1" applyAlignment="1">
      <alignment horizontal="center" vertical="center" shrinkToFit="1"/>
    </xf>
    <xf numFmtId="179" fontId="73" fillId="0" borderId="0" xfId="1" applyNumberFormat="1" applyFont="1" applyAlignment="1">
      <alignment horizontal="center" vertical="center"/>
    </xf>
    <xf numFmtId="179" fontId="46" fillId="17" borderId="42" xfId="4" applyNumberFormat="1" applyFont="1" applyFill="1" applyBorder="1" applyAlignment="1">
      <alignment horizontal="center" vertical="center"/>
    </xf>
    <xf numFmtId="177" fontId="52" fillId="11" borderId="42" xfId="0" applyNumberFormat="1" applyFont="1" applyFill="1" applyBorder="1" applyAlignment="1">
      <alignment horizontal="center" vertical="center"/>
    </xf>
    <xf numFmtId="179" fontId="85" fillId="0" borderId="42" xfId="1" applyNumberFormat="1" applyFont="1" applyBorder="1" applyAlignment="1">
      <alignment horizontal="center" vertical="center"/>
    </xf>
    <xf numFmtId="177" fontId="85" fillId="11" borderId="42" xfId="0" applyNumberFormat="1" applyFont="1" applyFill="1" applyBorder="1" applyAlignment="1">
      <alignment horizontal="center" vertical="center"/>
    </xf>
    <xf numFmtId="179" fontId="45" fillId="2" borderId="42" xfId="1" applyNumberFormat="1" applyFont="1" applyFill="1" applyBorder="1" applyAlignment="1">
      <alignment horizontal="center" vertical="center"/>
    </xf>
    <xf numFmtId="179" fontId="57" fillId="4" borderId="0" xfId="1" applyNumberFormat="1" applyFont="1" applyFill="1">
      <alignment vertical="center"/>
    </xf>
    <xf numFmtId="185" fontId="57" fillId="11" borderId="42" xfId="4" applyNumberFormat="1" applyFont="1" applyFill="1" applyBorder="1" applyAlignment="1">
      <alignment vertical="center" shrinkToFit="1"/>
    </xf>
    <xf numFmtId="179" fontId="52" fillId="0" borderId="0" xfId="4" applyNumberFormat="1" applyFont="1" applyAlignment="1">
      <alignment horizontal="left" vertical="center"/>
    </xf>
    <xf numFmtId="179" fontId="104" fillId="2" borderId="1" xfId="4" applyNumberFormat="1" applyFont="1" applyFill="1" applyBorder="1" applyAlignment="1">
      <alignment vertical="center" shrinkToFit="1"/>
    </xf>
    <xf numFmtId="41" fontId="52" fillId="0" borderId="0" xfId="1" applyFont="1" applyAlignment="1">
      <alignment horizontal="left" vertical="center"/>
    </xf>
    <xf numFmtId="179" fontId="57" fillId="11" borderId="42" xfId="1" applyNumberFormat="1" applyFont="1" applyFill="1" applyBorder="1" applyAlignment="1">
      <alignment vertical="center" shrinkToFit="1"/>
    </xf>
    <xf numFmtId="179" fontId="52" fillId="11" borderId="42" xfId="1" applyNumberFormat="1" applyFont="1" applyFill="1" applyBorder="1" applyAlignment="1">
      <alignment vertical="center" shrinkToFit="1"/>
    </xf>
    <xf numFmtId="179" fontId="52" fillId="9" borderId="42" xfId="4" applyNumberFormat="1" applyFont="1" applyFill="1" applyBorder="1" applyAlignment="1">
      <alignment vertical="center" shrinkToFit="1"/>
    </xf>
    <xf numFmtId="183" fontId="57" fillId="11" borderId="42" xfId="0" applyNumberFormat="1" applyFont="1" applyFill="1" applyBorder="1" applyAlignment="1">
      <alignment horizontal="center" vertical="center"/>
    </xf>
    <xf numFmtId="0" fontId="57" fillId="11" borderId="42" xfId="0" applyFont="1" applyFill="1" applyBorder="1" applyAlignment="1">
      <alignment horizontal="center" vertical="center"/>
    </xf>
    <xf numFmtId="179" fontId="52" fillId="4" borderId="42" xfId="4" applyNumberFormat="1" applyFont="1" applyFill="1" applyBorder="1" applyAlignment="1">
      <alignment vertical="center" shrinkToFit="1"/>
    </xf>
    <xf numFmtId="0" fontId="105" fillId="0" borderId="42" xfId="0" applyFont="1" applyBorder="1" applyAlignment="1">
      <alignment horizontal="left" vertical="center"/>
    </xf>
    <xf numFmtId="0" fontId="85" fillId="11" borderId="42" xfId="0" applyFont="1" applyFill="1" applyBorder="1" applyAlignment="1">
      <alignment horizontal="left" vertical="center"/>
    </xf>
    <xf numFmtId="177" fontId="90" fillId="11" borderId="42" xfId="0" applyNumberFormat="1" applyFont="1" applyFill="1" applyBorder="1" applyAlignment="1">
      <alignment horizontal="center" vertical="center"/>
    </xf>
    <xf numFmtId="186" fontId="64" fillId="11" borderId="42" xfId="138" applyFont="1" applyFill="1" applyBorder="1">
      <alignment vertical="center"/>
    </xf>
    <xf numFmtId="0" fontId="85" fillId="0" borderId="42" xfId="0" applyFont="1" applyBorder="1" applyAlignment="1">
      <alignment horizontal="center" vertical="center" wrapText="1"/>
    </xf>
    <xf numFmtId="186" fontId="57" fillId="0" borderId="42" xfId="138" quotePrefix="1" applyFont="1" applyBorder="1" applyAlignment="1">
      <alignment horizontal="left" vertical="center" shrinkToFit="1"/>
    </xf>
    <xf numFmtId="0" fontId="86" fillId="0" borderId="42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/>
    </xf>
    <xf numFmtId="0" fontId="70" fillId="0" borderId="42" xfId="0" applyFont="1" applyBorder="1" applyAlignment="1">
      <alignment horizontal="left" vertical="center" wrapText="1"/>
    </xf>
    <xf numFmtId="179" fontId="46" fillId="17" borderId="42" xfId="1" applyNumberFormat="1" applyFont="1" applyFill="1" applyBorder="1" applyAlignment="1">
      <alignment horizontal="center" vertical="center"/>
    </xf>
    <xf numFmtId="179" fontId="90" fillId="0" borderId="42" xfId="1" applyNumberFormat="1" applyFont="1" applyBorder="1" applyAlignment="1">
      <alignment horizontal="center" vertical="center"/>
    </xf>
    <xf numFmtId="179" fontId="52" fillId="11" borderId="42" xfId="1" applyNumberFormat="1" applyFont="1" applyFill="1" applyBorder="1" applyAlignment="1">
      <alignment horizontal="center" vertical="center"/>
    </xf>
    <xf numFmtId="179" fontId="57" fillId="0" borderId="42" xfId="1" applyNumberFormat="1" applyFont="1" applyBorder="1" applyAlignment="1">
      <alignment horizontal="center" vertical="center"/>
    </xf>
    <xf numFmtId="0" fontId="57" fillId="11" borderId="0" xfId="138" applyNumberFormat="1" applyFont="1" applyFill="1">
      <alignment vertical="center"/>
    </xf>
    <xf numFmtId="186" fontId="57" fillId="11" borderId="0" xfId="138" applyFont="1" applyFill="1">
      <alignment vertical="center"/>
    </xf>
    <xf numFmtId="186" fontId="64" fillId="11" borderId="0" xfId="138" applyFont="1" applyFill="1">
      <alignment vertical="center"/>
    </xf>
    <xf numFmtId="179" fontId="90" fillId="0" borderId="42" xfId="1" applyNumberFormat="1" applyFont="1" applyFill="1" applyBorder="1" applyAlignment="1">
      <alignment horizontal="center" vertical="center"/>
    </xf>
    <xf numFmtId="179" fontId="85" fillId="0" borderId="42" xfId="1" applyNumberFormat="1" applyFont="1" applyBorder="1" applyAlignment="1">
      <alignment horizontal="center" vertical="center" wrapText="1"/>
    </xf>
    <xf numFmtId="183" fontId="57" fillId="11" borderId="73" xfId="0" applyNumberFormat="1" applyFont="1" applyFill="1" applyBorder="1" applyAlignment="1">
      <alignment horizontal="center" vertical="center"/>
    </xf>
    <xf numFmtId="0" fontId="57" fillId="11" borderId="73" xfId="0" applyFont="1" applyFill="1" applyBorder="1" applyAlignment="1">
      <alignment horizontal="center" vertical="center"/>
    </xf>
    <xf numFmtId="0" fontId="52" fillId="11" borderId="73" xfId="0" applyFont="1" applyFill="1" applyBorder="1" applyAlignment="1">
      <alignment horizontal="center" vertical="center" wrapText="1"/>
    </xf>
    <xf numFmtId="177" fontId="52" fillId="11" borderId="73" xfId="0" applyNumberFormat="1" applyFont="1" applyFill="1" applyBorder="1" applyAlignment="1">
      <alignment horizontal="center" vertical="center"/>
    </xf>
    <xf numFmtId="177" fontId="90" fillId="11" borderId="73" xfId="0" applyNumberFormat="1" applyFont="1" applyFill="1" applyBorder="1" applyAlignment="1">
      <alignment horizontal="center" vertical="center"/>
    </xf>
    <xf numFmtId="179" fontId="90" fillId="11" borderId="73" xfId="1" applyNumberFormat="1" applyFont="1" applyFill="1" applyBorder="1" applyAlignment="1">
      <alignment horizontal="center" vertical="center"/>
    </xf>
    <xf numFmtId="182" fontId="52" fillId="11" borderId="73" xfId="4" applyNumberFormat="1" applyFont="1" applyFill="1" applyBorder="1" applyAlignment="1">
      <alignment horizontal="right" vertical="center" shrinkToFit="1"/>
    </xf>
    <xf numFmtId="179" fontId="52" fillId="11" borderId="73" xfId="4" applyNumberFormat="1" applyFont="1" applyFill="1" applyBorder="1" applyAlignment="1">
      <alignment vertical="center" shrinkToFit="1"/>
    </xf>
    <xf numFmtId="179" fontId="57" fillId="11" borderId="73" xfId="4" applyNumberFormat="1" applyFont="1" applyFill="1" applyBorder="1" applyAlignment="1">
      <alignment vertical="center" shrinkToFit="1"/>
    </xf>
    <xf numFmtId="186" fontId="57" fillId="11" borderId="73" xfId="138" applyFont="1" applyFill="1" applyBorder="1" applyAlignment="1">
      <alignment horizontal="left" vertical="center" shrinkToFit="1"/>
    </xf>
    <xf numFmtId="186" fontId="57" fillId="11" borderId="73" xfId="138" quotePrefix="1" applyFont="1" applyFill="1" applyBorder="1" applyAlignment="1">
      <alignment vertical="center" shrinkToFit="1"/>
    </xf>
    <xf numFmtId="183" fontId="57" fillId="9" borderId="73" xfId="0" applyNumberFormat="1" applyFont="1" applyFill="1" applyBorder="1" applyAlignment="1">
      <alignment horizontal="center" vertical="center"/>
    </xf>
    <xf numFmtId="0" fontId="85" fillId="9" borderId="73" xfId="0" applyFont="1" applyFill="1" applyBorder="1" applyAlignment="1">
      <alignment horizontal="left" vertical="center"/>
    </xf>
    <xf numFmtId="186" fontId="57" fillId="9" borderId="73" xfId="138" applyFont="1" applyFill="1" applyBorder="1" applyAlignment="1">
      <alignment vertical="center" shrinkToFit="1"/>
    </xf>
    <xf numFmtId="0" fontId="57" fillId="9" borderId="73" xfId="0" applyFont="1" applyFill="1" applyBorder="1" applyAlignment="1">
      <alignment horizontal="center" vertical="center"/>
    </xf>
    <xf numFmtId="177" fontId="52" fillId="9" borderId="73" xfId="0" applyNumberFormat="1" applyFont="1" applyFill="1" applyBorder="1" applyAlignment="1">
      <alignment horizontal="center" vertical="center"/>
    </xf>
    <xf numFmtId="179" fontId="57" fillId="9" borderId="73" xfId="1" applyNumberFormat="1" applyFont="1" applyFill="1" applyBorder="1" applyAlignment="1">
      <alignment horizontal="center" vertical="center"/>
    </xf>
    <xf numFmtId="182" fontId="52" fillId="9" borderId="73" xfId="4" applyNumberFormat="1" applyFont="1" applyFill="1" applyBorder="1" applyAlignment="1">
      <alignment horizontal="right" vertical="center" shrinkToFit="1"/>
    </xf>
    <xf numFmtId="179" fontId="52" fillId="4" borderId="73" xfId="4" applyNumberFormat="1" applyFont="1" applyFill="1" applyBorder="1" applyAlignment="1">
      <alignment vertical="center" shrinkToFit="1"/>
    </xf>
    <xf numFmtId="179" fontId="57" fillId="9" borderId="73" xfId="4" applyNumberFormat="1" applyFont="1" applyFill="1" applyBorder="1" applyAlignment="1">
      <alignment vertical="center" shrinkToFit="1"/>
    </xf>
    <xf numFmtId="186" fontId="57" fillId="9" borderId="73" xfId="138" applyFont="1" applyFill="1" applyBorder="1" applyAlignment="1">
      <alignment horizontal="left" vertical="center" shrinkToFit="1"/>
    </xf>
    <xf numFmtId="186" fontId="57" fillId="9" borderId="73" xfId="138" quotePrefix="1" applyFont="1" applyFill="1" applyBorder="1" applyAlignment="1">
      <alignment vertical="center" shrinkToFit="1"/>
    </xf>
    <xf numFmtId="0" fontId="86" fillId="9" borderId="73" xfId="0" applyFont="1" applyFill="1" applyBorder="1" applyAlignment="1">
      <alignment horizontal="left" vertical="center"/>
    </xf>
    <xf numFmtId="183" fontId="57" fillId="0" borderId="68" xfId="0" applyNumberFormat="1" applyFont="1" applyBorder="1" applyAlignment="1">
      <alignment horizontal="center" vertical="center"/>
    </xf>
    <xf numFmtId="0" fontId="105" fillId="0" borderId="68" xfId="0" applyFont="1" applyBorder="1" applyAlignment="1">
      <alignment horizontal="left" vertical="center"/>
    </xf>
    <xf numFmtId="0" fontId="57" fillId="0" borderId="68" xfId="0" applyFont="1" applyBorder="1" applyAlignment="1">
      <alignment horizontal="center" vertical="center"/>
    </xf>
    <xf numFmtId="0" fontId="52" fillId="0" borderId="68" xfId="0" applyFont="1" applyBorder="1" applyAlignment="1">
      <alignment horizontal="center" vertical="center" wrapText="1"/>
    </xf>
    <xf numFmtId="177" fontId="52" fillId="0" borderId="68" xfId="0" applyNumberFormat="1" applyFont="1" applyBorder="1" applyAlignment="1">
      <alignment horizontal="center" vertical="center"/>
    </xf>
    <xf numFmtId="177" fontId="90" fillId="0" borderId="68" xfId="0" applyNumberFormat="1" applyFont="1" applyBorder="1" applyAlignment="1">
      <alignment horizontal="center" vertical="center"/>
    </xf>
    <xf numFmtId="179" fontId="90" fillId="0" borderId="68" xfId="1" applyNumberFormat="1" applyFont="1" applyFill="1" applyBorder="1" applyAlignment="1">
      <alignment horizontal="center" vertical="center"/>
    </xf>
    <xf numFmtId="182" fontId="52" fillId="0" borderId="68" xfId="4" applyNumberFormat="1" applyFont="1" applyFill="1" applyBorder="1" applyAlignment="1">
      <alignment horizontal="right" vertical="center" shrinkToFit="1"/>
    </xf>
    <xf numFmtId="179" fontId="52" fillId="4" borderId="68" xfId="4" applyNumberFormat="1" applyFont="1" applyFill="1" applyBorder="1" applyAlignment="1">
      <alignment vertical="center" shrinkToFit="1"/>
    </xf>
    <xf numFmtId="179" fontId="57" fillId="0" borderId="68" xfId="4" applyNumberFormat="1" applyFont="1" applyFill="1" applyBorder="1" applyAlignment="1">
      <alignment vertical="center" shrinkToFit="1"/>
    </xf>
    <xf numFmtId="186" fontId="57" fillId="0" borderId="68" xfId="138" applyFont="1" applyBorder="1" applyAlignment="1">
      <alignment horizontal="left" vertical="center" shrinkToFit="1"/>
    </xf>
    <xf numFmtId="186" fontId="57" fillId="0" borderId="68" xfId="138" quotePrefix="1" applyFont="1" applyBorder="1" applyAlignment="1">
      <alignment vertical="center" shrinkToFit="1"/>
    </xf>
    <xf numFmtId="0" fontId="86" fillId="9" borderId="71" xfId="0" applyFont="1" applyFill="1" applyBorder="1" applyAlignment="1">
      <alignment horizontal="left" vertical="center"/>
    </xf>
    <xf numFmtId="0" fontId="86" fillId="0" borderId="71" xfId="0" applyFont="1" applyBorder="1" applyAlignment="1">
      <alignment horizontal="left" vertical="center"/>
    </xf>
    <xf numFmtId="179" fontId="5" fillId="0" borderId="71" xfId="1" applyNumberFormat="1" applyFont="1" applyFill="1" applyBorder="1" applyAlignment="1">
      <alignment horizontal="center" vertical="center"/>
    </xf>
    <xf numFmtId="179" fontId="5" fillId="0" borderId="71" xfId="1" applyNumberFormat="1" applyFont="1" applyFill="1" applyBorder="1">
      <alignment vertical="center"/>
    </xf>
    <xf numFmtId="179" fontId="21" fillId="0" borderId="71" xfId="1" applyNumberFormat="1" applyFont="1" applyFill="1" applyBorder="1" applyAlignment="1">
      <alignment horizontal="center" vertical="center"/>
    </xf>
    <xf numFmtId="41" fontId="5" fillId="0" borderId="71" xfId="1" applyFont="1" applyFill="1" applyBorder="1">
      <alignment vertical="center"/>
    </xf>
    <xf numFmtId="0" fontId="86" fillId="0" borderId="71" xfId="0" applyFont="1" applyBorder="1">
      <alignment vertical="center"/>
    </xf>
    <xf numFmtId="183" fontId="58" fillId="11" borderId="71" xfId="0" applyNumberFormat="1" applyFont="1" applyFill="1" applyBorder="1" applyAlignment="1">
      <alignment horizontal="center" vertical="center"/>
    </xf>
    <xf numFmtId="0" fontId="86" fillId="11" borderId="71" xfId="0" applyFont="1" applyFill="1" applyBorder="1">
      <alignment vertical="center"/>
    </xf>
    <xf numFmtId="0" fontId="58" fillId="11" borderId="71" xfId="0" applyFont="1" applyFill="1" applyBorder="1" applyAlignment="1">
      <alignment horizontal="center" vertical="center"/>
    </xf>
    <xf numFmtId="0" fontId="106" fillId="11" borderId="71" xfId="0" applyFont="1" applyFill="1" applyBorder="1" applyAlignment="1">
      <alignment horizontal="center" vertical="center" wrapText="1"/>
    </xf>
    <xf numFmtId="177" fontId="106" fillId="11" borderId="71" xfId="0" applyNumberFormat="1" applyFont="1" applyFill="1" applyBorder="1" applyAlignment="1">
      <alignment horizontal="center" vertical="center"/>
    </xf>
    <xf numFmtId="177" fontId="95" fillId="11" borderId="71" xfId="0" applyNumberFormat="1" applyFont="1" applyFill="1" applyBorder="1" applyAlignment="1">
      <alignment horizontal="center" vertical="center"/>
    </xf>
    <xf numFmtId="179" fontId="95" fillId="11" borderId="71" xfId="1" applyNumberFormat="1" applyFont="1" applyFill="1" applyBorder="1" applyAlignment="1">
      <alignment horizontal="center" vertical="center"/>
    </xf>
    <xf numFmtId="182" fontId="106" fillId="11" borderId="71" xfId="4" applyNumberFormat="1" applyFont="1" applyFill="1" applyBorder="1" applyAlignment="1">
      <alignment horizontal="right" vertical="center" shrinkToFit="1"/>
    </xf>
    <xf numFmtId="179" fontId="106" fillId="5" borderId="71" xfId="4" applyNumberFormat="1" applyFont="1" applyFill="1" applyBorder="1" applyAlignment="1">
      <alignment vertical="center" shrinkToFit="1"/>
    </xf>
    <xf numFmtId="179" fontId="58" fillId="11" borderId="71" xfId="4" applyNumberFormat="1" applyFont="1" applyFill="1" applyBorder="1" applyAlignment="1">
      <alignment vertical="center" shrinkToFit="1"/>
    </xf>
    <xf numFmtId="186" fontId="58" fillId="11" borderId="71" xfId="138" applyFont="1" applyFill="1" applyBorder="1" applyAlignment="1">
      <alignment horizontal="left" vertical="center" shrinkToFit="1"/>
    </xf>
    <xf numFmtId="186" fontId="58" fillId="11" borderId="71" xfId="138" quotePrefix="1" applyFont="1" applyFill="1" applyBorder="1" applyAlignment="1">
      <alignment vertical="center" shrinkToFit="1"/>
    </xf>
    <xf numFmtId="183" fontId="58" fillId="9" borderId="71" xfId="0" applyNumberFormat="1" applyFont="1" applyFill="1" applyBorder="1" applyAlignment="1">
      <alignment horizontal="center" vertical="center"/>
    </xf>
    <xf numFmtId="0" fontId="86" fillId="9" borderId="71" xfId="0" applyFont="1" applyFill="1" applyBorder="1">
      <alignment vertical="center"/>
    </xf>
    <xf numFmtId="186" fontId="58" fillId="9" borderId="71" xfId="138" applyFont="1" applyFill="1" applyBorder="1" applyAlignment="1">
      <alignment vertical="center" shrinkToFit="1"/>
    </xf>
    <xf numFmtId="0" fontId="58" fillId="9" borderId="71" xfId="0" applyFont="1" applyFill="1" applyBorder="1" applyAlignment="1">
      <alignment horizontal="center" vertical="center"/>
    </xf>
    <xf numFmtId="177" fontId="106" fillId="9" borderId="71" xfId="0" applyNumberFormat="1" applyFont="1" applyFill="1" applyBorder="1" applyAlignment="1">
      <alignment horizontal="center" vertical="center"/>
    </xf>
    <xf numFmtId="179" fontId="58" fillId="9" borderId="71" xfId="1" applyNumberFormat="1" applyFont="1" applyFill="1" applyBorder="1" applyAlignment="1">
      <alignment horizontal="center" vertical="center"/>
    </xf>
    <xf numFmtId="182" fontId="106" fillId="9" borderId="71" xfId="4" applyNumberFormat="1" applyFont="1" applyFill="1" applyBorder="1" applyAlignment="1">
      <alignment horizontal="right" vertical="center" shrinkToFit="1"/>
    </xf>
    <xf numFmtId="179" fontId="58" fillId="9" borderId="71" xfId="4" applyNumberFormat="1" applyFont="1" applyFill="1" applyBorder="1" applyAlignment="1">
      <alignment vertical="center" shrinkToFit="1"/>
    </xf>
    <xf numFmtId="186" fontId="58" fillId="9" borderId="71" xfId="138" applyFont="1" applyFill="1" applyBorder="1" applyAlignment="1">
      <alignment horizontal="left" vertical="center" shrinkToFit="1"/>
    </xf>
    <xf numFmtId="186" fontId="58" fillId="9" borderId="71" xfId="138" quotePrefix="1" applyFont="1" applyFill="1" applyBorder="1" applyAlignment="1">
      <alignment vertical="center" shrinkToFit="1"/>
    </xf>
    <xf numFmtId="183" fontId="58" fillId="0" borderId="71" xfId="0" applyNumberFormat="1" applyFont="1" applyBorder="1" applyAlignment="1">
      <alignment horizontal="center" vertical="center"/>
    </xf>
    <xf numFmtId="0" fontId="58" fillId="0" borderId="71" xfId="0" applyFont="1" applyBorder="1" applyAlignment="1">
      <alignment horizontal="center" vertical="center"/>
    </xf>
    <xf numFmtId="177" fontId="106" fillId="0" borderId="71" xfId="0" applyNumberFormat="1" applyFont="1" applyBorder="1" applyAlignment="1">
      <alignment horizontal="center" vertical="center"/>
    </xf>
    <xf numFmtId="179" fontId="58" fillId="0" borderId="71" xfId="1" applyNumberFormat="1" applyFont="1" applyFill="1" applyBorder="1" applyAlignment="1">
      <alignment horizontal="center" vertical="center"/>
    </xf>
    <xf numFmtId="182" fontId="106" fillId="0" borderId="71" xfId="4" applyNumberFormat="1" applyFont="1" applyFill="1" applyBorder="1" applyAlignment="1">
      <alignment horizontal="right" vertical="center" shrinkToFit="1"/>
    </xf>
    <xf numFmtId="179" fontId="58" fillId="0" borderId="71" xfId="4" applyNumberFormat="1" applyFont="1" applyFill="1" applyBorder="1" applyAlignment="1">
      <alignment vertical="center" shrinkToFit="1"/>
    </xf>
    <xf numFmtId="186" fontId="58" fillId="0" borderId="71" xfId="138" applyFont="1" applyBorder="1" applyAlignment="1">
      <alignment horizontal="left" vertical="center" shrinkToFit="1"/>
    </xf>
    <xf numFmtId="186" fontId="58" fillId="0" borderId="71" xfId="138" quotePrefix="1" applyFont="1" applyBorder="1" applyAlignment="1">
      <alignment vertical="center" shrinkToFit="1"/>
    </xf>
    <xf numFmtId="0" fontId="106" fillId="0" borderId="71" xfId="0" applyFont="1" applyBorder="1" applyAlignment="1">
      <alignment horizontal="center" vertical="center"/>
    </xf>
    <xf numFmtId="0" fontId="58" fillId="0" borderId="71" xfId="138" applyNumberFormat="1" applyFont="1" applyBorder="1" applyAlignment="1">
      <alignment horizontal="center" vertical="center" wrapText="1" shrinkToFit="1"/>
    </xf>
    <xf numFmtId="186" fontId="107" fillId="0" borderId="71" xfId="138" applyFont="1" applyBorder="1">
      <alignment vertical="center"/>
    </xf>
    <xf numFmtId="0" fontId="58" fillId="0" borderId="71" xfId="0" applyFont="1" applyBorder="1">
      <alignment vertical="center"/>
    </xf>
    <xf numFmtId="177" fontId="58" fillId="0" borderId="71" xfId="0" applyNumberFormat="1" applyFont="1" applyBorder="1" applyAlignment="1">
      <alignment horizontal="center" vertical="center"/>
    </xf>
    <xf numFmtId="0" fontId="107" fillId="0" borderId="71" xfId="0" applyFont="1" applyBorder="1" applyAlignment="1">
      <alignment horizontal="center" vertical="center"/>
    </xf>
    <xf numFmtId="186" fontId="58" fillId="0" borderId="71" xfId="138" applyFont="1" applyBorder="1" applyAlignment="1">
      <alignment vertical="center" shrinkToFit="1"/>
    </xf>
    <xf numFmtId="179" fontId="86" fillId="0" borderId="71" xfId="1" applyNumberFormat="1" applyFont="1" applyFill="1" applyBorder="1" applyAlignment="1">
      <alignment horizontal="center" vertical="center"/>
    </xf>
    <xf numFmtId="179" fontId="106" fillId="0" borderId="71" xfId="1" applyNumberFormat="1" applyFont="1" applyFill="1" applyBorder="1" applyAlignment="1">
      <alignment horizontal="center" vertical="center"/>
    </xf>
    <xf numFmtId="0" fontId="95" fillId="0" borderId="71" xfId="0" applyFont="1" applyBorder="1" applyAlignment="1">
      <alignment horizontal="center" vertical="center" wrapText="1"/>
    </xf>
    <xf numFmtId="179" fontId="86" fillId="0" borderId="71" xfId="1" applyNumberFormat="1" applyFont="1" applyBorder="1" applyAlignment="1">
      <alignment horizontal="center" vertical="center"/>
    </xf>
    <xf numFmtId="179" fontId="106" fillId="0" borderId="71" xfId="1" applyNumberFormat="1" applyFont="1" applyFill="1" applyBorder="1" applyAlignment="1">
      <alignment horizontal="center" vertical="center" wrapText="1"/>
    </xf>
    <xf numFmtId="41" fontId="106" fillId="0" borderId="71" xfId="1" applyFont="1" applyFill="1" applyBorder="1" applyAlignment="1">
      <alignment horizontal="center" vertical="center" wrapText="1"/>
    </xf>
    <xf numFmtId="0" fontId="86" fillId="0" borderId="71" xfId="0" applyFont="1" applyBorder="1" applyAlignment="1">
      <alignment horizontal="center" vertical="center" wrapText="1"/>
    </xf>
    <xf numFmtId="41" fontId="86" fillId="0" borderId="71" xfId="1" applyFont="1" applyBorder="1" applyAlignment="1">
      <alignment horizontal="center" vertical="center" wrapText="1"/>
    </xf>
    <xf numFmtId="0" fontId="85" fillId="11" borderId="73" xfId="0" applyFont="1" applyFill="1" applyBorder="1" applyAlignment="1">
      <alignment horizontal="left" vertical="center"/>
    </xf>
    <xf numFmtId="190" fontId="106" fillId="5" borderId="71" xfId="4" applyNumberFormat="1" applyFont="1" applyFill="1" applyBorder="1" applyAlignment="1">
      <alignment vertical="center" shrinkToFit="1"/>
    </xf>
    <xf numFmtId="179" fontId="107" fillId="0" borderId="71" xfId="4" applyNumberFormat="1" applyFont="1" applyFill="1" applyBorder="1" applyAlignment="1">
      <alignment vertical="center" shrinkToFit="1"/>
    </xf>
    <xf numFmtId="41" fontId="52" fillId="0" borderId="42" xfId="1" applyFont="1" applyFill="1" applyBorder="1" applyAlignment="1">
      <alignment horizontal="center" vertical="center"/>
    </xf>
    <xf numFmtId="0" fontId="57" fillId="4" borderId="42" xfId="0" applyFont="1" applyFill="1" applyBorder="1" applyAlignment="1">
      <alignment horizontal="center" vertical="center"/>
    </xf>
    <xf numFmtId="0" fontId="23" fillId="0" borderId="0" xfId="176" applyFont="1">
      <alignment vertical="center"/>
    </xf>
    <xf numFmtId="0" fontId="103" fillId="0" borderId="0" xfId="176">
      <alignment vertical="center"/>
    </xf>
    <xf numFmtId="0" fontId="5" fillId="0" borderId="1" xfId="176" applyFont="1" applyBorder="1" applyAlignment="1">
      <alignment horizontal="center" vertical="center"/>
    </xf>
    <xf numFmtId="184" fontId="5" fillId="0" borderId="1" xfId="176" applyNumberFormat="1" applyFont="1" applyBorder="1" applyAlignment="1">
      <alignment horizontal="center" vertical="center"/>
    </xf>
    <xf numFmtId="0" fontId="103" fillId="0" borderId="1" xfId="176" applyBorder="1">
      <alignment vertical="center"/>
    </xf>
    <xf numFmtId="184" fontId="103" fillId="0" borderId="1" xfId="176" applyNumberFormat="1" applyBorder="1">
      <alignment vertical="center"/>
    </xf>
    <xf numFmtId="0" fontId="5" fillId="0" borderId="13" xfId="176" applyFont="1" applyBorder="1" applyAlignment="1">
      <alignment horizontal="center" vertical="center"/>
    </xf>
    <xf numFmtId="0" fontId="113" fillId="0" borderId="0" xfId="176" applyFont="1" applyAlignment="1">
      <alignment horizontal="left" vertical="center"/>
    </xf>
    <xf numFmtId="0" fontId="114" fillId="0" borderId="0" xfId="176" applyFont="1">
      <alignment vertical="center"/>
    </xf>
    <xf numFmtId="0" fontId="114" fillId="0" borderId="0" xfId="176" applyFont="1" applyAlignment="1">
      <alignment horizontal="center" vertical="center"/>
    </xf>
    <xf numFmtId="0" fontId="116" fillId="2" borderId="1" xfId="176" applyFont="1" applyFill="1" applyBorder="1" applyAlignment="1">
      <alignment horizontal="center" vertical="center"/>
    </xf>
    <xf numFmtId="179" fontId="116" fillId="2" borderId="1" xfId="4" applyNumberFormat="1" applyFont="1" applyFill="1" applyBorder="1" applyAlignment="1">
      <alignment horizontal="center" vertical="center" wrapText="1"/>
    </xf>
    <xf numFmtId="0" fontId="117" fillId="0" borderId="13" xfId="176" applyFont="1" applyBorder="1" applyAlignment="1">
      <alignment horizontal="center" vertical="center"/>
    </xf>
    <xf numFmtId="184" fontId="114" fillId="0" borderId="29" xfId="176" applyNumberFormat="1" applyFont="1" applyBorder="1">
      <alignment vertical="center"/>
    </xf>
    <xf numFmtId="184" fontId="118" fillId="0" borderId="29" xfId="176" applyNumberFormat="1" applyFont="1" applyBorder="1">
      <alignment vertical="center"/>
    </xf>
    <xf numFmtId="184" fontId="118" fillId="6" borderId="29" xfId="176" applyNumberFormat="1" applyFont="1" applyFill="1" applyBorder="1">
      <alignment vertical="center"/>
    </xf>
    <xf numFmtId="0" fontId="118" fillId="0" borderId="2" xfId="176" applyFont="1" applyBorder="1" applyAlignment="1">
      <alignment horizontal="center" vertical="center"/>
    </xf>
    <xf numFmtId="179" fontId="118" fillId="6" borderId="31" xfId="176" applyNumberFormat="1" applyFont="1" applyFill="1" applyBorder="1">
      <alignment vertical="center"/>
    </xf>
    <xf numFmtId="41" fontId="118" fillId="0" borderId="29" xfId="4" applyFont="1" applyFill="1" applyBorder="1" applyAlignment="1">
      <alignment horizontal="center" vertical="center"/>
    </xf>
    <xf numFmtId="0" fontId="118" fillId="0" borderId="29" xfId="176" applyFont="1" applyBorder="1" applyAlignment="1">
      <alignment horizontal="center" vertical="center"/>
    </xf>
    <xf numFmtId="184" fontId="118" fillId="0" borderId="29" xfId="176" applyNumberFormat="1" applyFont="1" applyBorder="1" applyAlignment="1">
      <alignment horizontal="center" vertical="center"/>
    </xf>
    <xf numFmtId="41" fontId="86" fillId="0" borderId="29" xfId="4" applyFont="1" applyFill="1" applyBorder="1" applyAlignment="1">
      <alignment horizontal="center" vertical="center"/>
    </xf>
    <xf numFmtId="0" fontId="86" fillId="0" borderId="29" xfId="176" applyFont="1" applyBorder="1" applyAlignment="1">
      <alignment horizontal="center" vertical="center"/>
    </xf>
    <xf numFmtId="0" fontId="109" fillId="0" borderId="29" xfId="176" applyFont="1" applyBorder="1" applyAlignment="1">
      <alignment horizontal="center" vertical="center"/>
    </xf>
    <xf numFmtId="0" fontId="110" fillId="0" borderId="29" xfId="176" applyFont="1" applyBorder="1" applyAlignment="1">
      <alignment horizontal="center" vertical="center"/>
    </xf>
    <xf numFmtId="184" fontId="5" fillId="0" borderId="1" xfId="176" applyNumberFormat="1" applyFont="1" applyBorder="1">
      <alignment vertical="center"/>
    </xf>
    <xf numFmtId="179" fontId="5" fillId="0" borderId="1" xfId="176" applyNumberFormat="1" applyFont="1" applyBorder="1">
      <alignment vertical="center"/>
    </xf>
    <xf numFmtId="41" fontId="5" fillId="0" borderId="1" xfId="4" applyFont="1" applyFill="1" applyBorder="1" applyAlignment="1">
      <alignment horizontal="center" vertical="center"/>
    </xf>
    <xf numFmtId="184" fontId="108" fillId="0" borderId="29" xfId="176" applyNumberFormat="1" applyFont="1" applyBorder="1">
      <alignment vertical="center"/>
    </xf>
    <xf numFmtId="179" fontId="114" fillId="15" borderId="0" xfId="176" applyNumberFormat="1" applyFont="1" applyFill="1">
      <alignment vertical="center"/>
    </xf>
    <xf numFmtId="179" fontId="114" fillId="0" borderId="0" xfId="4" applyNumberFormat="1" applyFont="1">
      <alignment vertical="center"/>
    </xf>
    <xf numFmtId="179" fontId="114" fillId="0" borderId="0" xfId="177" applyNumberFormat="1" applyFont="1">
      <alignment vertical="center"/>
    </xf>
    <xf numFmtId="184" fontId="119" fillId="0" borderId="29" xfId="0" applyNumberFormat="1" applyFont="1" applyBorder="1">
      <alignment vertical="center"/>
    </xf>
    <xf numFmtId="184" fontId="109" fillId="6" borderId="29" xfId="0" applyNumberFormat="1" applyFont="1" applyFill="1" applyBorder="1">
      <alignment vertical="center"/>
    </xf>
    <xf numFmtId="0" fontId="86" fillId="0" borderId="2" xfId="0" applyFont="1" applyBorder="1" applyAlignment="1">
      <alignment horizontal="center" vertical="center"/>
    </xf>
    <xf numFmtId="179" fontId="86" fillId="0" borderId="31" xfId="0" applyNumberFormat="1" applyFont="1" applyBorder="1">
      <alignment vertical="center"/>
    </xf>
    <xf numFmtId="0" fontId="120" fillId="0" borderId="29" xfId="0" applyFont="1" applyBorder="1" applyAlignment="1">
      <alignment horizontal="center" vertical="center"/>
    </xf>
    <xf numFmtId="184" fontId="118" fillId="0" borderId="29" xfId="0" applyNumberFormat="1" applyFont="1" applyBorder="1" applyAlignment="1">
      <alignment horizontal="center" vertical="center"/>
    </xf>
    <xf numFmtId="184" fontId="118" fillId="0" borderId="29" xfId="0" applyNumberFormat="1" applyFont="1" applyBorder="1">
      <alignment vertical="center"/>
    </xf>
    <xf numFmtId="184" fontId="118" fillId="6" borderId="29" xfId="0" applyNumberFormat="1" applyFont="1" applyFill="1" applyBorder="1">
      <alignment vertical="center"/>
    </xf>
    <xf numFmtId="0" fontId="118" fillId="0" borderId="2" xfId="0" applyFont="1" applyBorder="1" applyAlignment="1">
      <alignment horizontal="center" vertical="center"/>
    </xf>
    <xf numFmtId="179" fontId="118" fillId="6" borderId="31" xfId="0" applyNumberFormat="1" applyFont="1" applyFill="1" applyBorder="1">
      <alignment vertical="center"/>
    </xf>
    <xf numFmtId="0" fontId="118" fillId="0" borderId="29" xfId="0" applyFont="1" applyBorder="1" applyAlignment="1">
      <alignment horizontal="center" vertical="center"/>
    </xf>
    <xf numFmtId="0" fontId="108" fillId="0" borderId="29" xfId="0" applyFont="1" applyBorder="1" applyAlignment="1">
      <alignment horizontal="center" vertical="center"/>
    </xf>
    <xf numFmtId="0" fontId="86" fillId="0" borderId="29" xfId="0" applyFont="1" applyBorder="1" applyAlignment="1">
      <alignment horizontal="center" vertical="center"/>
    </xf>
    <xf numFmtId="0" fontId="110" fillId="0" borderId="29" xfId="0" applyFont="1" applyBorder="1" applyAlignment="1">
      <alignment horizontal="center" vertical="center"/>
    </xf>
    <xf numFmtId="0" fontId="109" fillId="0" borderId="29" xfId="0" applyFont="1" applyBorder="1" applyAlignment="1">
      <alignment horizontal="center" vertical="center"/>
    </xf>
    <xf numFmtId="184" fontId="109" fillId="0" borderId="29" xfId="0" applyNumberFormat="1" applyFont="1" applyBorder="1" applyAlignment="1">
      <alignment horizontal="center" vertical="center"/>
    </xf>
    <xf numFmtId="179" fontId="86" fillId="6" borderId="31" xfId="0" applyNumberFormat="1" applyFont="1" applyFill="1" applyBorder="1">
      <alignment vertical="center"/>
    </xf>
    <xf numFmtId="0" fontId="109" fillId="0" borderId="2" xfId="0" applyFont="1" applyBorder="1" applyAlignment="1">
      <alignment horizontal="center" vertical="center"/>
    </xf>
    <xf numFmtId="184" fontId="5" fillId="0" borderId="74" xfId="0" applyNumberFormat="1" applyFont="1" applyBorder="1" applyAlignment="1">
      <alignment horizontal="center" vertical="center"/>
    </xf>
    <xf numFmtId="184" fontId="5" fillId="6" borderId="74" xfId="0" applyNumberFormat="1" applyFont="1" applyFill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179" fontId="5" fillId="6" borderId="7" xfId="0" applyNumberFormat="1" applyFont="1" applyFill="1" applyBorder="1" applyAlignment="1">
      <alignment horizontal="center" vertical="center"/>
    </xf>
    <xf numFmtId="41" fontId="5" fillId="0" borderId="74" xfId="4" applyFont="1" applyFill="1" applyBorder="1" applyAlignment="1">
      <alignment horizontal="center" vertical="center"/>
    </xf>
    <xf numFmtId="184" fontId="5" fillId="6" borderId="29" xfId="0" applyNumberFormat="1" applyFont="1" applyFill="1" applyBorder="1" applyAlignment="1">
      <alignment horizontal="center" vertical="center"/>
    </xf>
    <xf numFmtId="179" fontId="5" fillId="6" borderId="31" xfId="0" applyNumberFormat="1" applyFont="1" applyFill="1" applyBorder="1" applyAlignment="1">
      <alignment horizontal="center" vertical="center"/>
    </xf>
    <xf numFmtId="41" fontId="5" fillId="0" borderId="29" xfId="4" applyFont="1" applyFill="1" applyBorder="1" applyAlignment="1">
      <alignment horizontal="center" vertical="center"/>
    </xf>
    <xf numFmtId="178" fontId="45" fillId="2" borderId="42" xfId="138" applyNumberFormat="1" applyFont="1" applyFill="1" applyBorder="1" applyAlignment="1">
      <alignment horizontal="center" vertical="center"/>
    </xf>
    <xf numFmtId="178" fontId="67" fillId="2" borderId="42" xfId="4" applyNumberFormat="1" applyFont="1" applyFill="1" applyBorder="1" applyAlignment="1">
      <alignment horizontal="center" vertical="center"/>
    </xf>
    <xf numFmtId="178" fontId="45" fillId="2" borderId="42" xfId="4" applyNumberFormat="1" applyFont="1" applyFill="1" applyBorder="1" applyAlignment="1">
      <alignment horizontal="center" vertical="center"/>
    </xf>
    <xf numFmtId="0" fontId="57" fillId="0" borderId="0" xfId="138" applyNumberFormat="1" applyFont="1" applyFill="1">
      <alignment vertical="center"/>
    </xf>
    <xf numFmtId="183" fontId="57" fillId="0" borderId="42" xfId="0" applyNumberFormat="1" applyFont="1" applyFill="1" applyBorder="1" applyAlignment="1">
      <alignment horizontal="center" vertical="center"/>
    </xf>
    <xf numFmtId="0" fontId="57" fillId="0" borderId="42" xfId="0" applyFont="1" applyFill="1" applyBorder="1" applyAlignment="1">
      <alignment horizontal="center" vertical="center"/>
    </xf>
    <xf numFmtId="177" fontId="52" fillId="0" borderId="42" xfId="0" applyNumberFormat="1" applyFont="1" applyFill="1" applyBorder="1" applyAlignment="1">
      <alignment horizontal="center" vertical="center"/>
    </xf>
    <xf numFmtId="186" fontId="57" fillId="0" borderId="42" xfId="138" applyFont="1" applyFill="1" applyBorder="1" applyAlignment="1">
      <alignment horizontal="left" vertical="center" shrinkToFit="1"/>
    </xf>
    <xf numFmtId="186" fontId="57" fillId="0" borderId="42" xfId="138" quotePrefix="1" applyFont="1" applyFill="1" applyBorder="1" applyAlignment="1">
      <alignment vertical="center" shrinkToFit="1"/>
    </xf>
    <xf numFmtId="186" fontId="57" fillId="0" borderId="0" xfId="138" applyFont="1" applyFill="1">
      <alignment vertical="center"/>
    </xf>
    <xf numFmtId="186" fontId="64" fillId="0" borderId="0" xfId="138" applyFont="1" applyFill="1">
      <alignment vertical="center"/>
    </xf>
    <xf numFmtId="0" fontId="57" fillId="0" borderId="42" xfId="0" applyFont="1" applyFill="1" applyBorder="1" applyAlignment="1">
      <alignment horizontal="left" vertical="center"/>
    </xf>
    <xf numFmtId="186" fontId="64" fillId="0" borderId="42" xfId="138" applyFont="1" applyFill="1" applyBorder="1">
      <alignment vertical="center"/>
    </xf>
    <xf numFmtId="177" fontId="57" fillId="0" borderId="42" xfId="0" applyNumberFormat="1" applyFont="1" applyFill="1" applyBorder="1" applyAlignment="1">
      <alignment horizontal="center" vertical="center"/>
    </xf>
    <xf numFmtId="0" fontId="64" fillId="0" borderId="42" xfId="0" applyFont="1" applyFill="1" applyBorder="1" applyAlignment="1">
      <alignment horizontal="center" vertical="center"/>
    </xf>
    <xf numFmtId="186" fontId="57" fillId="0" borderId="0" xfId="138" applyFont="1" applyFill="1" applyAlignment="1">
      <alignment vertical="center" shrinkToFit="1"/>
    </xf>
    <xf numFmtId="186" fontId="57" fillId="0" borderId="42" xfId="138" applyFont="1" applyFill="1" applyBorder="1" applyAlignment="1">
      <alignment vertical="center" shrinkToFit="1"/>
    </xf>
    <xf numFmtId="178" fontId="67" fillId="2" borderId="42" xfId="4" applyNumberFormat="1" applyFont="1" applyFill="1" applyBorder="1" applyAlignment="1">
      <alignment horizontal="center" vertical="center"/>
    </xf>
    <xf numFmtId="178" fontId="45" fillId="2" borderId="42" xfId="4" applyNumberFormat="1" applyFont="1" applyFill="1" applyBorder="1" applyAlignment="1">
      <alignment horizontal="center" vertical="center"/>
    </xf>
    <xf numFmtId="179" fontId="52" fillId="0" borderId="42" xfId="4" applyNumberFormat="1" applyFont="1" applyFill="1" applyBorder="1" applyAlignment="1">
      <alignment vertical="center" shrinkToFit="1"/>
    </xf>
    <xf numFmtId="0" fontId="52" fillId="0" borderId="42" xfId="0" applyFont="1" applyFill="1" applyBorder="1" applyAlignment="1">
      <alignment horizontal="center" vertical="center"/>
    </xf>
    <xf numFmtId="0" fontId="57" fillId="0" borderId="42" xfId="138" applyNumberFormat="1" applyFont="1" applyFill="1" applyBorder="1" applyAlignment="1">
      <alignment horizontal="center" vertical="center" wrapText="1" shrinkToFit="1"/>
    </xf>
    <xf numFmtId="0" fontId="57" fillId="0" borderId="42" xfId="0" applyFont="1" applyFill="1" applyBorder="1">
      <alignment vertical="center"/>
    </xf>
    <xf numFmtId="183" fontId="57" fillId="0" borderId="0" xfId="138" applyNumberFormat="1" applyFont="1" applyFill="1" applyAlignment="1">
      <alignment horizontal="center" vertical="center"/>
    </xf>
    <xf numFmtId="186" fontId="57" fillId="0" borderId="0" xfId="138" applyFont="1" applyFill="1" applyAlignment="1">
      <alignment horizontal="left" vertical="center"/>
    </xf>
    <xf numFmtId="186" fontId="57" fillId="0" borderId="0" xfId="138" applyFont="1" applyFill="1" applyAlignment="1">
      <alignment horizontal="center" vertical="center" shrinkToFit="1"/>
    </xf>
    <xf numFmtId="0" fontId="56" fillId="0" borderId="0" xfId="138" applyNumberFormat="1" applyFont="1" applyFill="1">
      <alignment vertical="center"/>
    </xf>
    <xf numFmtId="183" fontId="57" fillId="4" borderId="42" xfId="0" applyNumberFormat="1" applyFont="1" applyFill="1" applyBorder="1" applyAlignment="1">
      <alignment horizontal="center" vertical="center"/>
    </xf>
    <xf numFmtId="0" fontId="57" fillId="4" borderId="42" xfId="0" applyFont="1" applyFill="1" applyBorder="1" applyAlignment="1">
      <alignment horizontal="left" vertical="center"/>
    </xf>
    <xf numFmtId="41" fontId="52" fillId="4" borderId="42" xfId="1" applyFont="1" applyFill="1" applyBorder="1" applyAlignment="1">
      <alignment horizontal="center" vertical="center"/>
    </xf>
    <xf numFmtId="0" fontId="52" fillId="4" borderId="42" xfId="0" applyFont="1" applyFill="1" applyBorder="1" applyAlignment="1">
      <alignment horizontal="center" vertical="center"/>
    </xf>
    <xf numFmtId="177" fontId="52" fillId="4" borderId="42" xfId="0" applyNumberFormat="1" applyFont="1" applyFill="1" applyBorder="1" applyAlignment="1">
      <alignment horizontal="center" vertical="center"/>
    </xf>
    <xf numFmtId="179" fontId="52" fillId="4" borderId="42" xfId="1" applyNumberFormat="1" applyFont="1" applyFill="1" applyBorder="1" applyAlignment="1">
      <alignment horizontal="center" vertical="center"/>
    </xf>
    <xf numFmtId="186" fontId="57" fillId="4" borderId="42" xfId="138" applyFont="1" applyFill="1" applyBorder="1" applyAlignment="1">
      <alignment horizontal="left" vertical="center" shrinkToFit="1"/>
    </xf>
    <xf numFmtId="186" fontId="57" fillId="4" borderId="42" xfId="138" quotePrefix="1" applyFont="1" applyFill="1" applyBorder="1" applyAlignment="1">
      <alignment vertical="center" shrinkToFit="1"/>
    </xf>
    <xf numFmtId="179" fontId="57" fillId="15" borderId="42" xfId="4" applyNumberFormat="1" applyFont="1" applyFill="1" applyBorder="1" applyAlignment="1">
      <alignment vertical="center" shrinkToFit="1"/>
    </xf>
    <xf numFmtId="179" fontId="57" fillId="15" borderId="0" xfId="1" applyNumberFormat="1" applyFont="1" applyFill="1">
      <alignment vertical="center"/>
    </xf>
    <xf numFmtId="183" fontId="57" fillId="22" borderId="42" xfId="0" applyNumberFormat="1" applyFont="1" applyFill="1" applyBorder="1" applyAlignment="1">
      <alignment horizontal="center" vertical="center"/>
    </xf>
    <xf numFmtId="0" fontId="57" fillId="22" borderId="42" xfId="0" applyFont="1" applyFill="1" applyBorder="1" applyAlignment="1">
      <alignment horizontal="left" vertical="center"/>
    </xf>
    <xf numFmtId="0" fontId="57" fillId="22" borderId="42" xfId="0" applyFont="1" applyFill="1" applyBorder="1" applyAlignment="1">
      <alignment horizontal="center" vertical="center"/>
    </xf>
    <xf numFmtId="41" fontId="52" fillId="22" borderId="42" xfId="1" applyFont="1" applyFill="1" applyBorder="1" applyAlignment="1">
      <alignment horizontal="center" vertical="center"/>
    </xf>
    <xf numFmtId="0" fontId="52" fillId="22" borderId="42" xfId="0" applyFont="1" applyFill="1" applyBorder="1" applyAlignment="1">
      <alignment horizontal="center" vertical="center"/>
    </xf>
    <xf numFmtId="0" fontId="57" fillId="22" borderId="42" xfId="138" applyNumberFormat="1" applyFont="1" applyFill="1" applyBorder="1" applyAlignment="1">
      <alignment horizontal="center" vertical="center" wrapText="1" shrinkToFit="1"/>
    </xf>
    <xf numFmtId="177" fontId="52" fillId="22" borderId="42" xfId="0" applyNumberFormat="1" applyFont="1" applyFill="1" applyBorder="1" applyAlignment="1">
      <alignment horizontal="center" vertical="center"/>
    </xf>
    <xf numFmtId="179" fontId="52" fillId="22" borderId="42" xfId="1" applyNumberFormat="1" applyFont="1" applyFill="1" applyBorder="1" applyAlignment="1">
      <alignment horizontal="center" vertical="center"/>
    </xf>
    <xf numFmtId="182" fontId="52" fillId="22" borderId="42" xfId="4" applyNumberFormat="1" applyFont="1" applyFill="1" applyBorder="1" applyAlignment="1">
      <alignment horizontal="right" vertical="center" shrinkToFit="1"/>
    </xf>
    <xf numFmtId="179" fontId="52" fillId="22" borderId="42" xfId="4" applyNumberFormat="1" applyFont="1" applyFill="1" applyBorder="1" applyAlignment="1">
      <alignment vertical="center" shrinkToFit="1"/>
    </xf>
    <xf numFmtId="179" fontId="57" fillId="22" borderId="42" xfId="4" applyNumberFormat="1" applyFont="1" applyFill="1" applyBorder="1" applyAlignment="1">
      <alignment vertical="center" shrinkToFit="1"/>
    </xf>
    <xf numFmtId="186" fontId="57" fillId="22" borderId="42" xfId="138" applyFont="1" applyFill="1" applyBorder="1" applyAlignment="1">
      <alignment horizontal="left" vertical="center" shrinkToFit="1"/>
    </xf>
    <xf numFmtId="186" fontId="57" fillId="22" borderId="42" xfId="138" quotePrefix="1" applyFont="1" applyFill="1" applyBorder="1" applyAlignment="1">
      <alignment vertical="center" shrinkToFit="1"/>
    </xf>
    <xf numFmtId="186" fontId="57" fillId="22" borderId="42" xfId="138" applyFont="1" applyFill="1" applyBorder="1" applyAlignment="1">
      <alignment vertical="center" shrinkToFit="1"/>
    </xf>
    <xf numFmtId="186" fontId="64" fillId="22" borderId="42" xfId="138" applyFont="1" applyFill="1" applyBorder="1">
      <alignment vertical="center"/>
    </xf>
    <xf numFmtId="186" fontId="121" fillId="0" borderId="0" xfId="138" applyFont="1">
      <alignment vertical="center"/>
    </xf>
    <xf numFmtId="186" fontId="56" fillId="0" borderId="0" xfId="138" applyFont="1" applyAlignment="1">
      <alignment horizontal="right" vertical="center" shrinkToFit="1"/>
    </xf>
    <xf numFmtId="186" fontId="122" fillId="0" borderId="0" xfId="138" applyFont="1" applyAlignment="1">
      <alignment vertical="center" shrinkToFit="1"/>
    </xf>
    <xf numFmtId="0" fontId="123" fillId="0" borderId="0" xfId="1" applyNumberFormat="1" applyFont="1" applyFill="1">
      <alignment vertical="center"/>
    </xf>
    <xf numFmtId="0" fontId="106" fillId="0" borderId="42" xfId="0" applyFont="1" applyBorder="1" applyAlignment="1">
      <alignment horizontal="center" vertical="center"/>
    </xf>
    <xf numFmtId="0" fontId="58" fillId="0" borderId="42" xfId="138" applyNumberFormat="1" applyFont="1" applyBorder="1" applyAlignment="1">
      <alignment horizontal="center" vertical="center" wrapText="1" shrinkToFit="1"/>
    </xf>
    <xf numFmtId="182" fontId="106" fillId="0" borderId="42" xfId="4" applyNumberFormat="1" applyFont="1" applyFill="1" applyBorder="1" applyAlignment="1">
      <alignment horizontal="right" vertical="center" shrinkToFit="1"/>
    </xf>
    <xf numFmtId="0" fontId="58" fillId="0" borderId="42" xfId="0" applyFont="1" applyBorder="1">
      <alignment vertical="center"/>
    </xf>
    <xf numFmtId="0" fontId="58" fillId="0" borderId="42" xfId="0" applyFont="1" applyBorder="1" applyAlignment="1">
      <alignment horizontal="center" vertical="center"/>
    </xf>
    <xf numFmtId="177" fontId="106" fillId="0" borderId="42" xfId="0" applyNumberFormat="1" applyFont="1" applyBorder="1" applyAlignment="1">
      <alignment horizontal="center" vertical="center"/>
    </xf>
    <xf numFmtId="186" fontId="107" fillId="0" borderId="42" xfId="138" applyFont="1" applyBorder="1">
      <alignment vertical="center"/>
    </xf>
    <xf numFmtId="186" fontId="58" fillId="0" borderId="42" xfId="138" quotePrefix="1" applyFont="1" applyBorder="1" applyAlignment="1">
      <alignment vertical="center" shrinkToFit="1"/>
    </xf>
    <xf numFmtId="177" fontId="58" fillId="0" borderId="42" xfId="0" applyNumberFormat="1" applyFont="1" applyBorder="1" applyAlignment="1">
      <alignment horizontal="center" vertical="center"/>
    </xf>
    <xf numFmtId="0" fontId="107" fillId="0" borderId="42" xfId="0" applyFont="1" applyBorder="1" applyAlignment="1">
      <alignment horizontal="center" vertical="center"/>
    </xf>
    <xf numFmtId="183" fontId="58" fillId="0" borderId="42" xfId="0" applyNumberFormat="1" applyFont="1" applyBorder="1" applyAlignment="1">
      <alignment horizontal="center" vertical="center"/>
    </xf>
    <xf numFmtId="0" fontId="106" fillId="0" borderId="0" xfId="137" applyNumberFormat="1" applyFont="1" applyAlignment="1">
      <alignment vertical="center"/>
    </xf>
    <xf numFmtId="183" fontId="106" fillId="0" borderId="0" xfId="137" applyNumberFormat="1" applyFont="1" applyAlignment="1">
      <alignment horizontal="center" vertical="center"/>
    </xf>
    <xf numFmtId="186" fontId="106" fillId="0" borderId="0" xfId="137" applyFont="1" applyAlignment="1">
      <alignment horizontal="left" vertical="center"/>
    </xf>
    <xf numFmtId="186" fontId="106" fillId="0" borderId="0" xfId="137" applyFont="1" applyAlignment="1">
      <alignment horizontal="center" vertical="center"/>
    </xf>
    <xf numFmtId="178" fontId="106" fillId="0" borderId="0" xfId="4" applyNumberFormat="1" applyFont="1" applyFill="1" applyAlignment="1">
      <alignment vertical="center"/>
    </xf>
    <xf numFmtId="187" fontId="106" fillId="0" borderId="0" xfId="4" applyNumberFormat="1" applyFont="1" applyFill="1" applyAlignment="1">
      <alignment vertical="center" shrinkToFit="1"/>
    </xf>
    <xf numFmtId="178" fontId="106" fillId="0" borderId="0" xfId="4" applyNumberFormat="1" applyFont="1" applyFill="1" applyAlignment="1">
      <alignment vertical="center" shrinkToFit="1"/>
    </xf>
    <xf numFmtId="178" fontId="106" fillId="0" borderId="0" xfId="4" applyNumberFormat="1" applyFont="1" applyFill="1" applyAlignment="1">
      <alignment horizontal="center" vertical="center" shrinkToFit="1"/>
    </xf>
    <xf numFmtId="178" fontId="106" fillId="0" borderId="0" xfId="4" applyNumberFormat="1" applyFont="1" applyFill="1" applyBorder="1" applyAlignment="1">
      <alignment vertical="center"/>
    </xf>
    <xf numFmtId="178" fontId="106" fillId="0" borderId="0" xfId="137" applyNumberFormat="1" applyFont="1" applyAlignment="1">
      <alignment vertical="center"/>
    </xf>
    <xf numFmtId="186" fontId="106" fillId="0" borderId="0" xfId="137" applyFont="1" applyAlignment="1">
      <alignment vertical="center"/>
    </xf>
    <xf numFmtId="186" fontId="106" fillId="0" borderId="0" xfId="137" applyFont="1" applyAlignment="1">
      <alignment vertical="center" shrinkToFit="1"/>
    </xf>
    <xf numFmtId="0" fontId="62" fillId="0" borderId="0" xfId="137" applyNumberFormat="1" applyFont="1" applyAlignment="1">
      <alignment vertical="center"/>
    </xf>
    <xf numFmtId="186" fontId="107" fillId="0" borderId="0" xfId="138" applyFont="1">
      <alignment vertical="center"/>
    </xf>
    <xf numFmtId="0" fontId="62" fillId="0" borderId="0" xfId="0" applyFont="1" applyAlignment="1">
      <alignment horizontal="left" vertical="center"/>
    </xf>
    <xf numFmtId="179" fontId="58" fillId="0" borderId="0" xfId="4" applyNumberFormat="1" applyFont="1" applyAlignment="1">
      <alignment horizontal="center" vertical="center" shrinkToFit="1"/>
    </xf>
    <xf numFmtId="178" fontId="124" fillId="0" borderId="0" xfId="4" quotePrefix="1" applyNumberFormat="1" applyFont="1" applyFill="1" applyBorder="1" applyAlignment="1">
      <alignment horizontal="left" vertical="center"/>
    </xf>
    <xf numFmtId="0" fontId="125" fillId="0" borderId="0" xfId="137" applyNumberFormat="1" applyFont="1" applyAlignment="1">
      <alignment vertical="center"/>
    </xf>
    <xf numFmtId="178" fontId="125" fillId="0" borderId="0" xfId="4" quotePrefix="1" applyNumberFormat="1" applyFont="1" applyFill="1" applyAlignment="1">
      <alignment horizontal="left" vertical="center"/>
    </xf>
    <xf numFmtId="178" fontId="125" fillId="0" borderId="0" xfId="4" applyNumberFormat="1" applyFont="1" applyFill="1" applyAlignment="1">
      <alignment horizontal="left" vertical="center"/>
    </xf>
    <xf numFmtId="4" fontId="62" fillId="0" borderId="0" xfId="0" applyNumberFormat="1" applyFont="1">
      <alignment vertical="center"/>
    </xf>
    <xf numFmtId="178" fontId="125" fillId="0" borderId="0" xfId="137" applyNumberFormat="1" applyFont="1" applyAlignment="1">
      <alignment horizontal="left" vertical="center" shrinkToFit="1"/>
    </xf>
    <xf numFmtId="186" fontId="125" fillId="0" borderId="0" xfId="138" applyFont="1">
      <alignment vertical="center"/>
    </xf>
    <xf numFmtId="178" fontId="125" fillId="0" borderId="0" xfId="4" applyNumberFormat="1" applyFont="1" applyFill="1" applyAlignment="1">
      <alignment horizontal="center" vertical="center" shrinkToFit="1"/>
    </xf>
    <xf numFmtId="178" fontId="125" fillId="0" borderId="0" xfId="4" applyNumberFormat="1" applyFont="1" applyFill="1" applyAlignment="1">
      <alignment horizontal="left" vertical="center" shrinkToFit="1"/>
    </xf>
    <xf numFmtId="178" fontId="124" fillId="0" borderId="0" xfId="4" applyNumberFormat="1" applyFont="1" applyFill="1" applyBorder="1" applyAlignment="1">
      <alignment horizontal="left" vertical="center"/>
    </xf>
    <xf numFmtId="183" fontId="124" fillId="2" borderId="1" xfId="4" applyNumberFormat="1" applyFont="1" applyFill="1" applyBorder="1" applyAlignment="1">
      <alignment horizontal="center" vertical="center"/>
    </xf>
    <xf numFmtId="178" fontId="124" fillId="2" borderId="1" xfId="4" applyNumberFormat="1" applyFont="1" applyFill="1" applyBorder="1" applyAlignment="1">
      <alignment horizontal="left" vertical="center"/>
    </xf>
    <xf numFmtId="178" fontId="124" fillId="2" borderId="1" xfId="4" applyNumberFormat="1" applyFont="1" applyFill="1" applyBorder="1" applyAlignment="1">
      <alignment horizontal="center" vertical="center"/>
    </xf>
    <xf numFmtId="179" fontId="124" fillId="2" borderId="1" xfId="4" applyNumberFormat="1" applyFont="1" applyFill="1" applyBorder="1" applyAlignment="1">
      <alignment horizontal="center" vertical="center" wrapText="1"/>
    </xf>
    <xf numFmtId="178" fontId="124" fillId="2" borderId="1" xfId="4" applyNumberFormat="1" applyFont="1" applyFill="1" applyBorder="1" applyAlignment="1">
      <alignment horizontal="center" vertical="center" wrapText="1"/>
    </xf>
    <xf numFmtId="178" fontId="124" fillId="2" borderId="1" xfId="4" applyNumberFormat="1" applyFont="1" applyFill="1" applyBorder="1" applyAlignment="1">
      <alignment horizontal="center" vertical="center" shrinkToFit="1"/>
    </xf>
    <xf numFmtId="179" fontId="124" fillId="2" borderId="1" xfId="4" applyNumberFormat="1" applyFont="1" applyFill="1" applyBorder="1" applyAlignment="1">
      <alignment horizontal="center" vertical="center" shrinkToFit="1"/>
    </xf>
    <xf numFmtId="183" fontId="58" fillId="0" borderId="1" xfId="138" applyNumberFormat="1" applyFont="1" applyBorder="1" applyAlignment="1">
      <alignment horizontal="left" vertical="center"/>
    </xf>
    <xf numFmtId="186" fontId="58" fillId="0" borderId="1" xfId="138" applyFont="1" applyBorder="1" applyAlignment="1">
      <alignment horizontal="left" vertical="center"/>
    </xf>
    <xf numFmtId="179" fontId="58" fillId="0" borderId="1" xfId="4" applyNumberFormat="1" applyFont="1" applyBorder="1">
      <alignment vertical="center"/>
    </xf>
    <xf numFmtId="179" fontId="58" fillId="0" borderId="2" xfId="4" applyNumberFormat="1" applyFont="1" applyFill="1" applyBorder="1">
      <alignment vertical="center"/>
    </xf>
    <xf numFmtId="41" fontId="58" fillId="0" borderId="1" xfId="4" applyFont="1" applyBorder="1" applyAlignment="1">
      <alignment vertical="center" shrinkToFit="1"/>
    </xf>
    <xf numFmtId="186" fontId="58" fillId="0" borderId="1" xfId="138" applyFont="1" applyBorder="1">
      <alignment vertical="center"/>
    </xf>
    <xf numFmtId="179" fontId="106" fillId="0" borderId="1" xfId="4" applyNumberFormat="1" applyFont="1" applyBorder="1">
      <alignment vertical="center"/>
    </xf>
    <xf numFmtId="179" fontId="106" fillId="0" borderId="1" xfId="4" applyNumberFormat="1" applyFont="1" applyBorder="1" applyAlignment="1">
      <alignment horizontal="center" vertical="center"/>
    </xf>
    <xf numFmtId="41" fontId="58" fillId="0" borderId="1" xfId="4" applyFont="1" applyFill="1" applyBorder="1" applyAlignment="1">
      <alignment vertical="center" shrinkToFit="1"/>
    </xf>
    <xf numFmtId="41" fontId="62" fillId="0" borderId="0" xfId="138" applyNumberFormat="1" applyFont="1">
      <alignment vertical="center"/>
    </xf>
    <xf numFmtId="179" fontId="106" fillId="0" borderId="1" xfId="4" applyNumberFormat="1" applyFont="1" applyFill="1" applyBorder="1">
      <alignment vertical="center"/>
    </xf>
    <xf numFmtId="179" fontId="106" fillId="0" borderId="1" xfId="4" applyNumberFormat="1" applyFont="1" applyFill="1" applyBorder="1" applyAlignment="1">
      <alignment horizontal="center" vertical="center"/>
    </xf>
    <xf numFmtId="186" fontId="58" fillId="3" borderId="1" xfId="138" applyFont="1" applyFill="1" applyBorder="1">
      <alignment vertical="center"/>
    </xf>
    <xf numFmtId="186" fontId="58" fillId="3" borderId="1" xfId="138" applyFont="1" applyFill="1" applyBorder="1" applyAlignment="1">
      <alignment horizontal="left" vertical="center"/>
    </xf>
    <xf numFmtId="41" fontId="58" fillId="3" borderId="1" xfId="4" applyFont="1" applyFill="1" applyBorder="1" applyAlignment="1">
      <alignment vertical="center" shrinkToFit="1"/>
    </xf>
    <xf numFmtId="179" fontId="58" fillId="3" borderId="1" xfId="4" applyNumberFormat="1" applyFont="1" applyFill="1" applyBorder="1">
      <alignment vertical="center"/>
    </xf>
    <xf numFmtId="179" fontId="107" fillId="3" borderId="1" xfId="4" applyNumberFormat="1" applyFont="1" applyFill="1" applyBorder="1" applyAlignment="1">
      <alignment horizontal="center" vertical="center"/>
    </xf>
    <xf numFmtId="41" fontId="107" fillId="3" borderId="1" xfId="4" applyFont="1" applyFill="1" applyBorder="1" applyAlignment="1">
      <alignment vertical="center" shrinkToFit="1"/>
    </xf>
    <xf numFmtId="177" fontId="58" fillId="0" borderId="1" xfId="4" applyNumberFormat="1" applyFont="1" applyBorder="1">
      <alignment vertical="center"/>
    </xf>
    <xf numFmtId="25" fontId="62" fillId="0" borderId="0" xfId="138" applyNumberFormat="1" applyFont="1" applyAlignment="1">
      <alignment horizontal="right" vertical="center" shrinkToFit="1"/>
    </xf>
    <xf numFmtId="179" fontId="58" fillId="0" borderId="1" xfId="4" applyNumberFormat="1" applyFont="1" applyBorder="1" applyAlignment="1">
      <alignment vertical="center" shrinkToFit="1"/>
    </xf>
    <xf numFmtId="179" fontId="58" fillId="0" borderId="1" xfId="4" applyNumberFormat="1" applyFont="1" applyBorder="1" applyAlignment="1">
      <alignment horizontal="center" vertical="center"/>
    </xf>
    <xf numFmtId="0" fontId="106" fillId="0" borderId="0" xfId="137" applyNumberFormat="1" applyFont="1" applyAlignment="1">
      <alignment vertical="center" shrinkToFit="1"/>
    </xf>
    <xf numFmtId="183" fontId="124" fillId="2" borderId="3" xfId="138" applyNumberFormat="1" applyFont="1" applyFill="1" applyBorder="1" applyAlignment="1">
      <alignment horizontal="center" vertical="center" shrinkToFit="1"/>
    </xf>
    <xf numFmtId="186" fontId="124" fillId="2" borderId="4" xfId="138" applyFont="1" applyFill="1" applyBorder="1" applyAlignment="1">
      <alignment horizontal="left" vertical="center" shrinkToFit="1"/>
    </xf>
    <xf numFmtId="179" fontId="124" fillId="2" borderId="1" xfId="4" applyNumberFormat="1" applyFont="1" applyFill="1" applyBorder="1" applyAlignment="1">
      <alignment vertical="center" shrinkToFit="1"/>
    </xf>
    <xf numFmtId="179" fontId="127" fillId="2" borderId="1" xfId="4" applyNumberFormat="1" applyFont="1" applyFill="1" applyBorder="1" applyAlignment="1">
      <alignment vertical="center" shrinkToFit="1"/>
    </xf>
    <xf numFmtId="41" fontId="124" fillId="2" borderId="1" xfId="4" applyFont="1" applyFill="1" applyBorder="1" applyAlignment="1">
      <alignment vertical="center" shrinkToFit="1"/>
    </xf>
    <xf numFmtId="5" fontId="62" fillId="0" borderId="0" xfId="138" applyNumberFormat="1" applyFont="1" applyAlignment="1">
      <alignment horizontal="right" vertical="center" shrinkToFit="1"/>
    </xf>
    <xf numFmtId="186" fontId="124" fillId="2" borderId="4" xfId="138" applyFont="1" applyFill="1" applyBorder="1" applyAlignment="1">
      <alignment horizontal="center" vertical="center" shrinkToFit="1"/>
    </xf>
    <xf numFmtId="186" fontId="107" fillId="0" borderId="0" xfId="138" applyFont="1" applyAlignment="1">
      <alignment vertical="center" shrinkToFit="1"/>
    </xf>
    <xf numFmtId="185" fontId="106" fillId="0" borderId="0" xfId="1" applyNumberFormat="1" applyFont="1" applyFill="1" applyAlignment="1">
      <alignment vertical="center" shrinkToFit="1"/>
    </xf>
    <xf numFmtId="183" fontId="58" fillId="0" borderId="0" xfId="138" applyNumberFormat="1" applyFont="1" applyAlignment="1">
      <alignment horizontal="center" vertical="center"/>
    </xf>
    <xf numFmtId="179" fontId="106" fillId="0" borderId="0" xfId="4" applyNumberFormat="1" applyFont="1" applyAlignment="1">
      <alignment horizontal="left" vertical="center"/>
    </xf>
    <xf numFmtId="41" fontId="106" fillId="0" borderId="0" xfId="1" applyFont="1" applyAlignment="1">
      <alignment horizontal="left" vertical="center"/>
    </xf>
    <xf numFmtId="186" fontId="107" fillId="0" borderId="0" xfId="138" applyFont="1" applyAlignment="1">
      <alignment horizontal="right" vertical="center" shrinkToFit="1"/>
    </xf>
    <xf numFmtId="179" fontId="58" fillId="0" borderId="0" xfId="1" applyNumberFormat="1" applyFont="1" applyAlignment="1">
      <alignment vertical="center" shrinkToFit="1"/>
    </xf>
    <xf numFmtId="179" fontId="58" fillId="0" borderId="0" xfId="1" applyNumberFormat="1" applyFont="1" applyAlignment="1">
      <alignment horizontal="center" vertical="center" shrinkToFit="1"/>
    </xf>
    <xf numFmtId="186" fontId="62" fillId="0" borderId="0" xfId="138" applyFont="1" applyAlignment="1">
      <alignment vertical="center" shrinkToFit="1"/>
    </xf>
    <xf numFmtId="41" fontId="62" fillId="0" borderId="0" xfId="1" applyFont="1" applyAlignment="1">
      <alignment vertical="center" shrinkToFit="1"/>
    </xf>
    <xf numFmtId="41" fontId="58" fillId="0" borderId="0" xfId="4" applyFont="1" applyAlignment="1">
      <alignment horizontal="left" vertical="center"/>
    </xf>
    <xf numFmtId="179" fontId="128" fillId="0" borderId="0" xfId="1" applyNumberFormat="1" applyFont="1" applyAlignment="1">
      <alignment horizontal="center" vertical="center"/>
    </xf>
    <xf numFmtId="179" fontId="58" fillId="0" borderId="0" xfId="1" applyNumberFormat="1" applyFont="1" applyAlignment="1">
      <alignment horizontal="right" vertical="center"/>
    </xf>
    <xf numFmtId="183" fontId="129" fillId="2" borderId="42" xfId="4" applyNumberFormat="1" applyFont="1" applyFill="1" applyBorder="1" applyAlignment="1">
      <alignment horizontal="center" vertical="center"/>
    </xf>
    <xf numFmtId="178" fontId="129" fillId="2" borderId="42" xfId="4" applyNumberFormat="1" applyFont="1" applyFill="1" applyBorder="1" applyAlignment="1">
      <alignment horizontal="left" vertical="center"/>
    </xf>
    <xf numFmtId="178" fontId="129" fillId="2" borderId="42" xfId="4" applyNumberFormat="1" applyFont="1" applyFill="1" applyBorder="1" applyAlignment="1">
      <alignment horizontal="center" vertical="center"/>
    </xf>
    <xf numFmtId="186" fontId="129" fillId="2" borderId="42" xfId="4" applyNumberFormat="1" applyFont="1" applyFill="1" applyBorder="1" applyAlignment="1">
      <alignment horizontal="center" vertical="center"/>
    </xf>
    <xf numFmtId="178" fontId="129" fillId="2" borderId="42" xfId="4" applyNumberFormat="1" applyFont="1" applyFill="1" applyBorder="1" applyAlignment="1">
      <alignment horizontal="center" vertical="center" shrinkToFit="1"/>
    </xf>
    <xf numFmtId="178" fontId="129" fillId="2" borderId="42" xfId="4" applyNumberFormat="1" applyFont="1" applyFill="1" applyBorder="1" applyAlignment="1">
      <alignment horizontal="center" vertical="center"/>
    </xf>
    <xf numFmtId="183" fontId="124" fillId="2" borderId="42" xfId="4" applyNumberFormat="1" applyFont="1" applyFill="1" applyBorder="1" applyAlignment="1">
      <alignment horizontal="center" vertical="center"/>
    </xf>
    <xf numFmtId="178" fontId="124" fillId="2" borderId="42" xfId="4" applyNumberFormat="1" applyFont="1" applyFill="1" applyBorder="1" applyAlignment="1">
      <alignment horizontal="left" vertical="center"/>
    </xf>
    <xf numFmtId="178" fontId="124" fillId="2" borderId="42" xfId="4" applyNumberFormat="1" applyFont="1" applyFill="1" applyBorder="1" applyAlignment="1">
      <alignment horizontal="center" vertical="center"/>
    </xf>
    <xf numFmtId="186" fontId="124" fillId="2" borderId="42" xfId="4" applyNumberFormat="1" applyFont="1" applyFill="1" applyBorder="1" applyAlignment="1">
      <alignment horizontal="center" vertical="center"/>
    </xf>
    <xf numFmtId="179" fontId="124" fillId="2" borderId="42" xfId="4" applyNumberFormat="1" applyFont="1" applyFill="1" applyBorder="1" applyAlignment="1">
      <alignment horizontal="center" vertical="center"/>
    </xf>
    <xf numFmtId="179" fontId="124" fillId="2" borderId="42" xfId="4" applyNumberFormat="1" applyFont="1" applyFill="1" applyBorder="1" applyAlignment="1">
      <alignment horizontal="center" vertical="center" shrinkToFit="1"/>
    </xf>
    <xf numFmtId="179" fontId="124" fillId="2" borderId="42" xfId="1" applyNumberFormat="1" applyFont="1" applyFill="1" applyBorder="1" applyAlignment="1">
      <alignment horizontal="center" vertical="center"/>
    </xf>
    <xf numFmtId="178" fontId="124" fillId="2" borderId="42" xfId="138" applyNumberFormat="1" applyFont="1" applyFill="1" applyBorder="1" applyAlignment="1">
      <alignment horizontal="center" vertical="center"/>
    </xf>
    <xf numFmtId="178" fontId="124" fillId="2" borderId="42" xfId="4" applyNumberFormat="1" applyFont="1" applyFill="1" applyBorder="1" applyAlignment="1">
      <alignment horizontal="center" vertical="center"/>
    </xf>
    <xf numFmtId="178" fontId="124" fillId="2" borderId="42" xfId="4" applyNumberFormat="1" applyFont="1" applyFill="1" applyBorder="1" applyAlignment="1">
      <alignment horizontal="center" vertical="center" shrinkToFit="1"/>
    </xf>
    <xf numFmtId="188" fontId="59" fillId="17" borderId="42" xfId="138" applyNumberFormat="1" applyFont="1" applyFill="1" applyBorder="1" applyAlignment="1">
      <alignment horizontal="center" vertical="center"/>
    </xf>
    <xf numFmtId="186" fontId="59" fillId="17" borderId="42" xfId="138" applyFont="1" applyFill="1" applyBorder="1" applyAlignment="1">
      <alignment horizontal="left" vertical="center"/>
    </xf>
    <xf numFmtId="186" fontId="59" fillId="17" borderId="42" xfId="138" applyFont="1" applyFill="1" applyBorder="1">
      <alignment vertical="center"/>
    </xf>
    <xf numFmtId="186" fontId="59" fillId="17" borderId="42" xfId="138" applyFont="1" applyFill="1" applyBorder="1" applyAlignment="1">
      <alignment horizontal="center" vertical="center"/>
    </xf>
    <xf numFmtId="186" fontId="59" fillId="17" borderId="42" xfId="138" applyFont="1" applyFill="1" applyBorder="1" applyAlignment="1">
      <alignment vertical="center" shrinkToFit="1"/>
    </xf>
    <xf numFmtId="179" fontId="59" fillId="17" borderId="42" xfId="138" applyNumberFormat="1" applyFont="1" applyFill="1" applyBorder="1">
      <alignment vertical="center"/>
    </xf>
    <xf numFmtId="179" fontId="59" fillId="17" borderId="42" xfId="1" applyNumberFormat="1" applyFont="1" applyFill="1" applyBorder="1" applyAlignment="1">
      <alignment horizontal="center" vertical="center"/>
    </xf>
    <xf numFmtId="179" fontId="59" fillId="17" borderId="42" xfId="1" applyNumberFormat="1" applyFont="1" applyFill="1" applyBorder="1">
      <alignment vertical="center"/>
    </xf>
    <xf numFmtId="179" fontId="130" fillId="17" borderId="42" xfId="1" applyNumberFormat="1" applyFont="1" applyFill="1" applyBorder="1">
      <alignment vertical="center"/>
    </xf>
    <xf numFmtId="179" fontId="126" fillId="17" borderId="42" xfId="1" applyNumberFormat="1" applyFont="1" applyFill="1" applyBorder="1">
      <alignment vertical="center"/>
    </xf>
    <xf numFmtId="189" fontId="126" fillId="17" borderId="42" xfId="138" applyNumberFormat="1" applyFont="1" applyFill="1" applyBorder="1" applyAlignment="1">
      <alignment horizontal="left" vertical="center"/>
    </xf>
    <xf numFmtId="186" fontId="58" fillId="17" borderId="42" xfId="138" applyFont="1" applyFill="1" applyBorder="1" applyAlignment="1">
      <alignment vertical="center" shrinkToFit="1"/>
    </xf>
    <xf numFmtId="179" fontId="107" fillId="0" borderId="0" xfId="1" applyNumberFormat="1" applyFont="1">
      <alignment vertical="center"/>
    </xf>
    <xf numFmtId="0" fontId="58" fillId="0" borderId="42" xfId="0" applyFont="1" applyBorder="1" applyAlignment="1">
      <alignment horizontal="left" vertical="center"/>
    </xf>
    <xf numFmtId="41" fontId="106" fillId="0" borderId="42" xfId="1" applyFont="1" applyFill="1" applyBorder="1" applyAlignment="1">
      <alignment horizontal="center" vertical="center"/>
    </xf>
    <xf numFmtId="179" fontId="106" fillId="0" borderId="42" xfId="1" applyNumberFormat="1" applyFont="1" applyFill="1" applyBorder="1" applyAlignment="1">
      <alignment horizontal="center" vertical="center"/>
    </xf>
    <xf numFmtId="179" fontId="58" fillId="0" borderId="42" xfId="4" applyNumberFormat="1" applyFont="1" applyFill="1" applyBorder="1" applyAlignment="1">
      <alignment vertical="center" shrinkToFit="1"/>
    </xf>
    <xf numFmtId="186" fontId="58" fillId="0" borderId="42" xfId="138" applyFont="1" applyBorder="1" applyAlignment="1">
      <alignment horizontal="left" vertical="center" shrinkToFit="1"/>
    </xf>
    <xf numFmtId="179" fontId="58" fillId="0" borderId="0" xfId="1" applyNumberFormat="1" applyFont="1" applyFill="1">
      <alignment vertical="center"/>
    </xf>
    <xf numFmtId="186" fontId="58" fillId="0" borderId="42" xfId="138" applyFont="1" applyBorder="1" applyAlignment="1">
      <alignment vertical="center" shrinkToFit="1"/>
    </xf>
    <xf numFmtId="183" fontId="58" fillId="4" borderId="42" xfId="0" applyNumberFormat="1" applyFont="1" applyFill="1" applyBorder="1" applyAlignment="1">
      <alignment horizontal="center" vertical="center"/>
    </xf>
    <xf numFmtId="0" fontId="58" fillId="4" borderId="42" xfId="0" applyFont="1" applyFill="1" applyBorder="1" applyAlignment="1">
      <alignment horizontal="left" vertical="center"/>
    </xf>
    <xf numFmtId="0" fontId="58" fillId="4" borderId="42" xfId="0" applyFont="1" applyFill="1" applyBorder="1" applyAlignment="1">
      <alignment horizontal="center" vertical="center"/>
    </xf>
    <xf numFmtId="41" fontId="106" fillId="4" borderId="42" xfId="1" applyFont="1" applyFill="1" applyBorder="1" applyAlignment="1">
      <alignment horizontal="center" vertical="center"/>
    </xf>
    <xf numFmtId="0" fontId="106" fillId="4" borderId="42" xfId="0" applyFont="1" applyFill="1" applyBorder="1" applyAlignment="1">
      <alignment horizontal="center" vertical="center"/>
    </xf>
    <xf numFmtId="0" fontId="58" fillId="4" borderId="42" xfId="138" applyNumberFormat="1" applyFont="1" applyFill="1" applyBorder="1" applyAlignment="1">
      <alignment horizontal="center" vertical="center" wrapText="1" shrinkToFit="1"/>
    </xf>
    <xf numFmtId="177" fontId="106" fillId="4" borderId="42" xfId="0" applyNumberFormat="1" applyFont="1" applyFill="1" applyBorder="1" applyAlignment="1">
      <alignment horizontal="center" vertical="center"/>
    </xf>
    <xf numFmtId="179" fontId="106" fillId="4" borderId="42" xfId="1" applyNumberFormat="1" applyFont="1" applyFill="1" applyBorder="1" applyAlignment="1">
      <alignment horizontal="center" vertical="center"/>
    </xf>
    <xf numFmtId="182" fontId="106" fillId="4" borderId="42" xfId="4" applyNumberFormat="1" applyFont="1" applyFill="1" applyBorder="1" applyAlignment="1">
      <alignment horizontal="right" vertical="center" shrinkToFit="1"/>
    </xf>
    <xf numFmtId="179" fontId="106" fillId="4" borderId="42" xfId="4" applyNumberFormat="1" applyFont="1" applyFill="1" applyBorder="1" applyAlignment="1">
      <alignment vertical="center" shrinkToFit="1"/>
    </xf>
    <xf numFmtId="179" fontId="58" fillId="4" borderId="42" xfId="4" applyNumberFormat="1" applyFont="1" applyFill="1" applyBorder="1" applyAlignment="1">
      <alignment vertical="center" shrinkToFit="1"/>
    </xf>
    <xf numFmtId="186" fontId="58" fillId="4" borderId="42" xfId="138" applyFont="1" applyFill="1" applyBorder="1" applyAlignment="1">
      <alignment horizontal="left" vertical="center" shrinkToFit="1"/>
    </xf>
    <xf numFmtId="186" fontId="58" fillId="4" borderId="42" xfId="138" quotePrefix="1" applyFont="1" applyFill="1" applyBorder="1" applyAlignment="1">
      <alignment vertical="center" shrinkToFit="1"/>
    </xf>
    <xf numFmtId="14" fontId="21" fillId="7" borderId="75" xfId="2" applyNumberFormat="1" applyFont="1" applyFill="1" applyBorder="1" applyAlignment="1">
      <alignment horizontal="center" vertical="center"/>
    </xf>
    <xf numFmtId="0" fontId="21" fillId="7" borderId="76" xfId="2" applyFont="1" applyFill="1" applyBorder="1" applyAlignment="1">
      <alignment horizontal="center" vertical="center"/>
    </xf>
    <xf numFmtId="43" fontId="21" fillId="7" borderId="76" xfId="4" applyNumberFormat="1" applyFont="1" applyFill="1" applyBorder="1" applyAlignment="1">
      <alignment vertical="center"/>
    </xf>
    <xf numFmtId="177" fontId="21" fillId="7" borderId="76" xfId="4" applyNumberFormat="1" applyFont="1" applyFill="1" applyBorder="1" applyAlignment="1">
      <alignment vertical="center"/>
    </xf>
    <xf numFmtId="179" fontId="33" fillId="7" borderId="76" xfId="4" applyNumberFormat="1" applyFont="1" applyFill="1" applyBorder="1" applyAlignment="1">
      <alignment vertical="center"/>
    </xf>
    <xf numFmtId="181" fontId="21" fillId="7" borderId="76" xfId="2" applyNumberFormat="1" applyFont="1" applyFill="1" applyBorder="1" applyAlignment="1">
      <alignment vertical="center"/>
    </xf>
    <xf numFmtId="179" fontId="33" fillId="7" borderId="77" xfId="2" applyNumberFormat="1" applyFont="1" applyFill="1" applyBorder="1" applyAlignment="1">
      <alignment vertical="center"/>
    </xf>
    <xf numFmtId="0" fontId="131" fillId="0" borderId="0" xfId="137" applyNumberFormat="1" applyFont="1" applyAlignment="1">
      <alignment vertical="center"/>
    </xf>
    <xf numFmtId="183" fontId="131" fillId="0" borderId="0" xfId="137" applyNumberFormat="1" applyFont="1" applyAlignment="1">
      <alignment horizontal="center" vertical="center"/>
    </xf>
    <xf numFmtId="186" fontId="131" fillId="0" borderId="0" xfId="137" applyFont="1" applyAlignment="1">
      <alignment horizontal="left" vertical="center"/>
    </xf>
    <xf numFmtId="186" fontId="131" fillId="0" borderId="0" xfId="137" applyFont="1" applyAlignment="1">
      <alignment horizontal="center" vertical="center"/>
    </xf>
    <xf numFmtId="178" fontId="131" fillId="0" borderId="0" xfId="4" applyNumberFormat="1" applyFont="1" applyFill="1" applyAlignment="1">
      <alignment vertical="center"/>
    </xf>
    <xf numFmtId="187" fontId="131" fillId="0" borderId="0" xfId="4" applyNumberFormat="1" applyFont="1" applyFill="1" applyAlignment="1">
      <alignment vertical="center" shrinkToFit="1"/>
    </xf>
    <xf numFmtId="178" fontId="131" fillId="0" borderId="0" xfId="4" applyNumberFormat="1" applyFont="1" applyFill="1" applyAlignment="1">
      <alignment vertical="center" shrinkToFit="1"/>
    </xf>
    <xf numFmtId="178" fontId="131" fillId="0" borderId="0" xfId="4" applyNumberFormat="1" applyFont="1" applyFill="1" applyAlignment="1">
      <alignment horizontal="center" vertical="center" shrinkToFit="1"/>
    </xf>
    <xf numFmtId="178" fontId="131" fillId="0" borderId="0" xfId="4" applyNumberFormat="1" applyFont="1" applyFill="1" applyBorder="1" applyAlignment="1">
      <alignment vertical="center"/>
    </xf>
    <xf numFmtId="178" fontId="131" fillId="0" borderId="0" xfId="137" applyNumberFormat="1" applyFont="1" applyAlignment="1">
      <alignment vertical="center"/>
    </xf>
    <xf numFmtId="186" fontId="131" fillId="0" borderId="0" xfId="137" applyFont="1" applyAlignment="1">
      <alignment vertical="center"/>
    </xf>
    <xf numFmtId="186" fontId="131" fillId="0" borderId="0" xfId="137" applyFont="1" applyAlignment="1">
      <alignment vertical="center" shrinkToFit="1"/>
    </xf>
    <xf numFmtId="0" fontId="132" fillId="0" borderId="0" xfId="137" applyNumberFormat="1" applyFont="1" applyAlignment="1">
      <alignment vertical="center"/>
    </xf>
    <xf numFmtId="186" fontId="133" fillId="0" borderId="0" xfId="138" applyFont="1">
      <alignment vertical="center"/>
    </xf>
    <xf numFmtId="186" fontId="134" fillId="0" borderId="0" xfId="138" applyFont="1">
      <alignment vertical="center"/>
    </xf>
    <xf numFmtId="0" fontId="133" fillId="0" borderId="0" xfId="138" applyNumberFormat="1" applyFont="1">
      <alignment vertical="center"/>
    </xf>
    <xf numFmtId="183" fontId="135" fillId="0" borderId="0" xfId="138" applyNumberFormat="1" applyFont="1" applyAlignment="1">
      <alignment horizontal="left" vertical="center"/>
    </xf>
    <xf numFmtId="186" fontId="133" fillId="0" borderId="0" xfId="138" applyFont="1" applyAlignment="1">
      <alignment horizontal="left" vertical="center"/>
    </xf>
    <xf numFmtId="43" fontId="133" fillId="0" borderId="0" xfId="138" applyNumberFormat="1" applyFont="1" applyAlignment="1">
      <alignment horizontal="left" vertical="center"/>
    </xf>
    <xf numFmtId="186" fontId="133" fillId="0" borderId="0" xfId="138" applyFont="1" applyAlignment="1">
      <alignment vertical="center" shrinkToFit="1"/>
    </xf>
    <xf numFmtId="0" fontId="132" fillId="0" borderId="0" xfId="0" applyFont="1" applyAlignment="1">
      <alignment horizontal="left" vertical="center"/>
    </xf>
    <xf numFmtId="179" fontId="133" fillId="0" borderId="0" xfId="4" applyNumberFormat="1" applyFont="1">
      <alignment vertical="center"/>
    </xf>
    <xf numFmtId="179" fontId="133" fillId="0" borderId="0" xfId="4" applyNumberFormat="1" applyFont="1" applyAlignment="1">
      <alignment horizontal="center" vertical="center" shrinkToFit="1"/>
    </xf>
    <xf numFmtId="178" fontId="137" fillId="0" borderId="0" xfId="4" quotePrefix="1" applyNumberFormat="1" applyFont="1" applyFill="1" applyBorder="1" applyAlignment="1">
      <alignment horizontal="left" vertical="center"/>
    </xf>
    <xf numFmtId="186" fontId="133" fillId="0" borderId="0" xfId="138" applyFont="1" applyAlignment="1">
      <alignment horizontal="center" vertical="center"/>
    </xf>
    <xf numFmtId="179" fontId="133" fillId="0" borderId="0" xfId="4" applyNumberFormat="1" applyFont="1" applyFill="1" applyBorder="1">
      <alignment vertical="center"/>
    </xf>
    <xf numFmtId="0" fontId="132" fillId="0" borderId="0" xfId="138" applyNumberFormat="1" applyFont="1">
      <alignment vertical="center"/>
    </xf>
    <xf numFmtId="0" fontId="138" fillId="0" borderId="0" xfId="137" applyNumberFormat="1" applyFont="1" applyAlignment="1">
      <alignment vertical="center"/>
    </xf>
    <xf numFmtId="178" fontId="138" fillId="0" borderId="0" xfId="4" quotePrefix="1" applyNumberFormat="1" applyFont="1" applyFill="1" applyAlignment="1">
      <alignment horizontal="left" vertical="center"/>
    </xf>
    <xf numFmtId="178" fontId="138" fillId="0" borderId="0" xfId="4" applyNumberFormat="1" applyFont="1" applyFill="1" applyAlignment="1">
      <alignment horizontal="left" vertical="center"/>
    </xf>
    <xf numFmtId="4" fontId="132" fillId="0" borderId="0" xfId="0" applyNumberFormat="1" applyFont="1">
      <alignment vertical="center"/>
    </xf>
    <xf numFmtId="178" fontId="138" fillId="0" borderId="0" xfId="137" applyNumberFormat="1" applyFont="1" applyAlignment="1">
      <alignment horizontal="left" vertical="center" shrinkToFit="1"/>
    </xf>
    <xf numFmtId="186" fontId="138" fillId="0" borderId="0" xfId="138" applyFont="1">
      <alignment vertical="center"/>
    </xf>
    <xf numFmtId="178" fontId="138" fillId="0" borderId="0" xfId="4" applyNumberFormat="1" applyFont="1" applyFill="1" applyAlignment="1">
      <alignment horizontal="center" vertical="center" shrinkToFit="1"/>
    </xf>
    <xf numFmtId="178" fontId="138" fillId="0" borderId="0" xfId="4" applyNumberFormat="1" applyFont="1" applyFill="1" applyAlignment="1">
      <alignment horizontal="left" vertical="center" shrinkToFit="1"/>
    </xf>
    <xf numFmtId="178" fontId="137" fillId="0" borderId="0" xfId="4" applyNumberFormat="1" applyFont="1" applyFill="1" applyBorder="1" applyAlignment="1">
      <alignment horizontal="left" vertical="center"/>
    </xf>
    <xf numFmtId="183" fontId="137" fillId="2" borderId="1" xfId="4" applyNumberFormat="1" applyFont="1" applyFill="1" applyBorder="1" applyAlignment="1">
      <alignment horizontal="center" vertical="center"/>
    </xf>
    <xf numFmtId="178" fontId="137" fillId="2" borderId="1" xfId="4" applyNumberFormat="1" applyFont="1" applyFill="1" applyBorder="1" applyAlignment="1">
      <alignment horizontal="left" vertical="center"/>
    </xf>
    <xf numFmtId="178" fontId="137" fillId="2" borderId="1" xfId="4" applyNumberFormat="1" applyFont="1" applyFill="1" applyBorder="1" applyAlignment="1">
      <alignment horizontal="center" vertical="center"/>
    </xf>
    <xf numFmtId="179" fontId="137" fillId="2" borderId="1" xfId="4" applyNumberFormat="1" applyFont="1" applyFill="1" applyBorder="1" applyAlignment="1">
      <alignment horizontal="center" vertical="center" wrapText="1"/>
    </xf>
    <xf numFmtId="178" fontId="137" fillId="2" borderId="1" xfId="4" applyNumberFormat="1" applyFont="1" applyFill="1" applyBorder="1" applyAlignment="1">
      <alignment horizontal="center" vertical="center" wrapText="1"/>
    </xf>
    <xf numFmtId="178" fontId="137" fillId="2" borderId="1" xfId="4" applyNumberFormat="1" applyFont="1" applyFill="1" applyBorder="1" applyAlignment="1">
      <alignment horizontal="center" vertical="center" shrinkToFit="1"/>
    </xf>
    <xf numFmtId="179" fontId="137" fillId="2" borderId="1" xfId="4" applyNumberFormat="1" applyFont="1" applyFill="1" applyBorder="1" applyAlignment="1">
      <alignment horizontal="center" vertical="center" shrinkToFit="1"/>
    </xf>
    <xf numFmtId="183" fontId="133" fillId="0" borderId="1" xfId="138" applyNumberFormat="1" applyFont="1" applyBorder="1" applyAlignment="1">
      <alignment horizontal="left" vertical="center"/>
    </xf>
    <xf numFmtId="186" fontId="133" fillId="0" borderId="1" xfId="138" applyFont="1" applyBorder="1" applyAlignment="1">
      <alignment horizontal="left" vertical="center"/>
    </xf>
    <xf numFmtId="179" fontId="133" fillId="0" borderId="1" xfId="4" applyNumberFormat="1" applyFont="1" applyBorder="1">
      <alignment vertical="center"/>
    </xf>
    <xf numFmtId="179" fontId="133" fillId="0" borderId="2" xfId="4" applyNumberFormat="1" applyFont="1" applyFill="1" applyBorder="1">
      <alignment vertical="center"/>
    </xf>
    <xf numFmtId="41" fontId="133" fillId="0" borderId="1" xfId="4" applyFont="1" applyBorder="1" applyAlignment="1">
      <alignment vertical="center" shrinkToFit="1"/>
    </xf>
    <xf numFmtId="186" fontId="133" fillId="0" borderId="1" xfId="138" applyFont="1" applyBorder="1">
      <alignment vertical="center"/>
    </xf>
    <xf numFmtId="179" fontId="131" fillId="0" borderId="1" xfId="4" applyNumberFormat="1" applyFont="1" applyBorder="1">
      <alignment vertical="center"/>
    </xf>
    <xf numFmtId="179" fontId="131" fillId="0" borderId="1" xfId="4" applyNumberFormat="1" applyFont="1" applyBorder="1" applyAlignment="1">
      <alignment horizontal="center" vertical="center"/>
    </xf>
    <xf numFmtId="41" fontId="133" fillId="0" borderId="1" xfId="4" applyFont="1" applyFill="1" applyBorder="1" applyAlignment="1">
      <alignment vertical="center" shrinkToFit="1"/>
    </xf>
    <xf numFmtId="41" fontId="132" fillId="0" borderId="0" xfId="138" applyNumberFormat="1" applyFont="1">
      <alignment vertical="center"/>
    </xf>
    <xf numFmtId="179" fontId="131" fillId="0" borderId="1" xfId="4" applyNumberFormat="1" applyFont="1" applyFill="1" applyBorder="1">
      <alignment vertical="center"/>
    </xf>
    <xf numFmtId="179" fontId="131" fillId="0" borderId="1" xfId="4" applyNumberFormat="1" applyFont="1" applyFill="1" applyBorder="1" applyAlignment="1">
      <alignment horizontal="center" vertical="center"/>
    </xf>
    <xf numFmtId="186" fontId="133" fillId="3" borderId="1" xfId="138" applyFont="1" applyFill="1" applyBorder="1">
      <alignment vertical="center"/>
    </xf>
    <xf numFmtId="186" fontId="133" fillId="3" borderId="1" xfId="138" applyFont="1" applyFill="1" applyBorder="1" applyAlignment="1">
      <alignment horizontal="left" vertical="center"/>
    </xf>
    <xf numFmtId="41" fontId="133" fillId="3" borderId="1" xfId="4" applyFont="1" applyFill="1" applyBorder="1" applyAlignment="1">
      <alignment vertical="center" shrinkToFit="1"/>
    </xf>
    <xf numFmtId="179" fontId="133" fillId="3" borderId="1" xfId="4" applyNumberFormat="1" applyFont="1" applyFill="1" applyBorder="1">
      <alignment vertical="center"/>
    </xf>
    <xf numFmtId="179" fontId="134" fillId="3" borderId="1" xfId="4" applyNumberFormat="1" applyFont="1" applyFill="1" applyBorder="1" applyAlignment="1">
      <alignment horizontal="center" vertical="center"/>
    </xf>
    <xf numFmtId="41" fontId="134" fillId="3" borderId="1" xfId="4" applyFont="1" applyFill="1" applyBorder="1" applyAlignment="1">
      <alignment vertical="center" shrinkToFit="1"/>
    </xf>
    <xf numFmtId="179" fontId="132" fillId="0" borderId="0" xfId="4" applyNumberFormat="1" applyFont="1" applyAlignment="1">
      <alignment vertical="center" shrinkToFit="1"/>
    </xf>
    <xf numFmtId="177" fontId="133" fillId="0" borderId="1" xfId="4" applyNumberFormat="1" applyFont="1" applyBorder="1">
      <alignment vertical="center"/>
    </xf>
    <xf numFmtId="0" fontId="131" fillId="0" borderId="0" xfId="137" applyNumberFormat="1" applyFont="1" applyAlignment="1">
      <alignment vertical="center" shrinkToFit="1"/>
    </xf>
    <xf numFmtId="183" fontId="137" fillId="2" borderId="3" xfId="138" applyNumberFormat="1" applyFont="1" applyFill="1" applyBorder="1" applyAlignment="1">
      <alignment horizontal="center" vertical="center" shrinkToFit="1"/>
    </xf>
    <xf numFmtId="186" fontId="137" fillId="2" borderId="4" xfId="138" applyFont="1" applyFill="1" applyBorder="1" applyAlignment="1">
      <alignment horizontal="left" vertical="center" shrinkToFit="1"/>
    </xf>
    <xf numFmtId="179" fontId="137" fillId="2" borderId="1" xfId="4" applyNumberFormat="1" applyFont="1" applyFill="1" applyBorder="1" applyAlignment="1">
      <alignment vertical="center" shrinkToFit="1"/>
    </xf>
    <xf numFmtId="179" fontId="140" fillId="2" borderId="1" xfId="4" applyNumberFormat="1" applyFont="1" applyFill="1" applyBorder="1" applyAlignment="1">
      <alignment vertical="center" shrinkToFit="1"/>
    </xf>
    <xf numFmtId="41" fontId="137" fillId="2" borderId="1" xfId="4" applyFont="1" applyFill="1" applyBorder="1" applyAlignment="1">
      <alignment vertical="center" shrinkToFit="1"/>
    </xf>
    <xf numFmtId="186" fontId="137" fillId="2" borderId="4" xfId="138" applyFont="1" applyFill="1" applyBorder="1" applyAlignment="1">
      <alignment horizontal="center" vertical="center" shrinkToFit="1"/>
    </xf>
    <xf numFmtId="186" fontId="134" fillId="0" borderId="0" xfId="138" applyFont="1" applyAlignment="1">
      <alignment vertical="center" shrinkToFit="1"/>
    </xf>
    <xf numFmtId="185" fontId="131" fillId="0" borderId="0" xfId="1" applyNumberFormat="1" applyFont="1" applyFill="1" applyAlignment="1">
      <alignment vertical="center" shrinkToFit="1"/>
    </xf>
    <xf numFmtId="186" fontId="133" fillId="0" borderId="0" xfId="138" applyFont="1" applyAlignment="1">
      <alignment horizontal="center" vertical="center" shrinkToFit="1"/>
    </xf>
    <xf numFmtId="179" fontId="133" fillId="0" borderId="0" xfId="4" applyNumberFormat="1" applyFont="1" applyAlignment="1">
      <alignment vertical="center" shrinkToFit="1"/>
    </xf>
    <xf numFmtId="183" fontId="133" fillId="0" borderId="0" xfId="138" applyNumberFormat="1" applyFont="1" applyAlignment="1">
      <alignment horizontal="center" vertical="center"/>
    </xf>
    <xf numFmtId="179" fontId="131" fillId="0" borderId="0" xfId="4" applyNumberFormat="1" applyFont="1" applyAlignment="1">
      <alignment horizontal="left" vertical="center"/>
    </xf>
    <xf numFmtId="186" fontId="134" fillId="0" borderId="0" xfId="138" applyFont="1" applyAlignment="1">
      <alignment horizontal="right" vertical="center" shrinkToFit="1"/>
    </xf>
    <xf numFmtId="179" fontId="133" fillId="0" borderId="0" xfId="1" applyNumberFormat="1" applyFont="1" applyAlignment="1">
      <alignment vertical="center" shrinkToFit="1"/>
    </xf>
    <xf numFmtId="186" fontId="132" fillId="0" borderId="0" xfId="138" applyFont="1" applyAlignment="1">
      <alignment vertical="center" shrinkToFit="1"/>
    </xf>
    <xf numFmtId="41" fontId="132" fillId="0" borderId="0" xfId="1" applyFont="1" applyAlignment="1">
      <alignment vertical="center" shrinkToFit="1"/>
    </xf>
    <xf numFmtId="41" fontId="133" fillId="0" borderId="0" xfId="4" applyFont="1" applyAlignment="1">
      <alignment horizontal="left" vertical="center"/>
    </xf>
    <xf numFmtId="179" fontId="133" fillId="0" borderId="0" xfId="1" applyNumberFormat="1" applyFont="1" applyAlignment="1">
      <alignment horizontal="right" vertical="center"/>
    </xf>
    <xf numFmtId="183" fontId="141" fillId="2" borderId="42" xfId="4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left" vertical="center"/>
    </xf>
    <xf numFmtId="178" fontId="141" fillId="2" borderId="42" xfId="4" applyNumberFormat="1" applyFont="1" applyFill="1" applyBorder="1" applyAlignment="1">
      <alignment horizontal="center" vertical="center"/>
    </xf>
    <xf numFmtId="186" fontId="141" fillId="2" borderId="42" xfId="4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center" vertical="center" shrinkToFit="1"/>
    </xf>
    <xf numFmtId="183" fontId="137" fillId="2" borderId="42" xfId="4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left" vertical="center"/>
    </xf>
    <xf numFmtId="178" fontId="137" fillId="2" borderId="42" xfId="4" applyNumberFormat="1" applyFont="1" applyFill="1" applyBorder="1" applyAlignment="1">
      <alignment horizontal="center" vertical="center"/>
    </xf>
    <xf numFmtId="186" fontId="137" fillId="2" borderId="42" xfId="4" applyNumberFormat="1" applyFont="1" applyFill="1" applyBorder="1" applyAlignment="1">
      <alignment horizontal="center" vertical="center"/>
    </xf>
    <xf numFmtId="178" fontId="137" fillId="4" borderId="42" xfId="4" applyNumberFormat="1" applyFont="1" applyFill="1" applyBorder="1" applyAlignment="1">
      <alignment horizontal="center" vertical="center"/>
    </xf>
    <xf numFmtId="178" fontId="137" fillId="4" borderId="42" xfId="4" applyNumberFormat="1" applyFont="1" applyFill="1" applyBorder="1" applyAlignment="1">
      <alignment horizontal="center" vertical="center" shrinkToFit="1"/>
    </xf>
    <xf numFmtId="179" fontId="137" fillId="2" borderId="42" xfId="4" applyNumberFormat="1" applyFont="1" applyFill="1" applyBorder="1" applyAlignment="1">
      <alignment horizontal="center" vertical="center"/>
    </xf>
    <xf numFmtId="179" fontId="137" fillId="2" borderId="42" xfId="4" applyNumberFormat="1" applyFont="1" applyFill="1" applyBorder="1" applyAlignment="1">
      <alignment horizontal="center" vertical="center" shrinkToFit="1"/>
    </xf>
    <xf numFmtId="179" fontId="137" fillId="2" borderId="42" xfId="1" applyNumberFormat="1" applyFont="1" applyFill="1" applyBorder="1" applyAlignment="1">
      <alignment horizontal="center" vertical="center"/>
    </xf>
    <xf numFmtId="178" fontId="137" fillId="2" borderId="42" xfId="138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center" vertical="center" shrinkToFit="1"/>
    </xf>
    <xf numFmtId="188" fontId="135" fillId="17" borderId="42" xfId="138" applyNumberFormat="1" applyFont="1" applyFill="1" applyBorder="1" applyAlignment="1">
      <alignment horizontal="center" vertical="center"/>
    </xf>
    <xf numFmtId="186" fontId="135" fillId="17" borderId="42" xfId="138" applyFont="1" applyFill="1" applyBorder="1" applyAlignment="1">
      <alignment horizontal="left" vertical="center"/>
    </xf>
    <xf numFmtId="186" fontId="135" fillId="17" borderId="42" xfId="138" applyFont="1" applyFill="1" applyBorder="1">
      <alignment vertical="center"/>
    </xf>
    <xf numFmtId="186" fontId="135" fillId="17" borderId="42" xfId="138" applyFont="1" applyFill="1" applyBorder="1" applyAlignment="1">
      <alignment horizontal="center" vertical="center"/>
    </xf>
    <xf numFmtId="186" fontId="135" fillId="17" borderId="42" xfId="138" applyFont="1" applyFill="1" applyBorder="1" applyAlignment="1">
      <alignment vertical="center" shrinkToFit="1"/>
    </xf>
    <xf numFmtId="179" fontId="135" fillId="17" borderId="42" xfId="138" applyNumberFormat="1" applyFont="1" applyFill="1" applyBorder="1">
      <alignment vertical="center"/>
    </xf>
    <xf numFmtId="179" fontId="135" fillId="17" borderId="42" xfId="1" applyNumberFormat="1" applyFont="1" applyFill="1" applyBorder="1" applyAlignment="1">
      <alignment horizontal="center" vertical="center"/>
    </xf>
    <xf numFmtId="179" fontId="135" fillId="17" borderId="42" xfId="1" applyNumberFormat="1" applyFont="1" applyFill="1" applyBorder="1">
      <alignment vertical="center"/>
    </xf>
    <xf numFmtId="179" fontId="142" fillId="17" borderId="42" xfId="1" applyNumberFormat="1" applyFont="1" applyFill="1" applyBorder="1">
      <alignment vertical="center"/>
    </xf>
    <xf numFmtId="179" fontId="139" fillId="17" borderId="42" xfId="1" applyNumberFormat="1" applyFont="1" applyFill="1" applyBorder="1">
      <alignment vertical="center"/>
    </xf>
    <xf numFmtId="189" fontId="139" fillId="17" borderId="42" xfId="138" applyNumberFormat="1" applyFont="1" applyFill="1" applyBorder="1" applyAlignment="1">
      <alignment horizontal="left" vertical="center"/>
    </xf>
    <xf numFmtId="186" fontId="133" fillId="17" borderId="42" xfId="138" applyFont="1" applyFill="1" applyBorder="1" applyAlignment="1">
      <alignment vertical="center" shrinkToFit="1"/>
    </xf>
    <xf numFmtId="179" fontId="134" fillId="0" borderId="0" xfId="1" applyNumberFormat="1" applyFont="1">
      <alignment vertical="center"/>
    </xf>
    <xf numFmtId="183" fontId="133" fillId="0" borderId="42" xfId="0" applyNumberFormat="1" applyFont="1" applyBorder="1" applyAlignment="1">
      <alignment horizontal="center" vertical="center"/>
    </xf>
    <xf numFmtId="0" fontId="133" fillId="0" borderId="42" xfId="0" applyFont="1" applyBorder="1" applyAlignment="1">
      <alignment horizontal="left" vertical="center"/>
    </xf>
    <xf numFmtId="0" fontId="133" fillId="0" borderId="42" xfId="0" applyFont="1" applyBorder="1" applyAlignment="1">
      <alignment horizontal="center" vertical="center"/>
    </xf>
    <xf numFmtId="41" fontId="131" fillId="0" borderId="42" xfId="1" applyFont="1" applyFill="1" applyBorder="1" applyAlignment="1">
      <alignment horizontal="center" vertical="center"/>
    </xf>
    <xf numFmtId="0" fontId="131" fillId="0" borderId="42" xfId="0" applyFont="1" applyBorder="1" applyAlignment="1">
      <alignment horizontal="center" vertical="center"/>
    </xf>
    <xf numFmtId="0" fontId="133" fillId="0" borderId="42" xfId="138" applyNumberFormat="1" applyFont="1" applyBorder="1" applyAlignment="1">
      <alignment horizontal="center" vertical="center" wrapText="1" shrinkToFit="1"/>
    </xf>
    <xf numFmtId="177" fontId="131" fillId="0" borderId="42" xfId="0" applyNumberFormat="1" applyFont="1" applyBorder="1" applyAlignment="1">
      <alignment horizontal="center" vertical="center"/>
    </xf>
    <xf numFmtId="179" fontId="131" fillId="0" borderId="42" xfId="1" applyNumberFormat="1" applyFont="1" applyFill="1" applyBorder="1" applyAlignment="1">
      <alignment horizontal="center" vertical="center"/>
    </xf>
    <xf numFmtId="182" fontId="131" fillId="0" borderId="42" xfId="4" applyNumberFormat="1" applyFont="1" applyFill="1" applyBorder="1" applyAlignment="1">
      <alignment horizontal="right" vertical="center" shrinkToFit="1"/>
    </xf>
    <xf numFmtId="179" fontId="133" fillId="0" borderId="42" xfId="4" applyNumberFormat="1" applyFont="1" applyFill="1" applyBorder="1" applyAlignment="1">
      <alignment vertical="center" shrinkToFit="1"/>
    </xf>
    <xf numFmtId="186" fontId="133" fillId="0" borderId="42" xfId="138" quotePrefix="1" applyFont="1" applyBorder="1" applyAlignment="1">
      <alignment horizontal="left" vertical="center" shrinkToFit="1"/>
    </xf>
    <xf numFmtId="186" fontId="133" fillId="0" borderId="42" xfId="138" quotePrefix="1" applyFont="1" applyBorder="1" applyAlignment="1">
      <alignment vertical="center" shrinkToFit="1"/>
    </xf>
    <xf numFmtId="186" fontId="89" fillId="0" borderId="42" xfId="138" quotePrefix="1" applyFont="1" applyBorder="1" applyAlignment="1">
      <alignment vertical="center" shrinkToFit="1"/>
    </xf>
    <xf numFmtId="179" fontId="133" fillId="0" borderId="0" xfId="1" applyNumberFormat="1" applyFont="1" applyFill="1">
      <alignment vertical="center"/>
    </xf>
    <xf numFmtId="186" fontId="134" fillId="0" borderId="42" xfId="138" applyFont="1" applyBorder="1">
      <alignment vertical="center"/>
    </xf>
    <xf numFmtId="186" fontId="133" fillId="0" borderId="42" xfId="138" applyFont="1" applyBorder="1" applyAlignment="1">
      <alignment horizontal="left" vertical="center" shrinkToFit="1"/>
    </xf>
    <xf numFmtId="0" fontId="89" fillId="0" borderId="42" xfId="0" applyFont="1" applyBorder="1" applyAlignment="1">
      <alignment horizontal="left" vertical="center"/>
    </xf>
    <xf numFmtId="0" fontId="133" fillId="0" borderId="42" xfId="0" applyFont="1" applyBorder="1">
      <alignment vertical="center"/>
    </xf>
    <xf numFmtId="177" fontId="133" fillId="0" borderId="42" xfId="0" applyNumberFormat="1" applyFont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86" fontId="133" fillId="0" borderId="42" xfId="138" applyFont="1" applyBorder="1" applyAlignment="1">
      <alignment vertical="center" shrinkToFit="1"/>
    </xf>
    <xf numFmtId="186" fontId="89" fillId="0" borderId="42" xfId="138" applyFont="1" applyBorder="1" applyAlignment="1">
      <alignment horizontal="left" vertical="center" shrinkToFit="1"/>
    </xf>
    <xf numFmtId="186" fontId="89" fillId="0" borderId="42" xfId="138" applyFont="1" applyBorder="1" applyAlignment="1">
      <alignment vertical="center" shrinkToFit="1"/>
    </xf>
    <xf numFmtId="183" fontId="133" fillId="4" borderId="42" xfId="0" applyNumberFormat="1" applyFont="1" applyFill="1" applyBorder="1" applyAlignment="1">
      <alignment horizontal="center" vertical="center"/>
    </xf>
    <xf numFmtId="0" fontId="133" fillId="4" borderId="42" xfId="0" applyFont="1" applyFill="1" applyBorder="1" applyAlignment="1">
      <alignment horizontal="left" vertical="center"/>
    </xf>
    <xf numFmtId="0" fontId="133" fillId="4" borderId="42" xfId="0" applyFont="1" applyFill="1" applyBorder="1" applyAlignment="1">
      <alignment horizontal="center" vertical="center"/>
    </xf>
    <xf numFmtId="41" fontId="131" fillId="4" borderId="42" xfId="1" applyFont="1" applyFill="1" applyBorder="1" applyAlignment="1">
      <alignment horizontal="center" vertical="center"/>
    </xf>
    <xf numFmtId="0" fontId="131" fillId="4" borderId="42" xfId="0" applyFont="1" applyFill="1" applyBorder="1" applyAlignment="1">
      <alignment horizontal="center" vertical="center"/>
    </xf>
    <xf numFmtId="0" fontId="133" fillId="4" borderId="42" xfId="138" applyNumberFormat="1" applyFont="1" applyFill="1" applyBorder="1" applyAlignment="1">
      <alignment horizontal="center" vertical="center" wrapText="1" shrinkToFit="1"/>
    </xf>
    <xf numFmtId="177" fontId="131" fillId="4" borderId="42" xfId="0" applyNumberFormat="1" applyFont="1" applyFill="1" applyBorder="1" applyAlignment="1">
      <alignment horizontal="center" vertical="center"/>
    </xf>
    <xf numFmtId="179" fontId="131" fillId="4" borderId="42" xfId="1" applyNumberFormat="1" applyFont="1" applyFill="1" applyBorder="1" applyAlignment="1">
      <alignment horizontal="center" vertical="center"/>
    </xf>
    <xf numFmtId="182" fontId="131" fillId="4" borderId="42" xfId="4" applyNumberFormat="1" applyFont="1" applyFill="1" applyBorder="1" applyAlignment="1">
      <alignment horizontal="right" vertical="center" shrinkToFit="1"/>
    </xf>
    <xf numFmtId="179" fontId="131" fillId="4" borderId="42" xfId="4" applyNumberFormat="1" applyFont="1" applyFill="1" applyBorder="1" applyAlignment="1">
      <alignment vertical="center" shrinkToFit="1"/>
    </xf>
    <xf numFmtId="179" fontId="133" fillId="4" borderId="42" xfId="4" applyNumberFormat="1" applyFont="1" applyFill="1" applyBorder="1" applyAlignment="1">
      <alignment vertical="center" shrinkToFit="1"/>
    </xf>
    <xf numFmtId="186" fontId="133" fillId="4" borderId="42" xfId="138" applyFont="1" applyFill="1" applyBorder="1" applyAlignment="1">
      <alignment horizontal="left" vertical="center" shrinkToFit="1"/>
    </xf>
    <xf numFmtId="186" fontId="133" fillId="4" borderId="42" xfId="138" quotePrefix="1" applyFont="1" applyFill="1" applyBorder="1" applyAlignment="1">
      <alignment vertical="center" shrinkToFit="1"/>
    </xf>
    <xf numFmtId="186" fontId="133" fillId="0" borderId="0" xfId="138" applyFont="1" applyFill="1">
      <alignment vertical="center"/>
    </xf>
    <xf numFmtId="183" fontId="133" fillId="11" borderId="42" xfId="0" applyNumberFormat="1" applyFont="1" applyFill="1" applyBorder="1" applyAlignment="1">
      <alignment horizontal="center" vertical="center"/>
    </xf>
    <xf numFmtId="0" fontId="133" fillId="11" borderId="42" xfId="0" applyFont="1" applyFill="1" applyBorder="1" applyAlignment="1">
      <alignment horizontal="left" vertical="center"/>
    </xf>
    <xf numFmtId="0" fontId="133" fillId="11" borderId="42" xfId="0" applyFont="1" applyFill="1" applyBorder="1" applyAlignment="1">
      <alignment horizontal="center" vertical="center"/>
    </xf>
    <xf numFmtId="41" fontId="131" fillId="11" borderId="42" xfId="1" applyFont="1" applyFill="1" applyBorder="1" applyAlignment="1">
      <alignment horizontal="center" vertical="center"/>
    </xf>
    <xf numFmtId="0" fontId="131" fillId="11" borderId="42" xfId="0" applyFont="1" applyFill="1" applyBorder="1" applyAlignment="1">
      <alignment horizontal="center" vertical="center"/>
    </xf>
    <xf numFmtId="0" fontId="133" fillId="11" borderId="42" xfId="138" applyNumberFormat="1" applyFont="1" applyFill="1" applyBorder="1" applyAlignment="1">
      <alignment horizontal="center" vertical="center" wrapText="1" shrinkToFit="1"/>
    </xf>
    <xf numFmtId="177" fontId="131" fillId="11" borderId="42" xfId="0" applyNumberFormat="1" applyFont="1" applyFill="1" applyBorder="1" applyAlignment="1">
      <alignment horizontal="center" vertical="center"/>
    </xf>
    <xf numFmtId="179" fontId="131" fillId="11" borderId="42" xfId="1" applyNumberFormat="1" applyFont="1" applyFill="1" applyBorder="1" applyAlignment="1">
      <alignment horizontal="center" vertical="center"/>
    </xf>
    <xf numFmtId="182" fontId="106" fillId="11" borderId="42" xfId="4" applyNumberFormat="1" applyFont="1" applyFill="1" applyBorder="1" applyAlignment="1">
      <alignment horizontal="right" vertical="center" shrinkToFit="1"/>
    </xf>
    <xf numFmtId="179" fontId="133" fillId="11" borderId="42" xfId="4" applyNumberFormat="1" applyFont="1" applyFill="1" applyBorder="1" applyAlignment="1">
      <alignment vertical="center" shrinkToFit="1"/>
    </xf>
    <xf numFmtId="186" fontId="133" fillId="11" borderId="42" xfId="138" applyFont="1" applyFill="1" applyBorder="1" applyAlignment="1">
      <alignment horizontal="left" vertical="center" shrinkToFit="1"/>
    </xf>
    <xf numFmtId="186" fontId="133" fillId="11" borderId="42" xfId="138" quotePrefix="1" applyFont="1" applyFill="1" applyBorder="1" applyAlignment="1">
      <alignment vertical="center" shrinkToFit="1"/>
    </xf>
    <xf numFmtId="0" fontId="133" fillId="0" borderId="0" xfId="138" applyNumberFormat="1" applyFont="1" applyAlignment="1">
      <alignment horizontal="right" vertical="center" shrinkToFit="1"/>
    </xf>
    <xf numFmtId="179" fontId="131" fillId="0" borderId="0" xfId="1" applyNumberFormat="1" applyFont="1" applyAlignment="1">
      <alignment horizontal="center" vertical="center"/>
    </xf>
    <xf numFmtId="186" fontId="131" fillId="0" borderId="0" xfId="138" applyFont="1" applyAlignment="1">
      <alignment vertical="center" shrinkToFit="1"/>
    </xf>
    <xf numFmtId="41" fontId="137" fillId="2" borderId="1" xfId="1" applyFont="1" applyFill="1" applyBorder="1" applyAlignment="1">
      <alignment vertical="center" shrinkToFit="1"/>
    </xf>
    <xf numFmtId="0" fontId="132" fillId="0" borderId="0" xfId="4" applyNumberFormat="1" applyFont="1" applyAlignment="1">
      <alignment vertical="center" shrinkToFit="1"/>
    </xf>
    <xf numFmtId="0" fontId="132" fillId="0" borderId="0" xfId="138" applyNumberFormat="1" applyFont="1" applyAlignment="1">
      <alignment vertical="center" shrinkToFit="1"/>
    </xf>
    <xf numFmtId="0" fontId="132" fillId="0" borderId="0" xfId="138" applyNumberFormat="1" applyFont="1" applyAlignment="1">
      <alignment horizontal="right" vertical="center" shrinkToFit="1"/>
    </xf>
    <xf numFmtId="0" fontId="146" fillId="0" borderId="42" xfId="0" applyFont="1" applyBorder="1" applyAlignment="1">
      <alignment horizontal="center" vertical="center"/>
    </xf>
    <xf numFmtId="186" fontId="133" fillId="0" borderId="0" xfId="138" applyFont="1" applyFill="1" applyAlignment="1">
      <alignment horizontal="center" vertical="center" shrinkToFit="1"/>
    </xf>
    <xf numFmtId="186" fontId="147" fillId="0" borderId="42" xfId="138" quotePrefix="1" applyFont="1" applyBorder="1" applyAlignment="1">
      <alignment vertical="center" shrinkToFit="1"/>
    </xf>
    <xf numFmtId="0" fontId="131" fillId="0" borderId="0" xfId="138" applyNumberFormat="1" applyFont="1" applyAlignment="1">
      <alignment horizontal="right" vertical="center" shrinkToFit="1"/>
    </xf>
    <xf numFmtId="178" fontId="137" fillId="2" borderId="42" xfId="138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center" vertical="center"/>
    </xf>
    <xf numFmtId="0" fontId="89" fillId="0" borderId="42" xfId="0" applyFont="1" applyBorder="1">
      <alignment vertical="center"/>
    </xf>
    <xf numFmtId="178" fontId="137" fillId="2" borderId="42" xfId="138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center" vertical="center"/>
    </xf>
    <xf numFmtId="182" fontId="107" fillId="0" borderId="42" xfId="4" applyNumberFormat="1" applyFont="1" applyFill="1" applyBorder="1" applyAlignment="1">
      <alignment horizontal="right" vertical="center" shrinkToFit="1"/>
    </xf>
    <xf numFmtId="186" fontId="150" fillId="0" borderId="0" xfId="138" applyFont="1">
      <alignment vertical="center"/>
    </xf>
    <xf numFmtId="183" fontId="151" fillId="0" borderId="1" xfId="138" applyNumberFormat="1" applyFont="1" applyBorder="1" applyAlignment="1">
      <alignment horizontal="left" vertical="center"/>
    </xf>
    <xf numFmtId="186" fontId="151" fillId="0" borderId="1" xfId="138" applyFont="1" applyBorder="1" applyAlignment="1">
      <alignment horizontal="left" vertical="center"/>
    </xf>
    <xf numFmtId="179" fontId="151" fillId="0" borderId="1" xfId="4" applyNumberFormat="1" applyFont="1" applyBorder="1">
      <alignment vertical="center"/>
    </xf>
    <xf numFmtId="179" fontId="151" fillId="0" borderId="2" xfId="4" applyNumberFormat="1" applyFont="1" applyFill="1" applyBorder="1">
      <alignment vertical="center"/>
    </xf>
    <xf numFmtId="41" fontId="151" fillId="0" borderId="1" xfId="4" applyFont="1" applyBorder="1" applyAlignment="1">
      <alignment vertical="center" shrinkToFit="1"/>
    </xf>
    <xf numFmtId="186" fontId="151" fillId="0" borderId="1" xfId="138" applyFont="1" applyBorder="1">
      <alignment vertical="center"/>
    </xf>
    <xf numFmtId="179" fontId="151" fillId="0" borderId="1" xfId="4" applyNumberFormat="1" applyFont="1" applyBorder="1" applyAlignment="1">
      <alignment horizontal="center" vertical="center"/>
    </xf>
    <xf numFmtId="41" fontId="151" fillId="0" borderId="1" xfId="4" applyFont="1" applyFill="1" applyBorder="1" applyAlignment="1">
      <alignment vertical="center" shrinkToFit="1"/>
    </xf>
    <xf numFmtId="179" fontId="151" fillId="0" borderId="1" xfId="4" applyNumberFormat="1" applyFont="1" applyFill="1" applyBorder="1">
      <alignment vertical="center"/>
    </xf>
    <xf numFmtId="179" fontId="151" fillId="0" borderId="1" xfId="4" applyNumberFormat="1" applyFont="1" applyFill="1" applyBorder="1" applyAlignment="1">
      <alignment horizontal="center" vertical="center"/>
    </xf>
    <xf numFmtId="186" fontId="151" fillId="3" borderId="1" xfId="138" applyFont="1" applyFill="1" applyBorder="1">
      <alignment vertical="center"/>
    </xf>
    <xf numFmtId="186" fontId="151" fillId="3" borderId="1" xfId="138" applyFont="1" applyFill="1" applyBorder="1" applyAlignment="1">
      <alignment horizontal="left" vertical="center"/>
    </xf>
    <xf numFmtId="41" fontId="151" fillId="3" borderId="1" xfId="4" applyFont="1" applyFill="1" applyBorder="1" applyAlignment="1">
      <alignment vertical="center" shrinkToFit="1"/>
    </xf>
    <xf numFmtId="179" fontId="151" fillId="3" borderId="1" xfId="4" applyNumberFormat="1" applyFont="1" applyFill="1" applyBorder="1">
      <alignment vertical="center"/>
    </xf>
    <xf numFmtId="179" fontId="151" fillId="3" borderId="1" xfId="4" applyNumberFormat="1" applyFont="1" applyFill="1" applyBorder="1" applyAlignment="1">
      <alignment horizontal="center" vertical="center"/>
    </xf>
    <xf numFmtId="177" fontId="151" fillId="0" borderId="1" xfId="4" applyNumberFormat="1" applyFont="1" applyBorder="1">
      <alignment vertical="center"/>
    </xf>
    <xf numFmtId="183" fontId="150" fillId="2" borderId="3" xfId="138" applyNumberFormat="1" applyFont="1" applyFill="1" applyBorder="1" applyAlignment="1">
      <alignment horizontal="center" vertical="center" shrinkToFit="1"/>
    </xf>
    <xf numFmtId="186" fontId="150" fillId="2" borderId="4" xfId="138" applyFont="1" applyFill="1" applyBorder="1" applyAlignment="1">
      <alignment horizontal="left" vertical="center" shrinkToFit="1"/>
    </xf>
    <xf numFmtId="178" fontId="152" fillId="0" borderId="0" xfId="4" quotePrefix="1" applyNumberFormat="1" applyFont="1" applyFill="1" applyAlignment="1">
      <alignment horizontal="left" vertical="center"/>
    </xf>
    <xf numFmtId="178" fontId="154" fillId="0" borderId="0" xfId="137" applyNumberFormat="1" applyFont="1" applyAlignment="1">
      <alignment horizontal="left" vertical="center" shrinkToFit="1"/>
    </xf>
    <xf numFmtId="0" fontId="155" fillId="0" borderId="0" xfId="4" applyNumberFormat="1" applyFont="1" applyAlignment="1">
      <alignment vertical="center" shrinkToFit="1"/>
    </xf>
    <xf numFmtId="0" fontId="155" fillId="0" borderId="0" xfId="138" applyNumberFormat="1" applyFont="1" applyAlignment="1">
      <alignment vertical="center" shrinkToFit="1"/>
    </xf>
    <xf numFmtId="0" fontId="155" fillId="0" borderId="0" xfId="138" applyNumberFormat="1" applyFont="1" applyAlignment="1">
      <alignment horizontal="right" vertical="center" shrinkToFit="1"/>
    </xf>
    <xf numFmtId="183" fontId="154" fillId="2" borderId="1" xfId="4" applyNumberFormat="1" applyFont="1" applyFill="1" applyBorder="1" applyAlignment="1">
      <alignment horizontal="center" vertical="center"/>
    </xf>
    <xf numFmtId="178" fontId="156" fillId="2" borderId="1" xfId="4" applyNumberFormat="1" applyFont="1" applyFill="1" applyBorder="1" applyAlignment="1">
      <alignment horizontal="center" vertical="center"/>
    </xf>
    <xf numFmtId="178" fontId="156" fillId="2" borderId="1" xfId="4" applyNumberFormat="1" applyFont="1" applyFill="1" applyBorder="1" applyAlignment="1">
      <alignment horizontal="center" vertical="center" shrinkToFit="1"/>
    </xf>
    <xf numFmtId="179" fontId="156" fillId="2" borderId="1" xfId="4" applyNumberFormat="1" applyFont="1" applyFill="1" applyBorder="1" applyAlignment="1">
      <alignment horizontal="center" vertical="center" shrinkToFit="1"/>
    </xf>
    <xf numFmtId="178" fontId="156" fillId="2" borderId="1" xfId="4" applyNumberFormat="1" applyFont="1" applyFill="1" applyBorder="1" applyAlignment="1">
      <alignment horizontal="center" vertical="center" wrapText="1"/>
    </xf>
    <xf numFmtId="186" fontId="157" fillId="0" borderId="0" xfId="138" applyFont="1" applyAlignment="1">
      <alignment vertical="center" shrinkToFit="1"/>
    </xf>
    <xf numFmtId="183" fontId="156" fillId="2" borderId="1" xfId="4" applyNumberFormat="1" applyFont="1" applyFill="1" applyBorder="1" applyAlignment="1">
      <alignment horizontal="center" vertical="center"/>
    </xf>
    <xf numFmtId="179" fontId="156" fillId="2" borderId="1" xfId="4" applyNumberFormat="1" applyFont="1" applyFill="1" applyBorder="1" applyAlignment="1">
      <alignment vertical="center" shrinkToFit="1"/>
    </xf>
    <xf numFmtId="41" fontId="156" fillId="2" borderId="1" xfId="1" applyFont="1" applyFill="1" applyBorder="1" applyAlignment="1">
      <alignment vertical="center" shrinkToFit="1"/>
    </xf>
    <xf numFmtId="0" fontId="157" fillId="0" borderId="0" xfId="138" applyNumberFormat="1" applyFont="1" applyAlignment="1">
      <alignment horizontal="right" vertical="center" shrinkToFit="1"/>
    </xf>
    <xf numFmtId="183" fontId="156" fillId="2" borderId="3" xfId="138" applyNumberFormat="1" applyFont="1" applyFill="1" applyBorder="1" applyAlignment="1">
      <alignment horizontal="center" vertical="center" shrinkToFit="1"/>
    </xf>
    <xf numFmtId="186" fontId="156" fillId="2" borderId="4" xfId="138" applyFont="1" applyFill="1" applyBorder="1" applyAlignment="1">
      <alignment horizontal="center" vertical="center" shrinkToFit="1"/>
    </xf>
    <xf numFmtId="41" fontId="156" fillId="2" borderId="1" xfId="4" applyFont="1" applyFill="1" applyBorder="1" applyAlignment="1">
      <alignment vertical="center" shrinkToFit="1"/>
    </xf>
    <xf numFmtId="179" fontId="52" fillId="5" borderId="42" xfId="4" applyNumberFormat="1" applyFont="1" applyFill="1" applyBorder="1" applyAlignment="1">
      <alignment vertical="center" shrinkToFit="1"/>
    </xf>
    <xf numFmtId="186" fontId="133" fillId="0" borderId="0" xfId="138" applyFont="1" applyFill="1" applyAlignment="1">
      <alignment vertical="center" shrinkToFit="1"/>
    </xf>
    <xf numFmtId="186" fontId="134" fillId="11" borderId="42" xfId="138" applyFont="1" applyFill="1" applyBorder="1">
      <alignment vertical="center"/>
    </xf>
    <xf numFmtId="0" fontId="89" fillId="11" borderId="42" xfId="0" applyFont="1" applyFill="1" applyBorder="1" applyAlignment="1">
      <alignment horizontal="left" vertical="center"/>
    </xf>
    <xf numFmtId="186" fontId="133" fillId="0" borderId="42" xfId="138" applyFont="1" applyFill="1" applyBorder="1" applyAlignment="1">
      <alignment horizontal="left" vertical="center" shrinkToFit="1"/>
    </xf>
    <xf numFmtId="186" fontId="133" fillId="0" borderId="42" xfId="138" quotePrefix="1" applyFont="1" applyFill="1" applyBorder="1" applyAlignment="1">
      <alignment vertical="center" shrinkToFit="1"/>
    </xf>
    <xf numFmtId="178" fontId="137" fillId="2" borderId="42" xfId="138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center" vertical="center"/>
    </xf>
    <xf numFmtId="186" fontId="155" fillId="0" borderId="0" xfId="138" applyFont="1" applyAlignment="1">
      <alignment vertical="center" shrinkToFit="1"/>
    </xf>
    <xf numFmtId="178" fontId="137" fillId="2" borderId="42" xfId="138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center" vertical="center"/>
    </xf>
    <xf numFmtId="41" fontId="131" fillId="0" borderId="42" xfId="1" applyFont="1" applyFill="1" applyBorder="1" applyAlignment="1">
      <alignment vertical="center"/>
    </xf>
    <xf numFmtId="0" fontId="133" fillId="0" borderId="42" xfId="138" applyNumberFormat="1" applyFont="1" applyBorder="1" applyAlignment="1">
      <alignment vertical="center" wrapText="1" shrinkToFit="1"/>
    </xf>
    <xf numFmtId="179" fontId="133" fillId="9" borderId="42" xfId="4" applyNumberFormat="1" applyFont="1" applyFill="1" applyBorder="1" applyAlignment="1">
      <alignment vertical="center" shrinkToFit="1"/>
    </xf>
    <xf numFmtId="179" fontId="133" fillId="9" borderId="0" xfId="1" applyNumberFormat="1" applyFont="1" applyFill="1">
      <alignment vertical="center"/>
    </xf>
    <xf numFmtId="188" fontId="135" fillId="17" borderId="42" xfId="138" quotePrefix="1" applyNumberFormat="1" applyFont="1" applyFill="1" applyBorder="1" applyAlignment="1">
      <alignment horizontal="center" vertical="center"/>
    </xf>
    <xf numFmtId="183" fontId="133" fillId="9" borderId="42" xfId="0" applyNumberFormat="1" applyFont="1" applyFill="1" applyBorder="1" applyAlignment="1">
      <alignment horizontal="center" vertical="center"/>
    </xf>
    <xf numFmtId="0" fontId="105" fillId="9" borderId="42" xfId="0" applyFont="1" applyFill="1" applyBorder="1" applyAlignment="1">
      <alignment horizontal="left" vertical="center"/>
    </xf>
    <xf numFmtId="0" fontId="133" fillId="9" borderId="42" xfId="0" applyFont="1" applyFill="1" applyBorder="1" applyAlignment="1">
      <alignment horizontal="center" vertical="center"/>
    </xf>
    <xf numFmtId="41" fontId="131" fillId="9" borderId="42" xfId="1" applyFont="1" applyFill="1" applyBorder="1" applyAlignment="1">
      <alignment vertical="center"/>
    </xf>
    <xf numFmtId="0" fontId="131" fillId="9" borderId="42" xfId="0" applyFont="1" applyFill="1" applyBorder="1" applyAlignment="1">
      <alignment horizontal="center" vertical="center"/>
    </xf>
    <xf numFmtId="0" fontId="133" fillId="9" borderId="42" xfId="138" applyNumberFormat="1" applyFont="1" applyFill="1" applyBorder="1" applyAlignment="1">
      <alignment horizontal="center" vertical="center" wrapText="1" shrinkToFit="1"/>
    </xf>
    <xf numFmtId="177" fontId="131" fillId="9" borderId="42" xfId="0" applyNumberFormat="1" applyFont="1" applyFill="1" applyBorder="1" applyAlignment="1">
      <alignment horizontal="center" vertical="center"/>
    </xf>
    <xf numFmtId="179" fontId="131" fillId="9" borderId="42" xfId="1" applyNumberFormat="1" applyFont="1" applyFill="1" applyBorder="1" applyAlignment="1">
      <alignment horizontal="center" vertical="center"/>
    </xf>
    <xf numFmtId="182" fontId="106" fillId="9" borderId="42" xfId="4" applyNumberFormat="1" applyFont="1" applyFill="1" applyBorder="1" applyAlignment="1">
      <alignment horizontal="right" vertical="center" shrinkToFit="1"/>
    </xf>
    <xf numFmtId="186" fontId="133" fillId="9" borderId="42" xfId="138" applyFont="1" applyFill="1" applyBorder="1" applyAlignment="1">
      <alignment horizontal="left" vertical="center" shrinkToFit="1"/>
    </xf>
    <xf numFmtId="186" fontId="133" fillId="9" borderId="42" xfId="138" quotePrefix="1" applyFont="1" applyFill="1" applyBorder="1" applyAlignment="1">
      <alignment vertical="center" shrinkToFit="1"/>
    </xf>
    <xf numFmtId="178" fontId="160" fillId="0" borderId="0" xfId="4" quotePrefix="1" applyNumberFormat="1" applyFont="1" applyFill="1" applyAlignment="1">
      <alignment horizontal="left" vertical="center"/>
    </xf>
    <xf numFmtId="178" fontId="124" fillId="0" borderId="0" xfId="137" applyNumberFormat="1" applyFont="1" applyAlignment="1">
      <alignment horizontal="left" vertical="center" shrinkToFit="1"/>
    </xf>
    <xf numFmtId="183" fontId="106" fillId="0" borderId="1" xfId="138" applyNumberFormat="1" applyFont="1" applyBorder="1" applyAlignment="1">
      <alignment horizontal="left" vertical="center"/>
    </xf>
    <xf numFmtId="186" fontId="106" fillId="0" borderId="1" xfId="138" applyFont="1" applyBorder="1" applyAlignment="1">
      <alignment horizontal="left" vertical="center"/>
    </xf>
    <xf numFmtId="179" fontId="106" fillId="0" borderId="2" xfId="4" applyNumberFormat="1" applyFont="1" applyFill="1" applyBorder="1">
      <alignment vertical="center"/>
    </xf>
    <xf numFmtId="0" fontId="62" fillId="0" borderId="0" xfId="4" applyNumberFormat="1" applyFont="1" applyAlignment="1">
      <alignment vertical="center" shrinkToFit="1"/>
    </xf>
    <xf numFmtId="186" fontId="106" fillId="0" borderId="1" xfId="138" applyFont="1" applyBorder="1">
      <alignment vertical="center"/>
    </xf>
    <xf numFmtId="41" fontId="106" fillId="0" borderId="1" xfId="4" applyFont="1" applyFill="1" applyBorder="1" applyAlignment="1">
      <alignment vertical="center" shrinkToFit="1"/>
    </xf>
    <xf numFmtId="0" fontId="62" fillId="0" borderId="0" xfId="138" applyNumberFormat="1" applyFont="1" applyAlignment="1">
      <alignment vertical="center" shrinkToFit="1"/>
    </xf>
    <xf numFmtId="186" fontId="106" fillId="3" borderId="1" xfId="138" applyFont="1" applyFill="1" applyBorder="1">
      <alignment vertical="center"/>
    </xf>
    <xf numFmtId="186" fontId="106" fillId="3" borderId="1" xfId="138" applyFont="1" applyFill="1" applyBorder="1" applyAlignment="1">
      <alignment horizontal="left" vertical="center"/>
    </xf>
    <xf numFmtId="41" fontId="106" fillId="3" borderId="1" xfId="4" applyFont="1" applyFill="1" applyBorder="1" applyAlignment="1">
      <alignment vertical="center" shrinkToFit="1"/>
    </xf>
    <xf numFmtId="0" fontId="62" fillId="0" borderId="0" xfId="138" applyNumberFormat="1" applyFont="1" applyAlignment="1">
      <alignment horizontal="right" vertical="center" shrinkToFit="1"/>
    </xf>
    <xf numFmtId="179" fontId="106" fillId="3" borderId="1" xfId="4" applyNumberFormat="1" applyFont="1" applyFill="1" applyBorder="1">
      <alignment vertical="center"/>
    </xf>
    <xf numFmtId="179" fontId="106" fillId="3" borderId="1" xfId="4" applyNumberFormat="1" applyFont="1" applyFill="1" applyBorder="1" applyAlignment="1">
      <alignment horizontal="center" vertical="center"/>
    </xf>
    <xf numFmtId="177" fontId="106" fillId="0" borderId="1" xfId="4" applyNumberFormat="1" applyFont="1" applyBorder="1">
      <alignment vertical="center"/>
    </xf>
    <xf numFmtId="183" fontId="130" fillId="2" borderId="3" xfId="138" applyNumberFormat="1" applyFont="1" applyFill="1" applyBorder="1" applyAlignment="1">
      <alignment horizontal="center" vertical="center" shrinkToFit="1"/>
    </xf>
    <xf numFmtId="186" fontId="130" fillId="2" borderId="4" xfId="138" applyFont="1" applyFill="1" applyBorder="1" applyAlignment="1">
      <alignment horizontal="left" vertical="center" shrinkToFit="1"/>
    </xf>
    <xf numFmtId="41" fontId="124" fillId="2" borderId="1" xfId="1" applyFont="1" applyFill="1" applyBorder="1" applyAlignment="1">
      <alignment vertical="center" shrinkToFit="1"/>
    </xf>
    <xf numFmtId="0" fontId="106" fillId="0" borderId="0" xfId="138" applyNumberFormat="1" applyFont="1" applyAlignment="1">
      <alignment horizontal="right" vertical="center" shrinkToFit="1"/>
    </xf>
    <xf numFmtId="41" fontId="106" fillId="0" borderId="1" xfId="1" applyFont="1" applyBorder="1" applyAlignment="1">
      <alignment vertical="center" shrinkToFit="1"/>
    </xf>
    <xf numFmtId="41" fontId="106" fillId="3" borderId="1" xfId="1" applyFont="1" applyFill="1" applyBorder="1" applyAlignment="1">
      <alignment vertical="center" shrinkToFit="1"/>
    </xf>
    <xf numFmtId="183" fontId="124" fillId="2" borderId="1" xfId="138" applyNumberFormat="1" applyFont="1" applyFill="1" applyBorder="1" applyAlignment="1">
      <alignment horizontal="center" vertical="center" shrinkToFit="1"/>
    </xf>
    <xf numFmtId="186" fontId="124" fillId="2" borderId="1" xfId="138" applyFont="1" applyFill="1" applyBorder="1" applyAlignment="1">
      <alignment horizontal="center" vertical="center" shrinkToFit="1"/>
    </xf>
    <xf numFmtId="179" fontId="131" fillId="20" borderId="42" xfId="1" applyNumberFormat="1" applyFont="1" applyFill="1" applyBorder="1" applyAlignment="1">
      <alignment horizontal="center" vertical="center"/>
    </xf>
    <xf numFmtId="183" fontId="133" fillId="18" borderId="42" xfId="0" applyNumberFormat="1" applyFont="1" applyFill="1" applyBorder="1" applyAlignment="1">
      <alignment horizontal="center" vertical="center"/>
    </xf>
    <xf numFmtId="0" fontId="133" fillId="18" borderId="42" xfId="0" applyFont="1" applyFill="1" applyBorder="1" applyAlignment="1">
      <alignment horizontal="left" vertical="center"/>
    </xf>
    <xf numFmtId="0" fontId="133" fillId="18" borderId="42" xfId="0" applyFont="1" applyFill="1" applyBorder="1" applyAlignment="1">
      <alignment horizontal="center" vertical="center"/>
    </xf>
    <xf numFmtId="41" fontId="131" fillId="18" borderId="42" xfId="1" applyFont="1" applyFill="1" applyBorder="1" applyAlignment="1">
      <alignment vertical="center"/>
    </xf>
    <xf numFmtId="0" fontId="131" fillId="18" borderId="42" xfId="0" applyFont="1" applyFill="1" applyBorder="1" applyAlignment="1">
      <alignment horizontal="center" vertical="center"/>
    </xf>
    <xf numFmtId="0" fontId="133" fillId="18" borderId="42" xfId="138" applyNumberFormat="1" applyFont="1" applyFill="1" applyBorder="1" applyAlignment="1">
      <alignment horizontal="center" vertical="center" wrapText="1" shrinkToFit="1"/>
    </xf>
    <xf numFmtId="177" fontId="131" fillId="18" borderId="42" xfId="0" applyNumberFormat="1" applyFont="1" applyFill="1" applyBorder="1" applyAlignment="1">
      <alignment horizontal="center" vertical="center"/>
    </xf>
    <xf numFmtId="179" fontId="131" fillId="18" borderId="42" xfId="1" applyNumberFormat="1" applyFont="1" applyFill="1" applyBorder="1" applyAlignment="1">
      <alignment horizontal="center" vertical="center"/>
    </xf>
    <xf numFmtId="182" fontId="106" fillId="18" borderId="42" xfId="4" applyNumberFormat="1" applyFont="1" applyFill="1" applyBorder="1" applyAlignment="1">
      <alignment horizontal="right" vertical="center" shrinkToFit="1"/>
    </xf>
    <xf numFmtId="179" fontId="52" fillId="18" borderId="42" xfId="4" applyNumberFormat="1" applyFont="1" applyFill="1" applyBorder="1" applyAlignment="1">
      <alignment vertical="center" shrinkToFit="1"/>
    </xf>
    <xf numFmtId="179" fontId="133" fillId="18" borderId="42" xfId="4" applyNumberFormat="1" applyFont="1" applyFill="1" applyBorder="1" applyAlignment="1">
      <alignment vertical="center" shrinkToFit="1"/>
    </xf>
    <xf numFmtId="186" fontId="133" fillId="18" borderId="42" xfId="138" quotePrefix="1" applyFont="1" applyFill="1" applyBorder="1" applyAlignment="1">
      <alignment horizontal="left" vertical="center" shrinkToFit="1"/>
    </xf>
    <xf numFmtId="186" fontId="133" fillId="18" borderId="42" xfId="138" quotePrefix="1" applyFont="1" applyFill="1" applyBorder="1" applyAlignment="1">
      <alignment vertical="center" shrinkToFit="1"/>
    </xf>
    <xf numFmtId="186" fontId="89" fillId="18" borderId="42" xfId="138" quotePrefix="1" applyFont="1" applyFill="1" applyBorder="1" applyAlignment="1">
      <alignment vertical="center" shrinkToFit="1"/>
    </xf>
    <xf numFmtId="186" fontId="133" fillId="9" borderId="42" xfId="138" quotePrefix="1" applyFont="1" applyFill="1" applyBorder="1" applyAlignment="1">
      <alignment horizontal="left" vertical="center" shrinkToFit="1"/>
    </xf>
    <xf numFmtId="186" fontId="89" fillId="9" borderId="42" xfId="138" quotePrefix="1" applyFont="1" applyFill="1" applyBorder="1" applyAlignment="1">
      <alignment vertical="center" shrinkToFit="1"/>
    </xf>
    <xf numFmtId="183" fontId="133" fillId="23" borderId="42" xfId="0" applyNumberFormat="1" applyFont="1" applyFill="1" applyBorder="1" applyAlignment="1">
      <alignment horizontal="center" vertical="center"/>
    </xf>
    <xf numFmtId="0" fontId="89" fillId="23" borderId="42" xfId="0" applyFont="1" applyFill="1" applyBorder="1" applyAlignment="1">
      <alignment horizontal="left" vertical="center"/>
    </xf>
    <xf numFmtId="0" fontId="133" fillId="23" borderId="42" xfId="0" applyFont="1" applyFill="1" applyBorder="1" applyAlignment="1">
      <alignment horizontal="center" vertical="center"/>
    </xf>
    <xf numFmtId="41" fontId="131" fillId="23" borderId="42" xfId="1" applyFont="1" applyFill="1" applyBorder="1" applyAlignment="1">
      <alignment vertical="center"/>
    </xf>
    <xf numFmtId="0" fontId="131" fillId="23" borderId="42" xfId="0" applyFont="1" applyFill="1" applyBorder="1" applyAlignment="1">
      <alignment horizontal="center" vertical="center"/>
    </xf>
    <xf numFmtId="0" fontId="133" fillId="23" borderId="42" xfId="138" applyNumberFormat="1" applyFont="1" applyFill="1" applyBorder="1" applyAlignment="1">
      <alignment horizontal="center" vertical="center" wrapText="1" shrinkToFit="1"/>
    </xf>
    <xf numFmtId="177" fontId="131" fillId="23" borderId="42" xfId="0" applyNumberFormat="1" applyFont="1" applyFill="1" applyBorder="1" applyAlignment="1">
      <alignment horizontal="center" vertical="center"/>
    </xf>
    <xf numFmtId="179" fontId="131" fillId="23" borderId="42" xfId="1" applyNumberFormat="1" applyFont="1" applyFill="1" applyBorder="1" applyAlignment="1">
      <alignment horizontal="center" vertical="center"/>
    </xf>
    <xf numFmtId="182" fontId="106" fillId="23" borderId="42" xfId="4" applyNumberFormat="1" applyFont="1" applyFill="1" applyBorder="1" applyAlignment="1">
      <alignment horizontal="right" vertical="center" shrinkToFit="1"/>
    </xf>
    <xf numFmtId="179" fontId="52" fillId="23" borderId="42" xfId="4" applyNumberFormat="1" applyFont="1" applyFill="1" applyBorder="1" applyAlignment="1">
      <alignment vertical="center" shrinkToFit="1"/>
    </xf>
    <xf numFmtId="179" fontId="133" fillId="23" borderId="42" xfId="4" applyNumberFormat="1" applyFont="1" applyFill="1" applyBorder="1" applyAlignment="1">
      <alignment vertical="center" shrinkToFit="1"/>
    </xf>
    <xf numFmtId="186" fontId="133" fillId="23" borderId="42" xfId="138" applyFont="1" applyFill="1" applyBorder="1" applyAlignment="1">
      <alignment horizontal="left" vertical="center" shrinkToFit="1"/>
    </xf>
    <xf numFmtId="186" fontId="133" fillId="23" borderId="42" xfId="138" quotePrefix="1" applyFont="1" applyFill="1" applyBorder="1" applyAlignment="1">
      <alignment vertical="center" shrinkToFit="1"/>
    </xf>
    <xf numFmtId="0" fontId="21" fillId="0" borderId="0" xfId="137" applyNumberFormat="1" applyFont="1" applyAlignment="1">
      <alignment vertical="center"/>
    </xf>
    <xf numFmtId="183" fontId="21" fillId="0" borderId="0" xfId="137" applyNumberFormat="1" applyFont="1" applyAlignment="1">
      <alignment horizontal="center" vertical="center"/>
    </xf>
    <xf numFmtId="186" fontId="21" fillId="0" borderId="0" xfId="137" applyFont="1" applyAlignment="1">
      <alignment horizontal="left" vertical="center"/>
    </xf>
    <xf numFmtId="186" fontId="21" fillId="0" borderId="0" xfId="137" applyFont="1" applyAlignment="1">
      <alignment horizontal="center" vertical="center"/>
    </xf>
    <xf numFmtId="178" fontId="21" fillId="0" borderId="0" xfId="4" applyNumberFormat="1" applyFont="1" applyFill="1" applyAlignment="1">
      <alignment vertical="center"/>
    </xf>
    <xf numFmtId="187" fontId="21" fillId="0" borderId="0" xfId="4" applyNumberFormat="1" applyFont="1" applyFill="1" applyAlignment="1">
      <alignment vertical="center" shrinkToFit="1"/>
    </xf>
    <xf numFmtId="178" fontId="21" fillId="0" borderId="0" xfId="4" applyNumberFormat="1" applyFont="1" applyFill="1" applyAlignment="1">
      <alignment vertical="center" shrinkToFit="1"/>
    </xf>
    <xf numFmtId="178" fontId="21" fillId="0" borderId="0" xfId="4" applyNumberFormat="1" applyFont="1" applyFill="1" applyAlignment="1">
      <alignment horizontal="center" vertical="center" shrinkToFit="1"/>
    </xf>
    <xf numFmtId="178" fontId="21" fillId="0" borderId="0" xfId="4" applyNumberFormat="1" applyFont="1" applyFill="1" applyBorder="1" applyAlignment="1">
      <alignment vertical="center"/>
    </xf>
    <xf numFmtId="178" fontId="21" fillId="0" borderId="0" xfId="137" applyNumberFormat="1" applyFont="1" applyAlignment="1">
      <alignment vertical="center"/>
    </xf>
    <xf numFmtId="186" fontId="21" fillId="0" borderId="0" xfId="137" applyFont="1" applyAlignment="1">
      <alignment vertical="center"/>
    </xf>
    <xf numFmtId="186" fontId="21" fillId="0" borderId="0" xfId="137" applyFont="1" applyAlignment="1">
      <alignment vertical="center" shrinkToFit="1"/>
    </xf>
    <xf numFmtId="0" fontId="14" fillId="0" borderId="0" xfId="137" applyNumberFormat="1" applyFont="1" applyAlignment="1">
      <alignment vertical="center"/>
    </xf>
    <xf numFmtId="186" fontId="5" fillId="0" borderId="0" xfId="138" applyFont="1">
      <alignment vertical="center"/>
    </xf>
    <xf numFmtId="186" fontId="9" fillId="0" borderId="0" xfId="138" applyFont="1">
      <alignment vertical="center"/>
    </xf>
    <xf numFmtId="0" fontId="5" fillId="0" borderId="0" xfId="138" applyNumberFormat="1" applyFont="1">
      <alignment vertical="center"/>
    </xf>
    <xf numFmtId="183" fontId="38" fillId="0" borderId="0" xfId="138" applyNumberFormat="1" applyFont="1" applyAlignment="1">
      <alignment horizontal="left" vertical="center"/>
    </xf>
    <xf numFmtId="186" fontId="5" fillId="0" borderId="0" xfId="138" applyFont="1" applyAlignment="1">
      <alignment horizontal="left" vertical="center"/>
    </xf>
    <xf numFmtId="186" fontId="5" fillId="0" borderId="0" xfId="138" applyFont="1" applyAlignment="1">
      <alignment vertical="center" shrinkToFit="1"/>
    </xf>
    <xf numFmtId="0" fontId="14" fillId="0" borderId="0" xfId="0" applyFont="1" applyAlignment="1">
      <alignment horizontal="left" vertical="center"/>
    </xf>
    <xf numFmtId="178" fontId="26" fillId="0" borderId="0" xfId="4" quotePrefix="1" applyNumberFormat="1" applyFont="1" applyFill="1" applyBorder="1" applyAlignment="1">
      <alignment horizontal="left" vertical="center"/>
    </xf>
    <xf numFmtId="186" fontId="5" fillId="0" borderId="0" xfId="138" applyFont="1" applyAlignment="1">
      <alignment horizontal="center" vertical="center"/>
    </xf>
    <xf numFmtId="179" fontId="5" fillId="0" borderId="0" xfId="4" applyNumberFormat="1" applyFont="1" applyFill="1" applyBorder="1">
      <alignment vertical="center"/>
    </xf>
    <xf numFmtId="0" fontId="14" fillId="0" borderId="0" xfId="138" applyNumberFormat="1" applyFont="1">
      <alignment vertical="center"/>
    </xf>
    <xf numFmtId="0" fontId="162" fillId="0" borderId="0" xfId="137" applyNumberFormat="1" applyFont="1" applyAlignment="1">
      <alignment vertical="center"/>
    </xf>
    <xf numFmtId="178" fontId="163" fillId="0" borderId="0" xfId="4" quotePrefix="1" applyNumberFormat="1" applyFont="1" applyFill="1" applyAlignment="1">
      <alignment horizontal="left" vertical="center"/>
    </xf>
    <xf numFmtId="178" fontId="162" fillId="0" borderId="0" xfId="4" applyNumberFormat="1" applyFont="1" applyFill="1" applyAlignment="1">
      <alignment horizontal="left" vertical="center"/>
    </xf>
    <xf numFmtId="4" fontId="14" fillId="0" borderId="0" xfId="0" applyNumberFormat="1" applyFont="1">
      <alignment vertical="center"/>
    </xf>
    <xf numFmtId="186" fontId="162" fillId="0" borderId="0" xfId="138" applyFont="1">
      <alignment vertical="center"/>
    </xf>
    <xf numFmtId="178" fontId="162" fillId="0" borderId="0" xfId="4" quotePrefix="1" applyNumberFormat="1" applyFont="1" applyFill="1" applyAlignment="1">
      <alignment horizontal="left" vertical="center"/>
    </xf>
    <xf numFmtId="178" fontId="162" fillId="0" borderId="0" xfId="4" applyNumberFormat="1" applyFont="1" applyFill="1" applyAlignment="1">
      <alignment horizontal="left" vertical="center" shrinkToFit="1"/>
    </xf>
    <xf numFmtId="178" fontId="26" fillId="0" borderId="0" xfId="4" applyNumberFormat="1" applyFont="1" applyFill="1" applyBorder="1" applyAlignment="1">
      <alignment horizontal="left" vertical="center"/>
    </xf>
    <xf numFmtId="183" fontId="26" fillId="2" borderId="1" xfId="4" applyNumberFormat="1" applyFont="1" applyFill="1" applyBorder="1" applyAlignment="1">
      <alignment horizontal="center" vertical="center"/>
    </xf>
    <xf numFmtId="178" fontId="26" fillId="2" borderId="1" xfId="4" applyNumberFormat="1" applyFont="1" applyFill="1" applyBorder="1" applyAlignment="1">
      <alignment horizontal="center" vertical="center"/>
    </xf>
    <xf numFmtId="178" fontId="26" fillId="2" borderId="1" xfId="4" applyNumberFormat="1" applyFont="1" applyFill="1" applyBorder="1" applyAlignment="1">
      <alignment horizontal="center" vertical="center" shrinkToFit="1"/>
    </xf>
    <xf numFmtId="179" fontId="26" fillId="2" borderId="1" xfId="4" applyNumberFormat="1" applyFont="1" applyFill="1" applyBorder="1" applyAlignment="1">
      <alignment horizontal="center" vertical="center" shrinkToFit="1"/>
    </xf>
    <xf numFmtId="178" fontId="26" fillId="2" borderId="1" xfId="4" applyNumberFormat="1" applyFont="1" applyFill="1" applyBorder="1" applyAlignment="1">
      <alignment horizontal="center" vertical="center" wrapText="1"/>
    </xf>
    <xf numFmtId="183" fontId="21" fillId="0" borderId="1" xfId="138" applyNumberFormat="1" applyFont="1" applyBorder="1" applyAlignment="1">
      <alignment horizontal="left" vertical="center"/>
    </xf>
    <xf numFmtId="186" fontId="21" fillId="0" borderId="1" xfId="138" applyFont="1" applyBorder="1" applyAlignment="1">
      <alignment horizontal="left" vertical="center"/>
    </xf>
    <xf numFmtId="179" fontId="21" fillId="0" borderId="1" xfId="4" applyNumberFormat="1" applyFont="1" applyBorder="1">
      <alignment vertical="center"/>
    </xf>
    <xf numFmtId="179" fontId="21" fillId="0" borderId="2" xfId="4" applyNumberFormat="1" applyFont="1" applyFill="1" applyBorder="1">
      <alignment vertical="center"/>
    </xf>
    <xf numFmtId="41" fontId="21" fillId="0" borderId="1" xfId="1" applyFont="1" applyBorder="1" applyAlignment="1">
      <alignment vertical="center" shrinkToFit="1"/>
    </xf>
    <xf numFmtId="186" fontId="21" fillId="0" borderId="1" xfId="138" applyFont="1" applyBorder="1">
      <alignment vertical="center"/>
    </xf>
    <xf numFmtId="41" fontId="21" fillId="0" borderId="1" xfId="4" applyFont="1" applyFill="1" applyBorder="1" applyAlignment="1">
      <alignment vertical="center" shrinkToFit="1"/>
    </xf>
    <xf numFmtId="41" fontId="162" fillId="0" borderId="1" xfId="1" quotePrefix="1" applyFont="1" applyFill="1" applyBorder="1" applyAlignment="1">
      <alignment horizontal="left" vertical="center"/>
    </xf>
    <xf numFmtId="41" fontId="14" fillId="0" borderId="0" xfId="138" applyNumberFormat="1" applyFont="1">
      <alignment vertical="center"/>
    </xf>
    <xf numFmtId="179" fontId="21" fillId="0" borderId="1" xfId="4" applyNumberFormat="1" applyFont="1" applyFill="1" applyBorder="1">
      <alignment vertical="center"/>
    </xf>
    <xf numFmtId="186" fontId="21" fillId="3" borderId="1" xfId="138" applyFont="1" applyFill="1" applyBorder="1">
      <alignment vertical="center"/>
    </xf>
    <xf numFmtId="186" fontId="21" fillId="3" borderId="1" xfId="138" applyFont="1" applyFill="1" applyBorder="1" applyAlignment="1">
      <alignment horizontal="left" vertical="center"/>
    </xf>
    <xf numFmtId="41" fontId="21" fillId="3" borderId="1" xfId="1" applyFont="1" applyFill="1" applyBorder="1" applyAlignment="1">
      <alignment vertical="center" shrinkToFit="1"/>
    </xf>
    <xf numFmtId="179" fontId="21" fillId="3" borderId="1" xfId="4" applyNumberFormat="1" applyFont="1" applyFill="1" applyBorder="1">
      <alignment vertical="center"/>
    </xf>
    <xf numFmtId="179" fontId="21" fillId="3" borderId="1" xfId="4" applyNumberFormat="1" applyFont="1" applyFill="1" applyBorder="1" applyAlignment="1">
      <alignment horizontal="center" vertical="center"/>
    </xf>
    <xf numFmtId="41" fontId="21" fillId="3" borderId="1" xfId="4" applyFont="1" applyFill="1" applyBorder="1" applyAlignment="1">
      <alignment vertical="center" shrinkToFit="1"/>
    </xf>
    <xf numFmtId="177" fontId="21" fillId="0" borderId="1" xfId="4" applyNumberFormat="1" applyFont="1" applyBorder="1">
      <alignment vertical="center"/>
    </xf>
    <xf numFmtId="178" fontId="162" fillId="0" borderId="1" xfId="4" quotePrefix="1" applyNumberFormat="1" applyFont="1" applyFill="1" applyBorder="1" applyAlignment="1">
      <alignment horizontal="left" vertical="center"/>
    </xf>
    <xf numFmtId="0" fontId="21" fillId="0" borderId="0" xfId="137" applyNumberFormat="1" applyFont="1" applyAlignment="1">
      <alignment vertical="center" shrinkToFit="1"/>
    </xf>
    <xf numFmtId="183" fontId="33" fillId="2" borderId="3" xfId="138" applyNumberFormat="1" applyFont="1" applyFill="1" applyBorder="1" applyAlignment="1">
      <alignment horizontal="center" vertical="center" shrinkToFit="1"/>
    </xf>
    <xf numFmtId="186" fontId="33" fillId="2" borderId="4" xfId="138" applyFont="1" applyFill="1" applyBorder="1" applyAlignment="1">
      <alignment horizontal="left" vertical="center" shrinkToFit="1"/>
    </xf>
    <xf numFmtId="179" fontId="26" fillId="2" borderId="1" xfId="4" applyNumberFormat="1" applyFont="1" applyFill="1" applyBorder="1" applyAlignment="1">
      <alignment vertical="center" shrinkToFit="1"/>
    </xf>
    <xf numFmtId="41" fontId="26" fillId="2" borderId="1" xfId="1" applyFont="1" applyFill="1" applyBorder="1" applyAlignment="1">
      <alignment vertical="center" shrinkToFit="1"/>
    </xf>
    <xf numFmtId="183" fontId="26" fillId="2" borderId="1" xfId="138" applyNumberFormat="1" applyFont="1" applyFill="1" applyBorder="1" applyAlignment="1">
      <alignment horizontal="center" vertical="center" shrinkToFit="1"/>
    </xf>
    <xf numFmtId="186" fontId="26" fillId="2" borderId="1" xfId="138" applyFont="1" applyFill="1" applyBorder="1" applyAlignment="1">
      <alignment horizontal="center" vertical="center" shrinkToFit="1"/>
    </xf>
    <xf numFmtId="41" fontId="26" fillId="2" borderId="1" xfId="4" applyFont="1" applyFill="1" applyBorder="1" applyAlignment="1">
      <alignment vertical="center" shrinkToFit="1"/>
    </xf>
    <xf numFmtId="186" fontId="9" fillId="0" borderId="0" xfId="138" applyFont="1" applyAlignment="1">
      <alignment vertical="center" shrinkToFit="1"/>
    </xf>
    <xf numFmtId="179" fontId="14" fillId="0" borderId="0" xfId="4" applyNumberFormat="1" applyFont="1" applyAlignment="1">
      <alignment vertical="center" shrinkToFit="1"/>
    </xf>
    <xf numFmtId="185" fontId="21" fillId="0" borderId="0" xfId="1" applyNumberFormat="1" applyFont="1" applyFill="1" applyAlignment="1">
      <alignment vertical="center" shrinkToFit="1"/>
    </xf>
    <xf numFmtId="186" fontId="5" fillId="0" borderId="0" xfId="138" applyFont="1" applyAlignment="1">
      <alignment horizontal="center" vertical="center" shrinkToFit="1"/>
    </xf>
    <xf numFmtId="179" fontId="5" fillId="0" borderId="0" xfId="4" applyNumberFormat="1" applyFont="1" applyAlignment="1">
      <alignment vertical="center" shrinkToFit="1"/>
    </xf>
    <xf numFmtId="183" fontId="5" fillId="0" borderId="0" xfId="138" applyNumberFormat="1" applyFont="1" applyAlignment="1">
      <alignment horizontal="center" vertical="center"/>
    </xf>
    <xf numFmtId="179" fontId="21" fillId="0" borderId="0" xfId="4" applyNumberFormat="1" applyFont="1" applyAlignment="1">
      <alignment horizontal="left" vertical="center"/>
    </xf>
    <xf numFmtId="186" fontId="9" fillId="0" borderId="0" xfId="138" applyFont="1" applyAlignment="1">
      <alignment horizontal="right" vertical="center" shrinkToFit="1"/>
    </xf>
    <xf numFmtId="179" fontId="5" fillId="0" borderId="0" xfId="1" applyNumberFormat="1" applyFont="1" applyAlignment="1">
      <alignment vertical="center" shrinkToFit="1"/>
    </xf>
    <xf numFmtId="41" fontId="5" fillId="0" borderId="0" xfId="1" applyFont="1" applyAlignment="1">
      <alignment vertical="center" shrinkToFit="1"/>
    </xf>
    <xf numFmtId="179" fontId="21" fillId="0" borderId="0" xfId="1" applyNumberFormat="1" applyFont="1" applyAlignment="1">
      <alignment vertical="center" shrinkToFit="1"/>
    </xf>
    <xf numFmtId="41" fontId="14" fillId="0" borderId="0" xfId="1" applyFont="1" applyAlignment="1">
      <alignment vertical="center" shrinkToFit="1"/>
    </xf>
    <xf numFmtId="179" fontId="9" fillId="0" borderId="0" xfId="1" applyNumberFormat="1" applyFont="1" applyAlignment="1">
      <alignment vertical="center" shrinkToFit="1"/>
    </xf>
    <xf numFmtId="41" fontId="21" fillId="0" borderId="0" xfId="4" applyFont="1" applyFill="1" applyBorder="1" applyAlignment="1">
      <alignment vertical="center" shrinkToFit="1"/>
    </xf>
    <xf numFmtId="179" fontId="21" fillId="0" borderId="0" xfId="1" applyNumberFormat="1" applyFont="1" applyAlignment="1">
      <alignment horizontal="center" vertical="center"/>
    </xf>
    <xf numFmtId="183" fontId="164" fillId="2" borderId="42" xfId="4" applyNumberFormat="1" applyFont="1" applyFill="1" applyBorder="1" applyAlignment="1">
      <alignment horizontal="center" vertical="center"/>
    </xf>
    <xf numFmtId="178" fontId="164" fillId="2" borderId="42" xfId="4" applyNumberFormat="1" applyFont="1" applyFill="1" applyBorder="1" applyAlignment="1">
      <alignment horizontal="left" vertical="center"/>
    </xf>
    <xf numFmtId="178" fontId="164" fillId="2" borderId="42" xfId="4" applyNumberFormat="1" applyFont="1" applyFill="1" applyBorder="1" applyAlignment="1">
      <alignment horizontal="center" vertical="center"/>
    </xf>
    <xf numFmtId="186" fontId="164" fillId="2" borderId="42" xfId="4" applyNumberFormat="1" applyFont="1" applyFill="1" applyBorder="1" applyAlignment="1">
      <alignment horizontal="center" vertical="center"/>
    </xf>
    <xf numFmtId="178" fontId="164" fillId="2" borderId="42" xfId="4" applyNumberFormat="1" applyFont="1" applyFill="1" applyBorder="1" applyAlignment="1">
      <alignment horizontal="center" vertical="center" shrinkToFit="1"/>
    </xf>
    <xf numFmtId="183" fontId="26" fillId="2" borderId="42" xfId="4" applyNumberFormat="1" applyFont="1" applyFill="1" applyBorder="1" applyAlignment="1">
      <alignment horizontal="center" vertical="center"/>
    </xf>
    <xf numFmtId="178" fontId="26" fillId="2" borderId="42" xfId="4" applyNumberFormat="1" applyFont="1" applyFill="1" applyBorder="1" applyAlignment="1">
      <alignment horizontal="left" vertical="center"/>
    </xf>
    <xf numFmtId="178" fontId="26" fillId="2" borderId="42" xfId="4" applyNumberFormat="1" applyFont="1" applyFill="1" applyBorder="1" applyAlignment="1">
      <alignment horizontal="center" vertical="center"/>
    </xf>
    <xf numFmtId="186" fontId="26" fillId="2" borderId="42" xfId="4" applyNumberFormat="1" applyFont="1" applyFill="1" applyBorder="1" applyAlignment="1">
      <alignment horizontal="center" vertical="center"/>
    </xf>
    <xf numFmtId="178" fontId="26" fillId="4" borderId="42" xfId="4" applyNumberFormat="1" applyFont="1" applyFill="1" applyBorder="1" applyAlignment="1">
      <alignment horizontal="center" vertical="center"/>
    </xf>
    <xf numFmtId="178" fontId="26" fillId="4" borderId="42" xfId="4" applyNumberFormat="1" applyFont="1" applyFill="1" applyBorder="1" applyAlignment="1">
      <alignment horizontal="center" vertical="center" shrinkToFit="1"/>
    </xf>
    <xf numFmtId="179" fontId="26" fillId="2" borderId="42" xfId="4" applyNumberFormat="1" applyFont="1" applyFill="1" applyBorder="1" applyAlignment="1">
      <alignment horizontal="center" vertical="center"/>
    </xf>
    <xf numFmtId="179" fontId="26" fillId="2" borderId="42" xfId="4" applyNumberFormat="1" applyFont="1" applyFill="1" applyBorder="1" applyAlignment="1">
      <alignment horizontal="center" vertical="center" shrinkToFit="1"/>
    </xf>
    <xf numFmtId="179" fontId="26" fillId="2" borderId="42" xfId="1" applyNumberFormat="1" applyFont="1" applyFill="1" applyBorder="1" applyAlignment="1">
      <alignment horizontal="center" vertical="center"/>
    </xf>
    <xf numFmtId="178" fontId="26" fillId="2" borderId="42" xfId="138" applyNumberFormat="1" applyFont="1" applyFill="1" applyBorder="1" applyAlignment="1">
      <alignment horizontal="center" vertical="center"/>
    </xf>
    <xf numFmtId="178" fontId="26" fillId="2" borderId="42" xfId="4" applyNumberFormat="1" applyFont="1" applyFill="1" applyBorder="1" applyAlignment="1">
      <alignment horizontal="center" vertical="center" shrinkToFit="1"/>
    </xf>
    <xf numFmtId="183" fontId="5" fillId="18" borderId="42" xfId="0" applyNumberFormat="1" applyFont="1" applyFill="1" applyBorder="1" applyAlignment="1">
      <alignment horizontal="center" vertical="center"/>
    </xf>
    <xf numFmtId="0" fontId="5" fillId="18" borderId="42" xfId="0" applyFont="1" applyFill="1" applyBorder="1" applyAlignment="1">
      <alignment horizontal="left" vertical="center"/>
    </xf>
    <xf numFmtId="0" fontId="5" fillId="18" borderId="42" xfId="0" applyFont="1" applyFill="1" applyBorder="1" applyAlignment="1">
      <alignment horizontal="center" vertical="center"/>
    </xf>
    <xf numFmtId="41" fontId="21" fillId="18" borderId="42" xfId="1" applyFont="1" applyFill="1" applyBorder="1" applyAlignment="1">
      <alignment vertical="center"/>
    </xf>
    <xf numFmtId="0" fontId="21" fillId="18" borderId="42" xfId="0" applyFont="1" applyFill="1" applyBorder="1" applyAlignment="1">
      <alignment horizontal="center" vertical="center"/>
    </xf>
    <xf numFmtId="0" fontId="5" fillId="18" borderId="42" xfId="138" applyNumberFormat="1" applyFont="1" applyFill="1" applyBorder="1" applyAlignment="1">
      <alignment horizontal="center" vertical="center" wrapText="1" shrinkToFit="1"/>
    </xf>
    <xf numFmtId="177" fontId="21" fillId="18" borderId="42" xfId="0" applyNumberFormat="1" applyFont="1" applyFill="1" applyBorder="1" applyAlignment="1">
      <alignment horizontal="center" vertical="center"/>
    </xf>
    <xf numFmtId="179" fontId="21" fillId="18" borderId="42" xfId="1" applyNumberFormat="1" applyFont="1" applyFill="1" applyBorder="1" applyAlignment="1">
      <alignment horizontal="center" vertical="center"/>
    </xf>
    <xf numFmtId="182" fontId="21" fillId="18" borderId="42" xfId="4" applyNumberFormat="1" applyFont="1" applyFill="1" applyBorder="1" applyAlignment="1">
      <alignment horizontal="right" vertical="center" shrinkToFit="1"/>
    </xf>
    <xf numFmtId="179" fontId="21" fillId="11" borderId="42" xfId="4" applyNumberFormat="1" applyFont="1" applyFill="1" applyBorder="1" applyAlignment="1">
      <alignment vertical="center" shrinkToFit="1"/>
    </xf>
    <xf numFmtId="179" fontId="5" fillId="18" borderId="42" xfId="4" applyNumberFormat="1" applyFont="1" applyFill="1" applyBorder="1" applyAlignment="1">
      <alignment vertical="center" shrinkToFit="1"/>
    </xf>
    <xf numFmtId="186" fontId="5" fillId="18" borderId="42" xfId="138" quotePrefix="1" applyFont="1" applyFill="1" applyBorder="1" applyAlignment="1">
      <alignment horizontal="left" vertical="center" shrinkToFit="1"/>
    </xf>
    <xf numFmtId="186" fontId="5" fillId="18" borderId="42" xfId="138" quotePrefix="1" applyFont="1" applyFill="1" applyBorder="1" applyAlignment="1">
      <alignment vertical="center" shrinkToFit="1"/>
    </xf>
    <xf numFmtId="179" fontId="5" fillId="0" borderId="0" xfId="1" applyNumberFormat="1" applyFont="1" applyFill="1">
      <alignment vertical="center"/>
    </xf>
    <xf numFmtId="183" fontId="5" fillId="9" borderId="42" xfId="0" applyNumberFormat="1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left" vertical="center"/>
    </xf>
    <xf numFmtId="0" fontId="5" fillId="9" borderId="42" xfId="0" applyFont="1" applyFill="1" applyBorder="1" applyAlignment="1">
      <alignment horizontal="center" vertical="center"/>
    </xf>
    <xf numFmtId="41" fontId="21" fillId="9" borderId="42" xfId="1" applyFont="1" applyFill="1" applyBorder="1" applyAlignment="1">
      <alignment vertical="center"/>
    </xf>
    <xf numFmtId="0" fontId="21" fillId="9" borderId="42" xfId="0" applyFont="1" applyFill="1" applyBorder="1" applyAlignment="1">
      <alignment horizontal="center" vertical="center"/>
    </xf>
    <xf numFmtId="0" fontId="5" fillId="9" borderId="42" xfId="138" applyNumberFormat="1" applyFont="1" applyFill="1" applyBorder="1" applyAlignment="1">
      <alignment horizontal="center" vertical="center" wrapText="1" shrinkToFit="1"/>
    </xf>
    <xf numFmtId="177" fontId="21" fillId="9" borderId="42" xfId="0" applyNumberFormat="1" applyFont="1" applyFill="1" applyBorder="1" applyAlignment="1">
      <alignment horizontal="center" vertical="center"/>
    </xf>
    <xf numFmtId="179" fontId="21" fillId="9" borderId="42" xfId="1" applyNumberFormat="1" applyFont="1" applyFill="1" applyBorder="1" applyAlignment="1">
      <alignment horizontal="center" vertical="center"/>
    </xf>
    <xf numFmtId="182" fontId="21" fillId="9" borderId="42" xfId="4" applyNumberFormat="1" applyFont="1" applyFill="1" applyBorder="1" applyAlignment="1">
      <alignment horizontal="right" vertical="center" shrinkToFit="1"/>
    </xf>
    <xf numFmtId="179" fontId="5" fillId="9" borderId="42" xfId="4" applyNumberFormat="1" applyFont="1" applyFill="1" applyBorder="1" applyAlignment="1">
      <alignment vertical="center" shrinkToFit="1"/>
    </xf>
    <xf numFmtId="186" fontId="5" fillId="9" borderId="42" xfId="138" quotePrefix="1" applyFont="1" applyFill="1" applyBorder="1" applyAlignment="1">
      <alignment horizontal="left" vertical="center" shrinkToFit="1"/>
    </xf>
    <xf numFmtId="186" fontId="5" fillId="9" borderId="42" xfId="138" quotePrefix="1" applyFont="1" applyFill="1" applyBorder="1" applyAlignment="1">
      <alignment vertical="center" shrinkToFit="1"/>
    </xf>
    <xf numFmtId="183" fontId="5" fillId="0" borderId="42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41" fontId="21" fillId="0" borderId="42" xfId="1" applyFont="1" applyFill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5" fillId="0" borderId="42" xfId="138" applyNumberFormat="1" applyFont="1" applyBorder="1" applyAlignment="1">
      <alignment horizontal="center" vertical="center" wrapText="1" shrinkToFit="1"/>
    </xf>
    <xf numFmtId="177" fontId="21" fillId="0" borderId="42" xfId="0" applyNumberFormat="1" applyFont="1" applyBorder="1" applyAlignment="1">
      <alignment horizontal="center" vertical="center"/>
    </xf>
    <xf numFmtId="179" fontId="21" fillId="20" borderId="42" xfId="1" applyNumberFormat="1" applyFont="1" applyFill="1" applyBorder="1" applyAlignment="1">
      <alignment horizontal="center" vertical="center"/>
    </xf>
    <xf numFmtId="182" fontId="21" fillId="0" borderId="42" xfId="4" applyNumberFormat="1" applyFont="1" applyFill="1" applyBorder="1" applyAlignment="1">
      <alignment horizontal="right" vertical="center" shrinkToFit="1"/>
    </xf>
    <xf numFmtId="179" fontId="5" fillId="0" borderId="42" xfId="4" applyNumberFormat="1" applyFont="1" applyFill="1" applyBorder="1" applyAlignment="1">
      <alignment vertical="center" shrinkToFit="1"/>
    </xf>
    <xf numFmtId="186" fontId="5" fillId="0" borderId="42" xfId="138" quotePrefix="1" applyFont="1" applyBorder="1" applyAlignment="1">
      <alignment horizontal="left" vertical="center" shrinkToFit="1"/>
    </xf>
    <xf numFmtId="186" fontId="5" fillId="0" borderId="42" xfId="138" quotePrefix="1" applyFont="1" applyBorder="1" applyAlignment="1">
      <alignment vertical="center" shrinkToFit="1"/>
    </xf>
    <xf numFmtId="186" fontId="5" fillId="0" borderId="42" xfId="138" applyFont="1" applyFill="1" applyBorder="1" applyAlignment="1">
      <alignment horizontal="left" vertical="center" shrinkToFit="1"/>
    </xf>
    <xf numFmtId="186" fontId="5" fillId="0" borderId="42" xfId="138" quotePrefix="1" applyFont="1" applyFill="1" applyBorder="1" applyAlignment="1">
      <alignment vertical="center" shrinkToFit="1"/>
    </xf>
    <xf numFmtId="0" fontId="5" fillId="0" borderId="42" xfId="0" applyFont="1" applyFill="1" applyBorder="1" applyAlignment="1">
      <alignment horizontal="left" vertical="center"/>
    </xf>
    <xf numFmtId="0" fontId="5" fillId="0" borderId="42" xfId="0" applyFont="1" applyFill="1" applyBorder="1" applyAlignment="1">
      <alignment horizontal="center" vertical="center"/>
    </xf>
    <xf numFmtId="0" fontId="21" fillId="0" borderId="42" xfId="0" applyFont="1" applyFill="1" applyBorder="1" applyAlignment="1">
      <alignment horizontal="center" vertical="center"/>
    </xf>
    <xf numFmtId="0" fontId="5" fillId="0" borderId="42" xfId="138" applyNumberFormat="1" applyFont="1" applyFill="1" applyBorder="1" applyAlignment="1">
      <alignment horizontal="center" vertical="center" wrapText="1" shrinkToFit="1"/>
    </xf>
    <xf numFmtId="177" fontId="21" fillId="0" borderId="42" xfId="0" applyNumberFormat="1" applyFont="1" applyFill="1" applyBorder="1" applyAlignment="1">
      <alignment horizontal="center" vertical="center"/>
    </xf>
    <xf numFmtId="186" fontId="9" fillId="0" borderId="42" xfId="138" applyFont="1" applyBorder="1">
      <alignment vertical="center"/>
    </xf>
    <xf numFmtId="186" fontId="5" fillId="0" borderId="42" xfId="138" applyFont="1" applyBorder="1" applyAlignment="1">
      <alignment horizontal="left" vertical="center" shrinkToFit="1"/>
    </xf>
    <xf numFmtId="177" fontId="5" fillId="0" borderId="42" xfId="0" applyNumberFormat="1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86" fontId="9" fillId="0" borderId="42" xfId="138" applyFont="1" applyFill="1" applyBorder="1">
      <alignment vertical="center"/>
    </xf>
    <xf numFmtId="177" fontId="5" fillId="0" borderId="42" xfId="0" applyNumberFormat="1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183" fontId="5" fillId="3" borderId="42" xfId="0" applyNumberFormat="1" applyFont="1" applyFill="1" applyBorder="1" applyAlignment="1">
      <alignment horizontal="center" vertical="center"/>
    </xf>
    <xf numFmtId="0" fontId="5" fillId="3" borderId="42" xfId="0" applyFont="1" applyFill="1" applyBorder="1">
      <alignment vertical="center"/>
    </xf>
    <xf numFmtId="0" fontId="5" fillId="3" borderId="42" xfId="0" applyFont="1" applyFill="1" applyBorder="1" applyAlignment="1">
      <alignment horizontal="center" vertical="center"/>
    </xf>
    <xf numFmtId="41" fontId="21" fillId="3" borderId="42" xfId="1" applyFont="1" applyFill="1" applyBorder="1" applyAlignment="1">
      <alignment vertical="center"/>
    </xf>
    <xf numFmtId="0" fontId="21" fillId="3" borderId="42" xfId="0" applyFont="1" applyFill="1" applyBorder="1" applyAlignment="1">
      <alignment horizontal="center" vertical="center"/>
    </xf>
    <xf numFmtId="0" fontId="5" fillId="3" borderId="42" xfId="138" applyNumberFormat="1" applyFont="1" applyFill="1" applyBorder="1" applyAlignment="1">
      <alignment horizontal="center" vertical="center" wrapText="1" shrinkToFit="1"/>
    </xf>
    <xf numFmtId="177" fontId="21" fillId="3" borderId="42" xfId="0" applyNumberFormat="1" applyFont="1" applyFill="1" applyBorder="1" applyAlignment="1">
      <alignment horizontal="center" vertical="center"/>
    </xf>
    <xf numFmtId="186" fontId="9" fillId="3" borderId="42" xfId="138" applyFont="1" applyFill="1" applyBorder="1">
      <alignment vertical="center"/>
    </xf>
    <xf numFmtId="179" fontId="21" fillId="3" borderId="42" xfId="1" applyNumberFormat="1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left" vertical="center"/>
    </xf>
    <xf numFmtId="186" fontId="5" fillId="0" borderId="0" xfId="138" applyFont="1" applyFill="1">
      <alignment vertical="center"/>
    </xf>
    <xf numFmtId="186" fontId="5" fillId="0" borderId="0" xfId="138" applyFont="1" applyFill="1" applyAlignment="1">
      <alignment vertical="center" shrinkToFit="1"/>
    </xf>
    <xf numFmtId="186" fontId="5" fillId="0" borderId="0" xfId="138" applyFont="1" applyFill="1" applyAlignment="1">
      <alignment horizontal="center" vertical="center" shrinkToFit="1"/>
    </xf>
    <xf numFmtId="179" fontId="21" fillId="4" borderId="1" xfId="4" applyNumberFormat="1" applyFont="1" applyFill="1" applyBorder="1" applyAlignment="1">
      <alignment horizontal="center" vertical="center"/>
    </xf>
    <xf numFmtId="178" fontId="165" fillId="0" borderId="0" xfId="4" quotePrefix="1" applyNumberFormat="1" applyFont="1" applyFill="1" applyAlignment="1">
      <alignment horizontal="left" vertical="center"/>
    </xf>
    <xf numFmtId="178" fontId="38" fillId="0" borderId="0" xfId="137" applyNumberFormat="1" applyFont="1" applyAlignment="1">
      <alignment horizontal="left" vertical="center" shrinkToFit="1"/>
    </xf>
    <xf numFmtId="179" fontId="5" fillId="4" borderId="0" xfId="1" applyNumberFormat="1" applyFont="1" applyFill="1" applyAlignment="1">
      <alignment vertical="center" shrinkToFit="1"/>
    </xf>
    <xf numFmtId="179" fontId="5" fillId="4" borderId="0" xfId="1" applyNumberFormat="1" applyFont="1" applyFill="1">
      <alignment vertical="center"/>
    </xf>
    <xf numFmtId="0" fontId="166" fillId="0" borderId="0" xfId="4" applyNumberFormat="1" applyFont="1" applyAlignment="1">
      <alignment vertical="center" shrinkToFit="1"/>
    </xf>
    <xf numFmtId="0" fontId="166" fillId="0" borderId="0" xfId="138" applyNumberFormat="1" applyFont="1" applyAlignment="1">
      <alignment vertical="center" shrinkToFit="1"/>
    </xf>
    <xf numFmtId="0" fontId="166" fillId="0" borderId="0" xfId="138" applyNumberFormat="1" applyFont="1" applyAlignment="1">
      <alignment horizontal="right" vertical="center" shrinkToFit="1"/>
    </xf>
    <xf numFmtId="186" fontId="166" fillId="0" borderId="0" xfId="138" applyFont="1" applyAlignment="1">
      <alignment horizontal="right" vertical="center" shrinkToFit="1"/>
    </xf>
    <xf numFmtId="41" fontId="166" fillId="0" borderId="0" xfId="1" applyFont="1" applyAlignment="1">
      <alignment horizontal="center" vertical="center" shrinkToFit="1"/>
    </xf>
    <xf numFmtId="179" fontId="166" fillId="0" borderId="0" xfId="4" applyNumberFormat="1" applyFont="1">
      <alignment vertical="center"/>
    </xf>
    <xf numFmtId="178" fontId="167" fillId="0" borderId="0" xfId="4" applyNumberFormat="1" applyFont="1" applyFill="1" applyAlignment="1">
      <alignment horizontal="center" vertical="center" shrinkToFit="1"/>
    </xf>
    <xf numFmtId="4" fontId="166" fillId="0" borderId="0" xfId="0" applyNumberFormat="1" applyFont="1">
      <alignment vertical="center"/>
    </xf>
    <xf numFmtId="178" fontId="26" fillId="2" borderId="42" xfId="138" applyNumberFormat="1" applyFont="1" applyFill="1" applyBorder="1" applyAlignment="1">
      <alignment horizontal="center" vertical="center"/>
    </xf>
    <xf numFmtId="178" fontId="164" fillId="2" borderId="42" xfId="4" applyNumberFormat="1" applyFont="1" applyFill="1" applyBorder="1" applyAlignment="1">
      <alignment horizontal="center" vertical="center"/>
    </xf>
    <xf numFmtId="178" fontId="26" fillId="2" borderId="42" xfId="4" applyNumberFormat="1" applyFont="1" applyFill="1" applyBorder="1" applyAlignment="1">
      <alignment horizontal="center" vertical="center"/>
    </xf>
    <xf numFmtId="179" fontId="21" fillId="0" borderId="1" xfId="4" applyNumberFormat="1" applyFont="1" applyFill="1" applyBorder="1" applyAlignment="1">
      <alignment horizontal="center" vertical="center"/>
    </xf>
    <xf numFmtId="188" fontId="38" fillId="17" borderId="42" xfId="138" quotePrefix="1" applyNumberFormat="1" applyFont="1" applyFill="1" applyBorder="1" applyAlignment="1">
      <alignment horizontal="center" vertical="center"/>
    </xf>
    <xf numFmtId="186" fontId="38" fillId="17" borderId="42" xfId="138" applyFont="1" applyFill="1" applyBorder="1" applyAlignment="1">
      <alignment horizontal="left" vertical="center"/>
    </xf>
    <xf numFmtId="186" fontId="38" fillId="17" borderId="42" xfId="138" applyFont="1" applyFill="1" applyBorder="1">
      <alignment vertical="center"/>
    </xf>
    <xf numFmtId="186" fontId="38" fillId="17" borderId="42" xfId="138" applyFont="1" applyFill="1" applyBorder="1" applyAlignment="1">
      <alignment horizontal="center" vertical="center"/>
    </xf>
    <xf numFmtId="186" fontId="38" fillId="17" borderId="42" xfId="138" applyFont="1" applyFill="1" applyBorder="1" applyAlignment="1">
      <alignment vertical="center" shrinkToFit="1"/>
    </xf>
    <xf numFmtId="179" fontId="38" fillId="17" borderId="42" xfId="138" applyNumberFormat="1" applyFont="1" applyFill="1" applyBorder="1">
      <alignment vertical="center"/>
    </xf>
    <xf numFmtId="179" fontId="38" fillId="17" borderId="42" xfId="1" applyNumberFormat="1" applyFont="1" applyFill="1" applyBorder="1" applyAlignment="1">
      <alignment horizontal="center" vertical="center"/>
    </xf>
    <xf numFmtId="179" fontId="38" fillId="17" borderId="42" xfId="1" applyNumberFormat="1" applyFont="1" applyFill="1" applyBorder="1">
      <alignment vertical="center"/>
    </xf>
    <xf numFmtId="179" fontId="33" fillId="17" borderId="42" xfId="1" applyNumberFormat="1" applyFont="1" applyFill="1" applyBorder="1">
      <alignment vertical="center"/>
    </xf>
    <xf numFmtId="179" fontId="165" fillId="17" borderId="42" xfId="1" applyNumberFormat="1" applyFont="1" applyFill="1" applyBorder="1">
      <alignment vertical="center"/>
    </xf>
    <xf numFmtId="189" fontId="165" fillId="17" borderId="42" xfId="138" applyNumberFormat="1" applyFont="1" applyFill="1" applyBorder="1" applyAlignment="1">
      <alignment horizontal="left" vertical="center"/>
    </xf>
    <xf numFmtId="186" fontId="5" fillId="17" borderId="42" xfId="138" applyFont="1" applyFill="1" applyBorder="1" applyAlignment="1">
      <alignment vertical="center" shrinkToFit="1"/>
    </xf>
    <xf numFmtId="179" fontId="9" fillId="0" borderId="0" xfId="1" applyNumberFormat="1" applyFont="1">
      <alignment vertical="center"/>
    </xf>
    <xf numFmtId="0" fontId="5" fillId="0" borderId="42" xfId="0" applyFont="1" applyFill="1" applyBorder="1">
      <alignment vertical="center"/>
    </xf>
    <xf numFmtId="178" fontId="165" fillId="0" borderId="0" xfId="137" applyNumberFormat="1" applyFont="1" applyAlignment="1">
      <alignment horizontal="left" vertical="center" shrinkToFit="1"/>
    </xf>
    <xf numFmtId="0" fontId="21" fillId="0" borderId="0" xfId="4" applyNumberFormat="1" applyFont="1" applyAlignment="1">
      <alignment vertical="center" shrinkToFit="1"/>
    </xf>
    <xf numFmtId="186" fontId="21" fillId="0" borderId="0" xfId="138" applyFont="1" applyAlignment="1">
      <alignment horizontal="right" vertical="center" shrinkToFit="1"/>
    </xf>
    <xf numFmtId="179" fontId="21" fillId="3" borderId="42" xfId="4" applyNumberFormat="1" applyFont="1" applyFill="1" applyBorder="1" applyAlignment="1">
      <alignment vertical="center" shrinkToFit="1"/>
    </xf>
    <xf numFmtId="179" fontId="21" fillId="22" borderId="42" xfId="1" applyNumberFormat="1" applyFont="1" applyFill="1" applyBorder="1" applyAlignment="1">
      <alignment horizontal="center" vertical="center"/>
    </xf>
    <xf numFmtId="179" fontId="21" fillId="22" borderId="42" xfId="4" applyNumberFormat="1" applyFont="1" applyFill="1" applyBorder="1" applyAlignment="1">
      <alignment vertical="center" shrinkToFit="1"/>
    </xf>
    <xf numFmtId="183" fontId="5" fillId="22" borderId="42" xfId="0" applyNumberFormat="1" applyFont="1" applyFill="1" applyBorder="1" applyAlignment="1">
      <alignment horizontal="center" vertical="center"/>
    </xf>
    <xf numFmtId="0" fontId="5" fillId="22" borderId="42" xfId="0" applyFont="1" applyFill="1" applyBorder="1" applyAlignment="1">
      <alignment horizontal="left" vertical="center"/>
    </xf>
    <xf numFmtId="0" fontId="5" fillId="22" borderId="42" xfId="0" applyFont="1" applyFill="1" applyBorder="1" applyAlignment="1">
      <alignment horizontal="center" vertical="center"/>
    </xf>
    <xf numFmtId="41" fontId="21" fillId="22" borderId="42" xfId="1" applyFont="1" applyFill="1" applyBorder="1" applyAlignment="1">
      <alignment vertical="center"/>
    </xf>
    <xf numFmtId="0" fontId="21" fillId="22" borderId="42" xfId="0" applyFont="1" applyFill="1" applyBorder="1" applyAlignment="1">
      <alignment horizontal="center" vertical="center"/>
    </xf>
    <xf numFmtId="0" fontId="5" fillId="22" borderId="42" xfId="138" applyNumberFormat="1" applyFont="1" applyFill="1" applyBorder="1" applyAlignment="1">
      <alignment horizontal="center" vertical="center" wrapText="1" shrinkToFit="1"/>
    </xf>
    <xf numFmtId="177" fontId="21" fillId="22" borderId="42" xfId="0" applyNumberFormat="1" applyFont="1" applyFill="1" applyBorder="1" applyAlignment="1">
      <alignment horizontal="center" vertical="center"/>
    </xf>
    <xf numFmtId="186" fontId="9" fillId="22" borderId="42" xfId="138" applyFont="1" applyFill="1" applyBorder="1">
      <alignment vertical="center"/>
    </xf>
    <xf numFmtId="182" fontId="21" fillId="22" borderId="42" xfId="4" applyNumberFormat="1" applyFont="1" applyFill="1" applyBorder="1" applyAlignment="1">
      <alignment horizontal="right" vertical="center" shrinkToFit="1"/>
    </xf>
    <xf numFmtId="179" fontId="5" fillId="22" borderId="42" xfId="4" applyNumberFormat="1" applyFont="1" applyFill="1" applyBorder="1" applyAlignment="1">
      <alignment vertical="center" shrinkToFit="1"/>
    </xf>
    <xf numFmtId="186" fontId="5" fillId="22" borderId="42" xfId="138" quotePrefix="1" applyFont="1" applyFill="1" applyBorder="1" applyAlignment="1">
      <alignment vertical="center" shrinkToFit="1"/>
    </xf>
    <xf numFmtId="179" fontId="21" fillId="11" borderId="42" xfId="1" applyNumberFormat="1" applyFont="1" applyFill="1" applyBorder="1" applyAlignment="1">
      <alignment horizontal="center" vertical="center"/>
    </xf>
    <xf numFmtId="186" fontId="168" fillId="0" borderId="0" xfId="138" applyFont="1" applyAlignment="1">
      <alignment vertical="center" shrinkToFit="1"/>
    </xf>
    <xf numFmtId="186" fontId="168" fillId="0" borderId="0" xfId="138" applyFont="1" applyAlignment="1">
      <alignment horizontal="right" vertical="center" shrinkToFit="1"/>
    </xf>
    <xf numFmtId="178" fontId="26" fillId="2" borderId="42" xfId="138" applyNumberFormat="1" applyFont="1" applyFill="1" applyBorder="1" applyAlignment="1">
      <alignment horizontal="center" vertical="center"/>
    </xf>
    <xf numFmtId="178" fontId="164" fillId="2" borderId="42" xfId="4" applyNumberFormat="1" applyFont="1" applyFill="1" applyBorder="1" applyAlignment="1">
      <alignment horizontal="center" vertical="center"/>
    </xf>
    <xf numFmtId="178" fontId="26" fillId="2" borderId="42" xfId="4" applyNumberFormat="1" applyFont="1" applyFill="1" applyBorder="1" applyAlignment="1">
      <alignment horizontal="center" vertical="center"/>
    </xf>
    <xf numFmtId="186" fontId="14" fillId="0" borderId="0" xfId="138" applyFont="1" applyAlignment="1">
      <alignment vertical="center" shrinkToFit="1"/>
    </xf>
    <xf numFmtId="0" fontId="14" fillId="0" borderId="0" xfId="4" applyNumberFormat="1" applyFont="1" applyAlignment="1">
      <alignment vertical="center" shrinkToFit="1"/>
    </xf>
    <xf numFmtId="0" fontId="14" fillId="0" borderId="0" xfId="138" applyNumberFormat="1" applyFont="1" applyAlignment="1">
      <alignment vertical="center" shrinkToFit="1"/>
    </xf>
    <xf numFmtId="0" fontId="169" fillId="0" borderId="0" xfId="0" applyFont="1">
      <alignment vertical="center"/>
    </xf>
    <xf numFmtId="0" fontId="14" fillId="0" borderId="0" xfId="138" applyNumberFormat="1" applyFont="1" applyAlignment="1">
      <alignment horizontal="right" vertical="center" shrinkToFit="1"/>
    </xf>
    <xf numFmtId="179" fontId="21" fillId="4" borderId="42" xfId="4" applyNumberFormat="1" applyFont="1" applyFill="1" applyBorder="1" applyAlignment="1">
      <alignment vertical="center" shrinkToFit="1"/>
    </xf>
    <xf numFmtId="179" fontId="21" fillId="4" borderId="42" xfId="1" applyNumberFormat="1" applyFont="1" applyFill="1" applyBorder="1" applyAlignment="1">
      <alignment horizontal="center" vertical="center"/>
    </xf>
    <xf numFmtId="179" fontId="21" fillId="5" borderId="42" xfId="4" applyNumberFormat="1" applyFont="1" applyFill="1" applyBorder="1" applyAlignment="1">
      <alignment vertical="center" shrinkToFit="1"/>
    </xf>
    <xf numFmtId="179" fontId="21" fillId="5" borderId="42" xfId="1" applyNumberFormat="1" applyFont="1" applyFill="1" applyBorder="1" applyAlignment="1">
      <alignment horizontal="center" vertical="center"/>
    </xf>
    <xf numFmtId="182" fontId="21" fillId="5" borderId="42" xfId="4" applyNumberFormat="1" applyFont="1" applyFill="1" applyBorder="1" applyAlignment="1">
      <alignment horizontal="right" vertical="center" shrinkToFit="1"/>
    </xf>
    <xf numFmtId="182" fontId="21" fillId="4" borderId="42" xfId="4" applyNumberFormat="1" applyFont="1" applyFill="1" applyBorder="1" applyAlignment="1">
      <alignment horizontal="right" vertical="center" shrinkToFit="1"/>
    </xf>
    <xf numFmtId="186" fontId="21" fillId="0" borderId="0" xfId="138" applyFont="1">
      <alignment vertical="center"/>
    </xf>
    <xf numFmtId="178" fontId="26" fillId="2" borderId="42" xfId="138" applyNumberFormat="1" applyFont="1" applyFill="1" applyBorder="1" applyAlignment="1">
      <alignment horizontal="center" vertical="center"/>
    </xf>
    <xf numFmtId="178" fontId="164" fillId="2" borderId="42" xfId="4" applyNumberFormat="1" applyFont="1" applyFill="1" applyBorder="1" applyAlignment="1">
      <alignment horizontal="center" vertical="center"/>
    </xf>
    <xf numFmtId="178" fontId="26" fillId="2" borderId="42" xfId="4" applyNumberFormat="1" applyFont="1" applyFill="1" applyBorder="1" applyAlignment="1">
      <alignment horizontal="center" vertical="center"/>
    </xf>
    <xf numFmtId="186" fontId="14" fillId="0" borderId="0" xfId="138" applyFont="1" applyAlignment="1">
      <alignment horizontal="right" vertical="center" shrinkToFit="1"/>
    </xf>
    <xf numFmtId="177" fontId="131" fillId="0" borderId="0" xfId="0" applyNumberFormat="1" applyFont="1" applyBorder="1" applyAlignment="1">
      <alignment horizontal="center" vertical="center"/>
    </xf>
    <xf numFmtId="0" fontId="89" fillId="0" borderId="42" xfId="138" applyNumberFormat="1" applyFont="1" applyBorder="1" applyAlignment="1">
      <alignment horizontal="center" vertical="center" wrapText="1" shrinkToFit="1"/>
    </xf>
    <xf numFmtId="179" fontId="21" fillId="24" borderId="42" xfId="4" applyNumberFormat="1" applyFont="1" applyFill="1" applyBorder="1" applyAlignment="1">
      <alignment vertical="center" shrinkToFit="1"/>
    </xf>
    <xf numFmtId="183" fontId="133" fillId="16" borderId="42" xfId="0" applyNumberFormat="1" applyFont="1" applyFill="1" applyBorder="1" applyAlignment="1">
      <alignment horizontal="center" vertical="center"/>
    </xf>
    <xf numFmtId="0" fontId="133" fillId="16" borderId="42" xfId="0" applyFont="1" applyFill="1" applyBorder="1" applyAlignment="1">
      <alignment horizontal="left" vertical="center"/>
    </xf>
    <xf numFmtId="0" fontId="133" fillId="16" borderId="42" xfId="0" applyFont="1" applyFill="1" applyBorder="1" applyAlignment="1">
      <alignment horizontal="center" vertical="center"/>
    </xf>
    <xf numFmtId="0" fontId="133" fillId="16" borderId="42" xfId="138" applyNumberFormat="1" applyFont="1" applyFill="1" applyBorder="1" applyAlignment="1">
      <alignment horizontal="center" vertical="center" wrapText="1" shrinkToFit="1"/>
    </xf>
    <xf numFmtId="0" fontId="131" fillId="16" borderId="42" xfId="0" applyFont="1" applyFill="1" applyBorder="1" applyAlignment="1">
      <alignment horizontal="center" vertical="center"/>
    </xf>
    <xf numFmtId="177" fontId="131" fillId="16" borderId="42" xfId="0" applyNumberFormat="1" applyFont="1" applyFill="1" applyBorder="1" applyAlignment="1">
      <alignment horizontal="center" vertical="center"/>
    </xf>
    <xf numFmtId="177" fontId="21" fillId="16" borderId="42" xfId="0" applyNumberFormat="1" applyFont="1" applyFill="1" applyBorder="1" applyAlignment="1">
      <alignment horizontal="center" vertical="center"/>
    </xf>
    <xf numFmtId="179" fontId="131" fillId="16" borderId="42" xfId="1" applyNumberFormat="1" applyFont="1" applyFill="1" applyBorder="1" applyAlignment="1">
      <alignment horizontal="center" vertical="center"/>
    </xf>
    <xf numFmtId="182" fontId="21" fillId="16" borderId="42" xfId="4" applyNumberFormat="1" applyFont="1" applyFill="1" applyBorder="1" applyAlignment="1">
      <alignment horizontal="right" vertical="center" shrinkToFit="1"/>
    </xf>
    <xf numFmtId="179" fontId="21" fillId="16" borderId="42" xfId="4" applyNumberFormat="1" applyFont="1" applyFill="1" applyBorder="1" applyAlignment="1">
      <alignment vertical="center" shrinkToFit="1"/>
    </xf>
    <xf numFmtId="179" fontId="5" fillId="16" borderId="42" xfId="4" applyNumberFormat="1" applyFont="1" applyFill="1" applyBorder="1" applyAlignment="1">
      <alignment vertical="center" shrinkToFit="1"/>
    </xf>
    <xf numFmtId="186" fontId="5" fillId="16" borderId="42" xfId="138" quotePrefix="1" applyFont="1" applyFill="1" applyBorder="1" applyAlignment="1">
      <alignment vertical="center" shrinkToFit="1"/>
    </xf>
    <xf numFmtId="179" fontId="21" fillId="25" borderId="42" xfId="4" applyNumberFormat="1" applyFont="1" applyFill="1" applyBorder="1" applyAlignment="1">
      <alignment vertical="center" shrinkToFit="1"/>
    </xf>
    <xf numFmtId="0" fontId="170" fillId="0" borderId="0" xfId="3" applyFont="1">
      <alignment vertical="center"/>
    </xf>
    <xf numFmtId="179" fontId="9" fillId="0" borderId="0" xfId="1" applyNumberFormat="1" applyFont="1" applyAlignment="1">
      <alignment horizontal="center" vertical="center"/>
    </xf>
    <xf numFmtId="0" fontId="89" fillId="26" borderId="42" xfId="0" applyFont="1" applyFill="1" applyBorder="1" applyAlignment="1">
      <alignment horizontal="left" vertical="center"/>
    </xf>
    <xf numFmtId="179" fontId="5" fillId="26" borderId="42" xfId="4" applyNumberFormat="1" applyFont="1" applyFill="1" applyBorder="1" applyAlignment="1">
      <alignment vertical="center" shrinkToFit="1"/>
    </xf>
    <xf numFmtId="179" fontId="5" fillId="26" borderId="0" xfId="1" applyNumberFormat="1" applyFont="1" applyFill="1">
      <alignment vertical="center"/>
    </xf>
    <xf numFmtId="41" fontId="9" fillId="0" borderId="1" xfId="1" applyFont="1" applyBorder="1" applyAlignment="1">
      <alignment vertical="center" shrinkToFit="1"/>
    </xf>
    <xf numFmtId="186" fontId="5" fillId="0" borderId="0" xfId="138" applyFont="1" applyAlignment="1">
      <alignment horizontal="right" vertical="center" shrinkToFit="1"/>
    </xf>
    <xf numFmtId="179" fontId="21" fillId="27" borderId="0" xfId="4" applyNumberFormat="1" applyFont="1" applyFill="1" applyAlignment="1">
      <alignment horizontal="left" vertical="center"/>
    </xf>
    <xf numFmtId="179" fontId="21" fillId="27" borderId="1" xfId="4" applyNumberFormat="1" applyFont="1" applyFill="1" applyBorder="1">
      <alignment vertical="center"/>
    </xf>
    <xf numFmtId="186" fontId="14" fillId="0" borderId="0" xfId="138" applyFont="1">
      <alignment vertical="center"/>
    </xf>
    <xf numFmtId="186" fontId="33" fillId="0" borderId="0" xfId="138" applyFont="1">
      <alignment vertical="center"/>
    </xf>
    <xf numFmtId="186" fontId="21" fillId="0" borderId="0" xfId="138" applyFont="1" applyAlignment="1">
      <alignment vertical="center" shrinkToFit="1"/>
    </xf>
    <xf numFmtId="179" fontId="21" fillId="0" borderId="0" xfId="4" applyNumberFormat="1" applyFont="1">
      <alignment vertical="center"/>
    </xf>
    <xf numFmtId="0" fontId="26" fillId="2" borderId="38" xfId="2" applyFont="1" applyFill="1" applyBorder="1" applyAlignment="1">
      <alignment horizontal="center" vertical="center"/>
    </xf>
    <xf numFmtId="0" fontId="26" fillId="2" borderId="39" xfId="2" applyFont="1" applyFill="1" applyBorder="1" applyAlignment="1">
      <alignment horizontal="center" vertical="center"/>
    </xf>
    <xf numFmtId="179" fontId="25" fillId="2" borderId="37" xfId="1" applyNumberFormat="1" applyFont="1" applyFill="1" applyBorder="1" applyAlignment="1">
      <alignment horizontal="center" vertical="center"/>
    </xf>
    <xf numFmtId="179" fontId="25" fillId="2" borderId="40" xfId="1" applyNumberFormat="1" applyFont="1" applyFill="1" applyBorder="1" applyAlignment="1">
      <alignment horizontal="center" vertical="center"/>
    </xf>
    <xf numFmtId="179" fontId="25" fillId="2" borderId="38" xfId="1" applyNumberFormat="1" applyFont="1" applyFill="1" applyBorder="1" applyAlignment="1">
      <alignment horizontal="center" vertical="center"/>
    </xf>
    <xf numFmtId="178" fontId="19" fillId="2" borderId="3" xfId="0" applyNumberFormat="1" applyFont="1" applyFill="1" applyBorder="1" applyAlignment="1">
      <alignment horizontal="center" vertical="center"/>
    </xf>
    <xf numFmtId="178" fontId="19" fillId="2" borderId="4" xfId="0" applyNumberFormat="1" applyFont="1" applyFill="1" applyBorder="1" applyAlignment="1">
      <alignment horizontal="center" vertical="center"/>
    </xf>
    <xf numFmtId="180" fontId="19" fillId="2" borderId="8" xfId="0" applyNumberFormat="1" applyFont="1" applyFill="1" applyBorder="1" applyAlignment="1">
      <alignment horizontal="center" vertical="center"/>
    </xf>
    <xf numFmtId="180" fontId="19" fillId="2" borderId="4" xfId="0" applyNumberFormat="1" applyFont="1" applyFill="1" applyBorder="1" applyAlignment="1">
      <alignment horizontal="center" vertical="center"/>
    </xf>
    <xf numFmtId="178" fontId="10" fillId="2" borderId="9" xfId="1" applyNumberFormat="1" applyFont="1" applyFill="1" applyBorder="1" applyAlignment="1">
      <alignment horizontal="center" vertical="center"/>
    </xf>
    <xf numFmtId="178" fontId="10" fillId="2" borderId="13" xfId="1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178" fontId="10" fillId="2" borderId="5" xfId="1" applyNumberFormat="1" applyFont="1" applyFill="1" applyBorder="1" applyAlignment="1">
      <alignment horizontal="center" vertical="center"/>
    </xf>
    <xf numFmtId="178" fontId="10" fillId="2" borderId="10" xfId="1" applyNumberFormat="1" applyFont="1" applyFill="1" applyBorder="1" applyAlignment="1">
      <alignment horizontal="center" vertical="center"/>
    </xf>
    <xf numFmtId="178" fontId="10" fillId="2" borderId="6" xfId="1" applyNumberFormat="1" applyFont="1" applyFill="1" applyBorder="1" applyAlignment="1">
      <alignment horizontal="center" vertical="center"/>
    </xf>
    <xf numFmtId="178" fontId="10" fillId="2" borderId="0" xfId="1" applyNumberFormat="1" applyFont="1" applyFill="1" applyBorder="1" applyAlignment="1">
      <alignment horizontal="center" vertical="center"/>
    </xf>
    <xf numFmtId="178" fontId="10" fillId="2" borderId="7" xfId="1" applyNumberFormat="1" applyFont="1" applyFill="1" applyBorder="1" applyAlignment="1">
      <alignment horizontal="center" vertical="center"/>
    </xf>
    <xf numFmtId="178" fontId="10" fillId="2" borderId="11" xfId="1" applyNumberFormat="1" applyFont="1" applyFill="1" applyBorder="1" applyAlignment="1">
      <alignment horizontal="center" vertical="center"/>
    </xf>
    <xf numFmtId="178" fontId="19" fillId="2" borderId="8" xfId="0" applyNumberFormat="1" applyFont="1" applyFill="1" applyBorder="1" applyAlignment="1">
      <alignment horizontal="center" vertical="center"/>
    </xf>
    <xf numFmtId="180" fontId="26" fillId="2" borderId="8" xfId="0" applyNumberFormat="1" applyFont="1" applyFill="1" applyBorder="1" applyAlignment="1">
      <alignment horizontal="center" vertical="center"/>
    </xf>
    <xf numFmtId="180" fontId="26" fillId="2" borderId="4" xfId="0" applyNumberFormat="1" applyFont="1" applyFill="1" applyBorder="1" applyAlignment="1">
      <alignment horizontal="center" vertical="center"/>
    </xf>
    <xf numFmtId="178" fontId="26" fillId="2" borderId="9" xfId="1" applyNumberFormat="1" applyFont="1" applyFill="1" applyBorder="1" applyAlignment="1">
      <alignment horizontal="center" vertical="center"/>
    </xf>
    <xf numFmtId="178" fontId="26" fillId="2" borderId="13" xfId="1" applyNumberFormat="1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178" fontId="26" fillId="2" borderId="5" xfId="1" applyNumberFormat="1" applyFont="1" applyFill="1" applyBorder="1" applyAlignment="1">
      <alignment horizontal="center" vertical="center"/>
    </xf>
    <xf numFmtId="178" fontId="26" fillId="2" borderId="10" xfId="1" applyNumberFormat="1" applyFont="1" applyFill="1" applyBorder="1" applyAlignment="1">
      <alignment horizontal="center" vertical="center"/>
    </xf>
    <xf numFmtId="178" fontId="26" fillId="2" borderId="6" xfId="1" applyNumberFormat="1" applyFont="1" applyFill="1" applyBorder="1" applyAlignment="1">
      <alignment horizontal="center" vertical="center"/>
    </xf>
    <xf numFmtId="178" fontId="26" fillId="2" borderId="0" xfId="1" applyNumberFormat="1" applyFont="1" applyFill="1" applyBorder="1" applyAlignment="1">
      <alignment horizontal="center" vertical="center"/>
    </xf>
    <xf numFmtId="178" fontId="26" fillId="2" borderId="7" xfId="1" applyNumberFormat="1" applyFont="1" applyFill="1" applyBorder="1" applyAlignment="1">
      <alignment horizontal="center" vertical="center"/>
    </xf>
    <xf numFmtId="178" fontId="26" fillId="2" borderId="11" xfId="1" applyNumberFormat="1" applyFont="1" applyFill="1" applyBorder="1" applyAlignment="1">
      <alignment horizontal="center" vertical="center"/>
    </xf>
    <xf numFmtId="178" fontId="26" fillId="2" borderId="3" xfId="0" applyNumberFormat="1" applyFont="1" applyFill="1" applyBorder="1" applyAlignment="1">
      <alignment horizontal="center" vertical="center"/>
    </xf>
    <xf numFmtId="178" fontId="26" fillId="2" borderId="8" xfId="0" applyNumberFormat="1" applyFont="1" applyFill="1" applyBorder="1" applyAlignment="1">
      <alignment horizontal="center" vertical="center"/>
    </xf>
    <xf numFmtId="178" fontId="26" fillId="2" borderId="4" xfId="0" applyNumberFormat="1" applyFont="1" applyFill="1" applyBorder="1" applyAlignment="1">
      <alignment horizontal="center" vertical="center"/>
    </xf>
    <xf numFmtId="180" fontId="26" fillId="2" borderId="3" xfId="0" applyNumberFormat="1" applyFont="1" applyFill="1" applyBorder="1" applyAlignment="1">
      <alignment horizontal="center" vertical="center"/>
    </xf>
    <xf numFmtId="178" fontId="26" fillId="2" borderId="35" xfId="1" applyNumberFormat="1" applyFont="1" applyFill="1" applyBorder="1" applyAlignment="1">
      <alignment horizontal="center" vertical="center"/>
    </xf>
    <xf numFmtId="178" fontId="26" fillId="2" borderId="34" xfId="1" applyNumberFormat="1" applyFont="1" applyFill="1" applyBorder="1" applyAlignment="1">
      <alignment horizontal="center" vertical="center"/>
    </xf>
    <xf numFmtId="178" fontId="26" fillId="2" borderId="26" xfId="1" applyNumberFormat="1" applyFont="1" applyFill="1" applyBorder="1" applyAlignment="1">
      <alignment horizontal="center" vertical="center"/>
    </xf>
    <xf numFmtId="178" fontId="26" fillId="2" borderId="33" xfId="1" applyNumberFormat="1" applyFont="1" applyFill="1" applyBorder="1" applyAlignment="1">
      <alignment horizontal="center" vertical="center"/>
    </xf>
    <xf numFmtId="178" fontId="26" fillId="2" borderId="12" xfId="0" applyNumberFormat="1" applyFont="1" applyFill="1" applyBorder="1" applyAlignment="1">
      <alignment horizontal="center" vertical="center"/>
    </xf>
    <xf numFmtId="180" fontId="26" fillId="2" borderId="12" xfId="0" applyNumberFormat="1" applyFont="1" applyFill="1" applyBorder="1" applyAlignment="1">
      <alignment horizontal="center" vertical="center"/>
    </xf>
    <xf numFmtId="178" fontId="26" fillId="2" borderId="12" xfId="1" applyNumberFormat="1" applyFont="1" applyFill="1" applyBorder="1" applyAlignment="1">
      <alignment horizontal="center" vertical="center"/>
    </xf>
    <xf numFmtId="0" fontId="26" fillId="2" borderId="1" xfId="3" applyFont="1" applyFill="1" applyBorder="1" applyAlignment="1">
      <alignment horizontal="center" vertical="center"/>
    </xf>
    <xf numFmtId="179" fontId="38" fillId="0" borderId="0" xfId="4" applyNumberFormat="1" applyFont="1" applyAlignment="1">
      <alignment horizontal="center" vertical="center"/>
    </xf>
    <xf numFmtId="0" fontId="26" fillId="2" borderId="9" xfId="3" applyFont="1" applyFill="1" applyBorder="1" applyAlignment="1">
      <alignment horizontal="center" vertical="center"/>
    </xf>
    <xf numFmtId="0" fontId="26" fillId="2" borderId="28" xfId="3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178" fontId="26" fillId="2" borderId="20" xfId="1" applyNumberFormat="1" applyFont="1" applyFill="1" applyBorder="1" applyAlignment="1">
      <alignment horizontal="center" vertical="center"/>
    </xf>
    <xf numFmtId="178" fontId="26" fillId="2" borderId="36" xfId="1" applyNumberFormat="1" applyFont="1" applyFill="1" applyBorder="1" applyAlignment="1">
      <alignment horizontal="center" vertical="center"/>
    </xf>
    <xf numFmtId="178" fontId="45" fillId="2" borderId="3" xfId="138" applyNumberFormat="1" applyFont="1" applyFill="1" applyBorder="1" applyAlignment="1">
      <alignment horizontal="center" vertical="center"/>
    </xf>
    <xf numFmtId="178" fontId="45" fillId="2" borderId="8" xfId="138" applyNumberFormat="1" applyFont="1" applyFill="1" applyBorder="1" applyAlignment="1">
      <alignment horizontal="center" vertical="center"/>
    </xf>
    <xf numFmtId="182" fontId="45" fillId="2" borderId="8" xfId="4" applyNumberFormat="1" applyFont="1" applyFill="1" applyBorder="1" applyAlignment="1">
      <alignment horizontal="center" vertical="center"/>
    </xf>
    <xf numFmtId="180" fontId="45" fillId="2" borderId="56" xfId="138" applyNumberFormat="1" applyFont="1" applyFill="1" applyBorder="1" applyAlignment="1">
      <alignment horizontal="center" vertical="center"/>
    </xf>
    <xf numFmtId="180" fontId="45" fillId="2" borderId="57" xfId="138" applyNumberFormat="1" applyFont="1" applyFill="1" applyBorder="1" applyAlignment="1">
      <alignment horizontal="center" vertical="center"/>
    </xf>
    <xf numFmtId="178" fontId="67" fillId="2" borderId="55" xfId="4" applyNumberFormat="1" applyFont="1" applyFill="1" applyBorder="1" applyAlignment="1">
      <alignment horizontal="center" vertical="center"/>
    </xf>
    <xf numFmtId="178" fontId="67" fillId="2" borderId="45" xfId="4" applyNumberFormat="1" applyFont="1" applyFill="1" applyBorder="1" applyAlignment="1">
      <alignment horizontal="center" vertical="center"/>
    </xf>
    <xf numFmtId="178" fontId="45" fillId="2" borderId="53" xfId="4" applyNumberFormat="1" applyFont="1" applyFill="1" applyBorder="1" applyAlignment="1">
      <alignment horizontal="center" vertical="center"/>
    </xf>
    <xf numFmtId="178" fontId="45" fillId="2" borderId="46" xfId="4" applyNumberFormat="1" applyFont="1" applyFill="1" applyBorder="1" applyAlignment="1">
      <alignment horizontal="center" vertical="center"/>
    </xf>
    <xf numFmtId="178" fontId="45" fillId="2" borderId="0" xfId="4" applyNumberFormat="1" applyFont="1" applyFill="1" applyBorder="1" applyAlignment="1">
      <alignment horizontal="center" vertical="center"/>
    </xf>
    <xf numFmtId="178" fontId="45" fillId="2" borderId="11" xfId="4" applyNumberFormat="1" applyFont="1" applyFill="1" applyBorder="1" applyAlignment="1">
      <alignment horizontal="center" vertical="center"/>
    </xf>
    <xf numFmtId="178" fontId="45" fillId="2" borderId="42" xfId="138" applyNumberFormat="1" applyFont="1" applyFill="1" applyBorder="1" applyAlignment="1">
      <alignment horizontal="center" vertical="center"/>
    </xf>
    <xf numFmtId="182" fontId="45" fillId="2" borderId="42" xfId="4" applyNumberFormat="1" applyFont="1" applyFill="1" applyBorder="1" applyAlignment="1">
      <alignment horizontal="center" vertical="center"/>
    </xf>
    <xf numFmtId="180" fontId="45" fillId="2" borderId="42" xfId="138" applyNumberFormat="1" applyFont="1" applyFill="1" applyBorder="1" applyAlignment="1">
      <alignment horizontal="center" vertical="center"/>
    </xf>
    <xf numFmtId="178" fontId="67" fillId="2" borderId="42" xfId="4" applyNumberFormat="1" applyFont="1" applyFill="1" applyBorder="1" applyAlignment="1">
      <alignment horizontal="center" vertical="center"/>
    </xf>
    <xf numFmtId="178" fontId="45" fillId="2" borderId="42" xfId="4" applyNumberFormat="1" applyFont="1" applyFill="1" applyBorder="1" applyAlignment="1">
      <alignment horizontal="center" vertical="center"/>
    </xf>
    <xf numFmtId="0" fontId="5" fillId="0" borderId="71" xfId="0" applyFont="1" applyBorder="1" applyAlignment="1">
      <alignment vertical="center" wrapText="1"/>
    </xf>
    <xf numFmtId="0" fontId="5" fillId="0" borderId="71" xfId="0" applyFont="1" applyBorder="1">
      <alignment vertical="center"/>
    </xf>
    <xf numFmtId="0" fontId="70" fillId="0" borderId="71" xfId="0" applyFont="1" applyBorder="1" applyAlignment="1">
      <alignment vertical="center" wrapText="1"/>
    </xf>
    <xf numFmtId="178" fontId="124" fillId="2" borderId="42" xfId="138" applyNumberFormat="1" applyFont="1" applyFill="1" applyBorder="1" applyAlignment="1">
      <alignment horizontal="center" vertical="center"/>
    </xf>
    <xf numFmtId="182" fontId="124" fillId="2" borderId="42" xfId="4" applyNumberFormat="1" applyFont="1" applyFill="1" applyBorder="1" applyAlignment="1">
      <alignment horizontal="center" vertical="center"/>
    </xf>
    <xf numFmtId="180" fontId="124" fillId="2" borderId="42" xfId="138" applyNumberFormat="1" applyFont="1" applyFill="1" applyBorder="1" applyAlignment="1">
      <alignment horizontal="center" vertical="center"/>
    </xf>
    <xf numFmtId="178" fontId="129" fillId="2" borderId="42" xfId="4" applyNumberFormat="1" applyFont="1" applyFill="1" applyBorder="1" applyAlignment="1">
      <alignment horizontal="center" vertical="center"/>
    </xf>
    <xf numFmtId="178" fontId="124" fillId="2" borderId="42" xfId="4" applyNumberFormat="1" applyFont="1" applyFill="1" applyBorder="1" applyAlignment="1">
      <alignment horizontal="center" vertical="center"/>
    </xf>
    <xf numFmtId="178" fontId="137" fillId="2" borderId="42" xfId="138" applyNumberFormat="1" applyFont="1" applyFill="1" applyBorder="1" applyAlignment="1">
      <alignment horizontal="center" vertical="center"/>
    </xf>
    <xf numFmtId="182" fontId="137" fillId="2" borderId="42" xfId="4" applyNumberFormat="1" applyFont="1" applyFill="1" applyBorder="1" applyAlignment="1">
      <alignment horizontal="center" vertical="center"/>
    </xf>
    <xf numFmtId="180" fontId="137" fillId="2" borderId="42" xfId="138" applyNumberFormat="1" applyFont="1" applyFill="1" applyBorder="1" applyAlignment="1">
      <alignment horizontal="center" vertical="center"/>
    </xf>
    <xf numFmtId="178" fontId="141" fillId="2" borderId="42" xfId="4" applyNumberFormat="1" applyFont="1" applyFill="1" applyBorder="1" applyAlignment="1">
      <alignment horizontal="center" vertical="center"/>
    </xf>
    <xf numFmtId="178" fontId="137" fillId="2" borderId="42" xfId="4" applyNumberFormat="1" applyFont="1" applyFill="1" applyBorder="1" applyAlignment="1">
      <alignment horizontal="center" vertical="center"/>
    </xf>
    <xf numFmtId="178" fontId="26" fillId="2" borderId="42" xfId="138" applyNumberFormat="1" applyFont="1" applyFill="1" applyBorder="1" applyAlignment="1">
      <alignment horizontal="center" vertical="center"/>
    </xf>
    <xf numFmtId="182" fontId="26" fillId="2" borderId="42" xfId="4" applyNumberFormat="1" applyFont="1" applyFill="1" applyBorder="1" applyAlignment="1">
      <alignment horizontal="center" vertical="center"/>
    </xf>
    <xf numFmtId="180" fontId="26" fillId="2" borderId="42" xfId="138" applyNumberFormat="1" applyFont="1" applyFill="1" applyBorder="1" applyAlignment="1">
      <alignment horizontal="center" vertical="center"/>
    </xf>
    <xf numFmtId="178" fontId="164" fillId="2" borderId="42" xfId="4" applyNumberFormat="1" applyFont="1" applyFill="1" applyBorder="1" applyAlignment="1">
      <alignment horizontal="center" vertical="center"/>
    </xf>
    <xf numFmtId="178" fontId="26" fillId="2" borderId="42" xfId="4" applyNumberFormat="1" applyFont="1" applyFill="1" applyBorder="1" applyAlignment="1">
      <alignment horizontal="center" vertical="center"/>
    </xf>
    <xf numFmtId="0" fontId="116" fillId="2" borderId="1" xfId="176" applyFont="1" applyFill="1" applyBorder="1" applyAlignment="1">
      <alignment horizontal="center" vertical="center"/>
    </xf>
    <xf numFmtId="179" fontId="115" fillId="0" borderId="0" xfId="177" applyNumberFormat="1" applyFont="1" applyAlignment="1">
      <alignment horizontal="center" vertical="center"/>
    </xf>
    <xf numFmtId="0" fontId="116" fillId="2" borderId="9" xfId="176" applyFont="1" applyFill="1" applyBorder="1" applyAlignment="1">
      <alignment horizontal="center" vertical="center"/>
    </xf>
    <xf numFmtId="0" fontId="116" fillId="2" borderId="28" xfId="176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6" fillId="2" borderId="28" xfId="0" applyFont="1" applyFill="1" applyBorder="1" applyAlignment="1">
      <alignment horizontal="center" vertical="center"/>
    </xf>
    <xf numFmtId="178" fontId="10" fillId="2" borderId="26" xfId="1" applyNumberFormat="1" applyFont="1" applyFill="1" applyBorder="1" applyAlignment="1">
      <alignment horizontal="center" vertical="center"/>
    </xf>
  </cellXfs>
  <cellStyles count="181">
    <cellStyle name="常规 2" xfId="176" xr:uid="{B88EB9AE-0EF4-4D33-B133-1F9551D804CD}"/>
    <cellStyle name="常规 3" xfId="132" xr:uid="{00000000-0005-0000-0000-000000000000}"/>
    <cellStyle name="쉼표 [0]" xfId="1" builtinId="6"/>
    <cellStyle name="쉼표 [0] 2" xfId="4" xr:uid="{00000000-0005-0000-0000-000002000000}"/>
    <cellStyle name="쉼표 [0] 2 2" xfId="5" xr:uid="{00000000-0005-0000-0000-000003000000}"/>
    <cellStyle name="쉼표 [0] 2 2 2" xfId="6" xr:uid="{00000000-0005-0000-0000-000004000000}"/>
    <cellStyle name="쉼표 [0] 2 2 2 2" xfId="7" xr:uid="{00000000-0005-0000-0000-000005000000}"/>
    <cellStyle name="쉼표 [0] 2 2 2 2 2" xfId="8" xr:uid="{00000000-0005-0000-0000-000006000000}"/>
    <cellStyle name="쉼표 [0] 2 2 2 2 2 2" xfId="9" xr:uid="{00000000-0005-0000-0000-000007000000}"/>
    <cellStyle name="쉼표 [0] 2 2 2 2 2 2 2" xfId="145" xr:uid="{12B7E4BC-1D12-4446-B367-025A2ABC42CD}"/>
    <cellStyle name="쉼표 [0] 2 2 2 2 2 3" xfId="144" xr:uid="{CD52524A-5B98-4FE7-82B5-8F36B4865973}"/>
    <cellStyle name="쉼표 [0] 2 2 2 2 3" xfId="10" xr:uid="{00000000-0005-0000-0000-000008000000}"/>
    <cellStyle name="쉼표 [0] 2 2 2 2 3 2" xfId="153" xr:uid="{B1F8D7AE-9D70-499D-B723-238F3F987FC2}"/>
    <cellStyle name="쉼표 [0] 2 2 2 2 4" xfId="143" xr:uid="{96A49708-762A-4249-B0A6-C06E1C19572E}"/>
    <cellStyle name="쉼표 [0] 2 2 2 3" xfId="11" xr:uid="{00000000-0005-0000-0000-000009000000}"/>
    <cellStyle name="쉼표 [0] 2 2 2 3 2" xfId="12" xr:uid="{00000000-0005-0000-0000-00000A000000}"/>
    <cellStyle name="쉼표 [0] 2 2 2 3 2 2" xfId="155" xr:uid="{2E7FA676-CF19-4903-ACEE-E1AA69DDE12D}"/>
    <cellStyle name="쉼표 [0] 2 2 2 3 3" xfId="154" xr:uid="{4BACA29F-971E-4AC3-AF07-938D81762025}"/>
    <cellStyle name="쉼표 [0] 2 2 2 4" xfId="13" xr:uid="{00000000-0005-0000-0000-00000B000000}"/>
    <cellStyle name="쉼표 [0] 2 2 2 4 2" xfId="148" xr:uid="{3BB0C13C-EBFB-48DB-801B-4EAA8B0DB12C}"/>
    <cellStyle name="쉼표 [0] 2 2 2 5" xfId="147" xr:uid="{FB360969-2DFA-4164-9DEF-06D2745DAABA}"/>
    <cellStyle name="쉼표 [0] 2 2 3" xfId="14" xr:uid="{00000000-0005-0000-0000-00000C000000}"/>
    <cellStyle name="쉼표 [0] 2 2 3 2" xfId="15" xr:uid="{00000000-0005-0000-0000-00000D000000}"/>
    <cellStyle name="쉼표 [0] 2 2 3 2 2" xfId="16" xr:uid="{00000000-0005-0000-0000-00000E000000}"/>
    <cellStyle name="쉼표 [0] 2 2 3 2 2 2" xfId="150" xr:uid="{4EB98886-C039-4B6A-86FC-F64A8184F27C}"/>
    <cellStyle name="쉼표 [0] 2 2 3 2 3" xfId="146" xr:uid="{59933F40-3B3F-4E74-BB44-CA6174868344}"/>
    <cellStyle name="쉼표 [0] 2 2 3 3" xfId="17" xr:uid="{00000000-0005-0000-0000-00000F000000}"/>
    <cellStyle name="쉼표 [0] 2 2 3 3 2" xfId="151" xr:uid="{761F4F86-95BD-4E66-A6B9-AEC236B55879}"/>
    <cellStyle name="쉼표 [0] 2 2 3 4" xfId="156" xr:uid="{136A6C70-9453-488A-A79C-2B8072D593A1}"/>
    <cellStyle name="쉼표 [0] 2 2 4" xfId="18" xr:uid="{00000000-0005-0000-0000-000010000000}"/>
    <cellStyle name="쉼표 [0] 2 2 4 2" xfId="19" xr:uid="{00000000-0005-0000-0000-000011000000}"/>
    <cellStyle name="쉼표 [0] 2 2 4 2 2" xfId="158" xr:uid="{05875958-91D0-496B-94A2-3E524A002C5B}"/>
    <cellStyle name="쉼표 [0] 2 2 4 3" xfId="157" xr:uid="{6F082DC7-5979-497F-9DB6-75688042331D}"/>
    <cellStyle name="쉼표 [0] 2 2 5" xfId="20" xr:uid="{00000000-0005-0000-0000-000012000000}"/>
    <cellStyle name="쉼표 [0] 2 2 5 2" xfId="159" xr:uid="{2B8C71ED-F2D4-4808-B321-06C5184226F0}"/>
    <cellStyle name="쉼표 [0] 2 2 6" xfId="149" xr:uid="{D745345D-2F4F-4ADF-988F-FB595C444EFE}"/>
    <cellStyle name="쉼표 [0] 2 3" xfId="21" xr:uid="{00000000-0005-0000-0000-000013000000}"/>
    <cellStyle name="쉼표 [0] 2 3 2" xfId="22" xr:uid="{00000000-0005-0000-0000-000014000000}"/>
    <cellStyle name="쉼표 [0] 2 3 2 2" xfId="23" xr:uid="{00000000-0005-0000-0000-000015000000}"/>
    <cellStyle name="쉼표 [0] 2 3 2 2 2" xfId="24" xr:uid="{00000000-0005-0000-0000-000016000000}"/>
    <cellStyle name="쉼표 [0] 2 3 2 2 2 2" xfId="163" xr:uid="{7BED4959-C414-4AB2-B1E5-02F7DD5C05BC}"/>
    <cellStyle name="쉼표 [0] 2 3 2 2 3" xfId="162" xr:uid="{906CFF98-CBE4-44B2-8337-97A639DD1B03}"/>
    <cellStyle name="쉼표 [0] 2 3 2 3" xfId="25" xr:uid="{00000000-0005-0000-0000-000017000000}"/>
    <cellStyle name="쉼표 [0] 2 3 2 3 2" xfId="164" xr:uid="{2E66AEC6-A969-4C22-A9F7-814A2D8F0B27}"/>
    <cellStyle name="쉼표 [0] 2 3 2 4" xfId="161" xr:uid="{7BE2DABC-4578-4BB1-9FD1-8F11B7CE3846}"/>
    <cellStyle name="쉼표 [0] 2 3 3" xfId="26" xr:uid="{00000000-0005-0000-0000-000018000000}"/>
    <cellStyle name="쉼표 [0] 2 3 3 2" xfId="27" xr:uid="{00000000-0005-0000-0000-000019000000}"/>
    <cellStyle name="쉼표 [0] 2 3 3 2 2" xfId="166" xr:uid="{94B331CB-8D92-4BCE-BD38-A9B49D525C06}"/>
    <cellStyle name="쉼표 [0] 2 3 3 3" xfId="165" xr:uid="{455A9DF7-CC78-4FFF-96E4-A2ECAEFA808E}"/>
    <cellStyle name="쉼표 [0] 2 3 4" xfId="28" xr:uid="{00000000-0005-0000-0000-00001A000000}"/>
    <cellStyle name="쉼표 [0] 2 3 4 2" xfId="167" xr:uid="{41EF4196-6FF2-452C-91E5-36866BF9112A}"/>
    <cellStyle name="쉼표 [0] 2 3 5" xfId="160" xr:uid="{BA30CEB2-CE0B-4221-BD23-FA3A83A9DF14}"/>
    <cellStyle name="쉼표 [0] 2 4" xfId="29" xr:uid="{00000000-0005-0000-0000-00001B000000}"/>
    <cellStyle name="쉼표 [0] 2 4 2" xfId="30" xr:uid="{00000000-0005-0000-0000-00001C000000}"/>
    <cellStyle name="쉼표 [0] 2 4 2 2" xfId="31" xr:uid="{00000000-0005-0000-0000-00001D000000}"/>
    <cellStyle name="쉼표 [0] 2 4 2 2 2" xfId="169" xr:uid="{FED29DC7-D15A-4637-8E5C-2A3FEC3B455C}"/>
    <cellStyle name="쉼표 [0] 2 4 2 3" xfId="168" xr:uid="{7913371C-9F0D-47C7-89D7-1E474A30F56D}"/>
    <cellStyle name="쉼표 [0] 2 4 3" xfId="32" xr:uid="{00000000-0005-0000-0000-00001E000000}"/>
    <cellStyle name="쉼표 [0] 2 4 3 2" xfId="170" xr:uid="{74B050D4-8468-4CB0-8CCC-37278B1E848E}"/>
    <cellStyle name="쉼표 [0] 2 4 4" xfId="142" xr:uid="{50A7D799-0C7E-424D-959F-9B4A9E82B79D}"/>
    <cellStyle name="쉼표 [0] 2 5" xfId="33" xr:uid="{00000000-0005-0000-0000-00001F000000}"/>
    <cellStyle name="쉼표 [0] 2 5 2" xfId="34" xr:uid="{00000000-0005-0000-0000-000020000000}"/>
    <cellStyle name="쉼표 [0] 2 5 2 2" xfId="172" xr:uid="{BA945C7C-38A9-4EA8-B912-FB010BEBD4D6}"/>
    <cellStyle name="쉼표 [0] 2 5 3" xfId="171" xr:uid="{55E0D5FC-5B01-42AA-829A-E5B0C685C9DB}"/>
    <cellStyle name="쉼표 [0] 2 6" xfId="35" xr:uid="{00000000-0005-0000-0000-000021000000}"/>
    <cellStyle name="쉼표 [0] 2 6 2" xfId="173" xr:uid="{8D963667-8BC2-4BFA-83B0-5ADB617EFB48}"/>
    <cellStyle name="쉼표 [0] 2 7" xfId="135" xr:uid="{D67DCB4A-4AE3-4D7F-9DDD-66FD1CBA9B7D}"/>
    <cellStyle name="쉼표 [0] 2 8" xfId="152" xr:uid="{CB40E740-BDB4-4858-B01F-D730DAF59383}"/>
    <cellStyle name="쉼표 [0] 3" xfId="134" xr:uid="{94C07A67-88C2-45DC-836B-41BDC74DEF34}"/>
    <cellStyle name="쉼표 [0] 3 2" xfId="140" xr:uid="{27476DB9-E729-49ED-93FD-0A5C6D395944}"/>
    <cellStyle name="쉼표 [0] 4" xfId="141" xr:uid="{2889232E-B9E5-497A-9851-43ADA4F95C54}"/>
    <cellStyle name="쉼표 2" xfId="174" xr:uid="{09C5A681-ECA6-413E-914A-24E5327697C6}"/>
    <cellStyle name="쉼표 2 2" xfId="179" xr:uid="{DE588551-642F-403C-9BE1-298E8D216A8F}"/>
    <cellStyle name="쉼표 3" xfId="175" xr:uid="{EADEBB91-A876-4CFD-B2E8-8EA778DC038B}"/>
    <cellStyle name="쉼표 3 2" xfId="180" xr:uid="{47C9EA6D-C927-4A50-8BBC-8EE0F166C2FE}"/>
    <cellStyle name="千位分隔[0] 2" xfId="177" xr:uid="{BE493978-80CD-4E86-B796-0102AB5D480A}"/>
    <cellStyle name="표준" xfId="0" builtinId="0"/>
    <cellStyle name="표준 2" xfId="3" xr:uid="{00000000-0005-0000-0000-00002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4000000}"/>
    <cellStyle name="표준 7 2" xfId="139" xr:uid="{2F4A223A-AC4A-4C92-A02F-1BB409D207B7}"/>
    <cellStyle name="표준 8" xfId="136" xr:uid="{94665812-20E5-4FFA-88EB-39D1EFC2C0C7}"/>
    <cellStyle name="표준 8 2" xfId="178" xr:uid="{BA2B6CF5-34F2-44E9-BBBA-BC6D96250E5D}"/>
    <cellStyle name="표준 9" xfId="138" xr:uid="{62DB51C5-5D0F-49C3-A274-FD09A488B171}"/>
    <cellStyle name="표준_2010 대만전도금_100208" xfId="2" xr:uid="{00000000-0005-0000-0000-000085000000}"/>
    <cellStyle name="표준_2010 대만전도금_100208 2" xfId="137" xr:uid="{DC51D4E4-DCE4-4AC2-81A4-F5CF05B25866}"/>
  </cellStyles>
  <dxfs count="30"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tableStyles count="0" defaultTableStyle="TableStyleMedium2" defaultPivotStyle="PivotStyleLight16"/>
  <colors>
    <mruColors>
      <color rgb="FFFEFED8"/>
      <color rgb="FFB3E1EF"/>
      <color rgb="FFF8DA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285751</xdr:colOff>
      <xdr:row>17</xdr:row>
      <xdr:rowOff>88046</xdr:rowOff>
    </xdr:from>
    <xdr:to>
      <xdr:col>27</xdr:col>
      <xdr:colOff>39221</xdr:colOff>
      <xdr:row>36</xdr:row>
      <xdr:rowOff>10404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98CEE1E-3706-4063-B112-205366155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76427" y="2654193"/>
          <a:ext cx="6275294" cy="26677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158750</xdr:rowOff>
    </xdr:from>
    <xdr:to>
      <xdr:col>10</xdr:col>
      <xdr:colOff>603249</xdr:colOff>
      <xdr:row>83</xdr:row>
      <xdr:rowOff>36703</xdr:rowOff>
    </xdr:to>
    <xdr:pic>
      <xdr:nvPicPr>
        <xdr:cNvPr id="2" name="图片 14">
          <a:extLst>
            <a:ext uri="{FF2B5EF4-FFF2-40B4-BE49-F238E27FC236}">
              <a16:creationId xmlns:a16="http://schemas.microsoft.com/office/drawing/2014/main" id="{A21F4967-FCD1-4454-816C-EAAA054E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78800"/>
          <a:ext cx="10223499" cy="9307703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0</xdr:row>
      <xdr:rowOff>0</xdr:rowOff>
    </xdr:from>
    <xdr:to>
      <xdr:col>9</xdr:col>
      <xdr:colOff>127000</xdr:colOff>
      <xdr:row>36</xdr:row>
      <xdr:rowOff>165491</xdr:rowOff>
    </xdr:to>
    <xdr:pic>
      <xdr:nvPicPr>
        <xdr:cNvPr id="3" name="图片 13">
          <a:extLst>
            <a:ext uri="{FF2B5EF4-FFF2-40B4-BE49-F238E27FC236}">
              <a16:creationId xmlns:a16="http://schemas.microsoft.com/office/drawing/2014/main" id="{8F0F49BD-BA32-42BA-8D48-E3446EE5B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0"/>
          <a:ext cx="8918574" cy="7775966"/>
        </a:xfrm>
        <a:prstGeom prst="rect">
          <a:avLst/>
        </a:prstGeom>
      </xdr:spPr>
    </xdr:pic>
    <xdr:clientData/>
  </xdr:twoCellAnchor>
  <xdr:oneCellAnchor>
    <xdr:from>
      <xdr:col>12</xdr:col>
      <xdr:colOff>371515</xdr:colOff>
      <xdr:row>66</xdr:row>
      <xdr:rowOff>3669</xdr:rowOff>
    </xdr:from>
    <xdr:ext cx="7263148" cy="8509715"/>
    <xdr:pic>
      <xdr:nvPicPr>
        <xdr:cNvPr id="4" name="그림 3">
          <a:extLst>
            <a:ext uri="{FF2B5EF4-FFF2-40B4-BE49-F238E27FC236}">
              <a16:creationId xmlns:a16="http://schemas.microsoft.com/office/drawing/2014/main" id="{FA386314-CB9C-4764-B954-00DF9C248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82415" y="13891119"/>
          <a:ext cx="7263148" cy="8509715"/>
        </a:xfrm>
        <a:prstGeom prst="rect">
          <a:avLst/>
        </a:prstGeom>
      </xdr:spPr>
    </xdr:pic>
    <xdr:clientData/>
  </xdr:oneCellAnchor>
  <xdr:oneCellAnchor>
    <xdr:from>
      <xdr:col>22</xdr:col>
      <xdr:colOff>8657</xdr:colOff>
      <xdr:row>97</xdr:row>
      <xdr:rowOff>161636</xdr:rowOff>
    </xdr:from>
    <xdr:ext cx="2493819" cy="34636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CF5307-A200-4B64-A571-E3CB740F86D0}"/>
            </a:ext>
          </a:extLst>
        </xdr:cNvPr>
        <xdr:cNvSpPr txBox="1"/>
      </xdr:nvSpPr>
      <xdr:spPr>
        <a:xfrm>
          <a:off x="17877557" y="20545136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웬이하 계좌이체시 수수료</a:t>
          </a:r>
        </a:p>
      </xdr:txBody>
    </xdr:sp>
    <xdr:clientData/>
  </xdr:oneCellAnchor>
  <xdr:oneCellAnchor>
    <xdr:from>
      <xdr:col>22</xdr:col>
      <xdr:colOff>28863</xdr:colOff>
      <xdr:row>99</xdr:row>
      <xdr:rowOff>138544</xdr:rowOff>
    </xdr:from>
    <xdr:ext cx="2493819" cy="3463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1D5EB9-A08A-43C6-9D75-39E6D6F34A75}"/>
            </a:ext>
          </a:extLst>
        </xdr:cNvPr>
        <xdr:cNvSpPr txBox="1"/>
      </xdr:nvSpPr>
      <xdr:spPr>
        <a:xfrm>
          <a:off x="17897763" y="20941144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</a:t>
          </a:r>
          <a:r>
            <a:rPr lang="en-US" altLang="ko-KR" sz="1000" b="1">
              <a:solidFill>
                <a:srgbClr val="FF0000"/>
              </a:solidFill>
            </a:rPr>
            <a:t>~100000</a:t>
          </a:r>
          <a:r>
            <a:rPr lang="ko-KR" altLang="en-US" sz="1000" b="1">
              <a:solidFill>
                <a:srgbClr val="FF0000"/>
              </a:solidFill>
            </a:rPr>
            <a:t>웬 계좌이체시 수수료</a:t>
          </a:r>
        </a:p>
      </xdr:txBody>
    </xdr:sp>
    <xdr:clientData/>
  </xdr:oneCellAnchor>
  <xdr:oneCellAnchor>
    <xdr:from>
      <xdr:col>6</xdr:col>
      <xdr:colOff>1594567</xdr:colOff>
      <xdr:row>1</xdr:row>
      <xdr:rowOff>161326</xdr:rowOff>
    </xdr:from>
    <xdr:ext cx="2022990" cy="8143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74BE26-9315-4EFC-9374-DDE2210C0040}"/>
            </a:ext>
          </a:extLst>
        </xdr:cNvPr>
        <xdr:cNvSpPr txBox="1"/>
      </xdr:nvSpPr>
      <xdr:spPr>
        <a:xfrm>
          <a:off x="5995117" y="447076"/>
          <a:ext cx="2022990" cy="814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3600" b="1">
              <a:solidFill>
                <a:schemeClr val="accent6">
                  <a:lumMod val="75000"/>
                </a:schemeClr>
              </a:solidFill>
            </a:rPr>
            <a:t>USD </a:t>
          </a:r>
          <a:r>
            <a:rPr lang="ko-KR" altLang="en-US" sz="3600" b="1">
              <a:solidFill>
                <a:schemeClr val="accent6">
                  <a:lumMod val="75000"/>
                </a:schemeClr>
              </a:solidFill>
            </a:rPr>
            <a:t>내역</a:t>
          </a:r>
        </a:p>
      </xdr:txBody>
    </xdr:sp>
    <xdr:clientData/>
  </xdr:oneCellAnchor>
  <xdr:oneCellAnchor>
    <xdr:from>
      <xdr:col>1</xdr:col>
      <xdr:colOff>606626</xdr:colOff>
      <xdr:row>13</xdr:row>
      <xdr:rowOff>37356</xdr:rowOff>
    </xdr:from>
    <xdr:ext cx="1387929" cy="3897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8013A9-723D-4707-8C93-109012655B49}"/>
            </a:ext>
          </a:extLst>
        </xdr:cNvPr>
        <xdr:cNvSpPr txBox="1"/>
      </xdr:nvSpPr>
      <xdr:spPr>
        <a:xfrm>
          <a:off x="1578176" y="2837706"/>
          <a:ext cx="1387929" cy="389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입금 금액</a:t>
          </a:r>
        </a:p>
      </xdr:txBody>
    </xdr:sp>
    <xdr:clientData/>
  </xdr:oneCellAnchor>
  <xdr:oneCellAnchor>
    <xdr:from>
      <xdr:col>6</xdr:col>
      <xdr:colOff>1398583</xdr:colOff>
      <xdr:row>16</xdr:row>
      <xdr:rowOff>47618</xdr:rowOff>
    </xdr:from>
    <xdr:ext cx="1387929" cy="3651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F06E423-8710-46DB-AC13-08A716A16FB3}"/>
            </a:ext>
          </a:extLst>
        </xdr:cNvPr>
        <xdr:cNvSpPr txBox="1"/>
      </xdr:nvSpPr>
      <xdr:spPr>
        <a:xfrm>
          <a:off x="5799133" y="3476618"/>
          <a:ext cx="1387929" cy="365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거래 시간</a:t>
          </a:r>
        </a:p>
      </xdr:txBody>
    </xdr:sp>
    <xdr:clientData/>
  </xdr:oneCellAnchor>
  <xdr:oneCellAnchor>
    <xdr:from>
      <xdr:col>6</xdr:col>
      <xdr:colOff>2647832</xdr:colOff>
      <xdr:row>45</xdr:row>
      <xdr:rowOff>172435</xdr:rowOff>
    </xdr:from>
    <xdr:ext cx="1387929" cy="402760"/>
    <xdr:sp macro="" textlink="">
      <xdr:nvSpPr>
        <xdr:cNvPr id="10" name="TextBox 15">
          <a:extLst>
            <a:ext uri="{FF2B5EF4-FFF2-40B4-BE49-F238E27FC236}">
              <a16:creationId xmlns:a16="http://schemas.microsoft.com/office/drawing/2014/main" id="{058415FB-E745-4CF5-BF46-606426184058}"/>
            </a:ext>
          </a:extLst>
        </xdr:cNvPr>
        <xdr:cNvSpPr txBox="1"/>
      </xdr:nvSpPr>
      <xdr:spPr>
        <a:xfrm>
          <a:off x="7048382" y="9659335"/>
          <a:ext cx="1387929" cy="402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거래</a:t>
          </a:r>
          <a:r>
            <a:rPr lang="en-US" altLang="ko-KR" sz="1000" b="1">
              <a:solidFill>
                <a:srgbClr val="FF0000"/>
              </a:solidFill>
            </a:rPr>
            <a:t> </a:t>
          </a:r>
          <a:r>
            <a:rPr lang="ko-KR" altLang="en-US" sz="1000" b="1">
              <a:solidFill>
                <a:srgbClr val="FF0000"/>
              </a:solidFill>
            </a:rPr>
            <a:t> 기간</a:t>
          </a:r>
        </a:p>
      </xdr:txBody>
    </xdr:sp>
    <xdr:clientData/>
  </xdr:oneCellAnchor>
  <xdr:oneCellAnchor>
    <xdr:from>
      <xdr:col>6</xdr:col>
      <xdr:colOff>1585018</xdr:colOff>
      <xdr:row>38</xdr:row>
      <xdr:rowOff>167140</xdr:rowOff>
    </xdr:from>
    <xdr:ext cx="2462893" cy="814945"/>
    <xdr:sp macro="" textlink="">
      <xdr:nvSpPr>
        <xdr:cNvPr id="11" name="TextBox 17">
          <a:extLst>
            <a:ext uri="{FF2B5EF4-FFF2-40B4-BE49-F238E27FC236}">
              <a16:creationId xmlns:a16="http://schemas.microsoft.com/office/drawing/2014/main" id="{773AEB5F-9789-465F-9220-FD2400DF4F7B}"/>
            </a:ext>
          </a:extLst>
        </xdr:cNvPr>
        <xdr:cNvSpPr txBox="1"/>
      </xdr:nvSpPr>
      <xdr:spPr>
        <a:xfrm>
          <a:off x="5985568" y="8187190"/>
          <a:ext cx="2462893" cy="814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3600" b="1">
              <a:solidFill>
                <a:srgbClr val="FF0000"/>
              </a:solidFill>
            </a:rPr>
            <a:t>RMB </a:t>
          </a:r>
          <a:r>
            <a:rPr lang="ko-KR" altLang="en-US" sz="3600" b="1">
              <a:solidFill>
                <a:srgbClr val="FF0000"/>
              </a:solidFill>
            </a:rPr>
            <a:t>내역</a:t>
          </a:r>
        </a:p>
      </xdr:txBody>
    </xdr:sp>
    <xdr:clientData/>
  </xdr:oneCellAnchor>
  <xdr:oneCellAnchor>
    <xdr:from>
      <xdr:col>6</xdr:col>
      <xdr:colOff>2383661</xdr:colOff>
      <xdr:row>55</xdr:row>
      <xdr:rowOff>18720</xdr:rowOff>
    </xdr:from>
    <xdr:ext cx="1387929" cy="394608"/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240996AB-8234-4FA2-A3AB-003FFAA19E4C}"/>
            </a:ext>
          </a:extLst>
        </xdr:cNvPr>
        <xdr:cNvSpPr txBox="1"/>
      </xdr:nvSpPr>
      <xdr:spPr>
        <a:xfrm>
          <a:off x="6784211" y="11601120"/>
          <a:ext cx="1387929" cy="394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잔액</a:t>
          </a:r>
        </a:p>
      </xdr:txBody>
    </xdr:sp>
    <xdr:clientData/>
  </xdr:oneCellAnchor>
  <xdr:twoCellAnchor editAs="oneCell">
    <xdr:from>
      <xdr:col>8</xdr:col>
      <xdr:colOff>619124</xdr:colOff>
      <xdr:row>0</xdr:row>
      <xdr:rowOff>119063</xdr:rowOff>
    </xdr:from>
    <xdr:to>
      <xdr:col>20</xdr:col>
      <xdr:colOff>395384</xdr:colOff>
      <xdr:row>33</xdr:row>
      <xdr:rowOff>111125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B9328C8-DF40-49FD-A60F-53E8DBFA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4" y="119063"/>
          <a:ext cx="8024910" cy="69738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31750</xdr:rowOff>
    </xdr:from>
    <xdr:to>
      <xdr:col>10</xdr:col>
      <xdr:colOff>476250</xdr:colOff>
      <xdr:row>97</xdr:row>
      <xdr:rowOff>105569</xdr:rowOff>
    </xdr:to>
    <xdr:pic>
      <xdr:nvPicPr>
        <xdr:cNvPr id="14" name="图片 15">
          <a:extLst>
            <a:ext uri="{FF2B5EF4-FFF2-40B4-BE49-F238E27FC236}">
              <a16:creationId xmlns:a16="http://schemas.microsoft.com/office/drawing/2014/main" id="{EA911B6B-7B55-41BF-9619-13C49C7D9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7481550"/>
          <a:ext cx="10096500" cy="30075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87313</xdr:rowOff>
    </xdr:from>
    <xdr:to>
      <xdr:col>10</xdr:col>
      <xdr:colOff>484186</xdr:colOff>
      <xdr:row>112</xdr:row>
      <xdr:rowOff>2441</xdr:rowOff>
    </xdr:to>
    <xdr:pic>
      <xdr:nvPicPr>
        <xdr:cNvPr id="15" name="图片 16">
          <a:extLst>
            <a:ext uri="{FF2B5EF4-FFF2-40B4-BE49-F238E27FC236}">
              <a16:creationId xmlns:a16="http://schemas.microsoft.com/office/drawing/2014/main" id="{3D4D0E21-22CB-4A62-8D14-3173B8E3F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470813"/>
          <a:ext cx="10104436" cy="3058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87312</xdr:rowOff>
    </xdr:from>
    <xdr:to>
      <xdr:col>10</xdr:col>
      <xdr:colOff>508000</xdr:colOff>
      <xdr:row>120</xdr:row>
      <xdr:rowOff>81618</xdr:rowOff>
    </xdr:to>
    <xdr:pic>
      <xdr:nvPicPr>
        <xdr:cNvPr id="16" name="图片 21">
          <a:extLst>
            <a:ext uri="{FF2B5EF4-FFF2-40B4-BE49-F238E27FC236}">
              <a16:creationId xmlns:a16="http://schemas.microsoft.com/office/drawing/2014/main" id="{662F3284-7C6B-437D-9537-5ED9F9A5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3404512"/>
          <a:ext cx="10128250" cy="188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D:\4%20&#51648;&#49324;&#44288;&#47144;\1%20&#51204;&#46020;&#44552;\3.%20&#49900;&#52380;\2023\09\&#51204;&#46020;&#44552;&#51221;&#49328;(&#49900;&#52380;)_202309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000049\AppData\Local\Microsoft\Windows\INetCache\Content.Outlook\LUTMG520\23&#45380;_12&#50900;%20&#49900;&#52380;&#51648;&#49324;%20&#51204;&#46020;&#44552;%20&#51221;&#4932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000049\AppData\Local\Microsoft\Windows\INetCache\Content.Outlook\LUTMG520\25&#45380;_10&#50900;%20&#49900;&#52380;&#51648;&#49324;%20&#51204;&#46020;&#44552;%20&#51221;&#49328;_&#49688;&#51221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000049\AppData\Local\Microsoft\Windows\INetCache\Content.Outlook\LUTMG520\25&#45380;_12&#50900;%20&#49900;&#52380;&#51648;&#49324;%20&#51204;&#46020;&#44552;%20&#51221;&#49328;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내역_23년9월!개체 1!교통비 정산!R69C14" advise="1">
            <x14:values>
              <value>
                <val>3189.7</val>
              </value>
            </x14:values>
          </x14:oleItem>
        </mc:Choice>
        <mc:Fallback>
          <oleItem name="!내역_23년9월!개체 1!교통비 정산!R69C14" advise="1"/>
        </mc:Fallback>
      </mc:AlternateContent>
    </oleItems>
  </oleLin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통장지급내역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 refreshError="1">
        <row r="132">
          <cell r="D132">
            <v>7.2769496317577582</v>
          </cell>
        </row>
        <row r="138">
          <cell r="D138">
            <v>7.2758657112279561</v>
          </cell>
        </row>
        <row r="145">
          <cell r="D145">
            <v>7.1613626117569593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5.07"/>
      <sheetName val="25.08"/>
      <sheetName val="25.09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1">
          <cell r="D21">
            <v>7.1105999498107622</v>
          </cell>
        </row>
        <row r="28">
          <cell r="D28">
            <v>7.116499952759173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5.07"/>
      <sheetName val="25.08"/>
      <sheetName val="25.09"/>
      <sheetName val="25.10"/>
      <sheetName val="25.11"/>
      <sheetName val="25.12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35">
          <cell r="D35">
            <v>7.0840999885150238</v>
          </cell>
        </row>
        <row r="41">
          <cell r="D41">
            <v>7.0497000418163429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26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2"/>
  <sheetViews>
    <sheetView showGridLines="0" topLeftCell="B1" zoomScaleNormal="100" workbookViewId="0">
      <selection activeCell="Q82" sqref="Q82"/>
    </sheetView>
  </sheetViews>
  <sheetFormatPr defaultColWidth="9" defaultRowHeight="15.6" outlineLevelRow="1"/>
  <cols>
    <col min="1" max="1" width="2.296875" style="119" customWidth="1"/>
    <col min="2" max="2" width="13.5" style="5" bestFit="1" customWidth="1"/>
    <col min="3" max="3" width="9" style="5"/>
    <col min="4" max="4" width="11.796875" style="5" bestFit="1" customWidth="1"/>
    <col min="5" max="5" width="11.59765625" style="5" bestFit="1" customWidth="1"/>
    <col min="6" max="6" width="13.296875" style="5" customWidth="1"/>
    <col min="7" max="7" width="10.5" style="5" bestFit="1" customWidth="1"/>
    <col min="8" max="8" width="10.796875" style="5" bestFit="1" customWidth="1"/>
    <col min="9" max="10" width="11.796875" style="5" bestFit="1" customWidth="1"/>
    <col min="11" max="13" width="10.5" style="5" bestFit="1" customWidth="1"/>
    <col min="14" max="14" width="12.5" style="5" customWidth="1"/>
    <col min="15" max="16" width="10.5" style="5" bestFit="1" customWidth="1"/>
    <col min="17" max="16384" width="9" style="5"/>
  </cols>
  <sheetData>
    <row r="1" spans="2:14" ht="6.6" customHeight="1" thickBot="1"/>
    <row r="2" spans="2:14">
      <c r="B2" s="2023" t="s">
        <v>38</v>
      </c>
      <c r="C2" s="2025" t="s">
        <v>39</v>
      </c>
      <c r="D2" s="2025"/>
      <c r="E2" s="2025"/>
      <c r="F2" s="2025" t="s">
        <v>40</v>
      </c>
      <c r="G2" s="2025"/>
      <c r="H2" s="2025"/>
      <c r="I2" s="2025" t="s">
        <v>41</v>
      </c>
      <c r="J2" s="2025"/>
      <c r="K2" s="2025" t="s">
        <v>42</v>
      </c>
      <c r="L2" s="2025"/>
      <c r="M2" s="2021" t="s">
        <v>43</v>
      </c>
      <c r="N2" s="2022"/>
    </row>
    <row r="3" spans="2:14" ht="31.2">
      <c r="B3" s="2024"/>
      <c r="C3" s="66" t="s">
        <v>44</v>
      </c>
      <c r="D3" s="66" t="s">
        <v>45</v>
      </c>
      <c r="E3" s="67" t="s">
        <v>46</v>
      </c>
      <c r="F3" s="68" t="s">
        <v>47</v>
      </c>
      <c r="G3" s="68" t="s">
        <v>48</v>
      </c>
      <c r="H3" s="69" t="s">
        <v>49</v>
      </c>
      <c r="I3" s="68" t="s">
        <v>73</v>
      </c>
      <c r="J3" s="68" t="s">
        <v>49</v>
      </c>
      <c r="K3" s="68" t="s">
        <v>73</v>
      </c>
      <c r="L3" s="68" t="s">
        <v>49</v>
      </c>
      <c r="M3" s="70" t="s">
        <v>47</v>
      </c>
      <c r="N3" s="380" t="s">
        <v>49</v>
      </c>
    </row>
    <row r="4" spans="2:14" ht="16.5" hidden="1" customHeight="1" outlineLevel="1">
      <c r="B4" s="381">
        <v>45854</v>
      </c>
      <c r="C4" s="35"/>
      <c r="D4" s="35"/>
      <c r="E4" s="35"/>
      <c r="F4" s="39">
        <v>74022.44</v>
      </c>
      <c r="G4" s="39"/>
      <c r="H4" s="39"/>
      <c r="I4" s="39"/>
      <c r="J4" s="39"/>
      <c r="K4" s="39"/>
      <c r="L4" s="39"/>
      <c r="M4" s="39"/>
      <c r="N4" s="382">
        <f>H4-L4</f>
        <v>0</v>
      </c>
    </row>
    <row r="5" spans="2:14" ht="16.5" hidden="1" customHeight="1" outlineLevel="1">
      <c r="B5" s="381">
        <v>45854</v>
      </c>
      <c r="C5" s="71">
        <v>1373.8</v>
      </c>
      <c r="D5" s="65">
        <f>-H5/F5</f>
        <v>7.1674000343842152</v>
      </c>
      <c r="E5" s="35">
        <v>2000001679</v>
      </c>
      <c r="F5" s="39">
        <v>-73987.44</v>
      </c>
      <c r="G5" s="39"/>
      <c r="H5" s="39">
        <v>530297.58000000007</v>
      </c>
      <c r="I5" s="39"/>
      <c r="J5" s="39"/>
      <c r="K5" s="39">
        <v>35</v>
      </c>
      <c r="L5" s="39">
        <v>73092</v>
      </c>
      <c r="M5" s="39"/>
      <c r="N5" s="382">
        <f t="shared" ref="N5" si="0">H5-L5</f>
        <v>457205.58000000007</v>
      </c>
    </row>
    <row r="6" spans="2:14" ht="16.5" hidden="1" customHeight="1" outlineLevel="1">
      <c r="B6" s="381">
        <v>45855</v>
      </c>
      <c r="C6" s="71"/>
      <c r="D6" s="35"/>
      <c r="E6" s="35"/>
      <c r="F6" s="39"/>
      <c r="G6" s="39"/>
      <c r="H6" s="39"/>
      <c r="I6" s="39"/>
      <c r="J6" s="39"/>
      <c r="K6" s="39"/>
      <c r="L6" s="39">
        <v>2403.6</v>
      </c>
      <c r="M6" s="39"/>
      <c r="N6" s="382">
        <f>N5-L6</f>
        <v>454801.9800000001</v>
      </c>
    </row>
    <row r="7" spans="2:14" ht="16.5" hidden="1" customHeight="1" outlineLevel="1">
      <c r="B7" s="381">
        <v>45860</v>
      </c>
      <c r="C7" s="71"/>
      <c r="D7" s="35"/>
      <c r="E7" s="35"/>
      <c r="F7" s="39"/>
      <c r="G7" s="39"/>
      <c r="H7" s="39"/>
      <c r="I7" s="39"/>
      <c r="J7" s="39"/>
      <c r="K7" s="39"/>
      <c r="L7" s="39">
        <v>28287.200000000001</v>
      </c>
      <c r="M7" s="39"/>
      <c r="N7" s="382">
        <f t="shared" ref="N7:N9" si="1">N6-L7</f>
        <v>426514.78000000009</v>
      </c>
    </row>
    <row r="8" spans="2:14" ht="16.5" hidden="1" customHeight="1" outlineLevel="1">
      <c r="B8" s="381">
        <v>45862</v>
      </c>
      <c r="C8" s="71"/>
      <c r="D8" s="35"/>
      <c r="E8" s="35"/>
      <c r="F8" s="39"/>
      <c r="G8" s="39"/>
      <c r="H8" s="39"/>
      <c r="I8" s="39"/>
      <c r="J8" s="39"/>
      <c r="K8" s="39"/>
      <c r="L8" s="39">
        <v>345390.37999999989</v>
      </c>
      <c r="M8" s="39"/>
      <c r="N8" s="382">
        <f t="shared" si="1"/>
        <v>81124.400000000198</v>
      </c>
    </row>
    <row r="9" spans="2:14" ht="16.5" hidden="1" customHeight="1" outlineLevel="1">
      <c r="B9" s="381">
        <v>45863</v>
      </c>
      <c r="C9" s="71"/>
      <c r="D9" s="35"/>
      <c r="E9" s="35"/>
      <c r="F9" s="39"/>
      <c r="G9" s="39"/>
      <c r="H9" s="39"/>
      <c r="I9" s="39"/>
      <c r="J9" s="39"/>
      <c r="K9" s="39"/>
      <c r="L9" s="39">
        <v>80014.399999999994</v>
      </c>
      <c r="M9" s="39"/>
      <c r="N9" s="382">
        <f t="shared" si="1"/>
        <v>1110.0000000002037</v>
      </c>
    </row>
    <row r="10" spans="2:14" hidden="1" outlineLevel="1">
      <c r="B10" s="383"/>
      <c r="C10" s="161"/>
      <c r="D10" s="161"/>
      <c r="E10" s="161"/>
      <c r="F10" s="162"/>
      <c r="G10" s="162"/>
      <c r="H10" s="163"/>
      <c r="I10" s="163"/>
      <c r="J10" s="163"/>
      <c r="K10" s="162"/>
      <c r="L10" s="164"/>
      <c r="M10" s="165"/>
      <c r="N10" s="384">
        <f>N9</f>
        <v>1110.0000000002037</v>
      </c>
    </row>
    <row r="11" spans="2:14" hidden="1" outlineLevel="1" collapsed="1">
      <c r="B11" s="381">
        <v>45881</v>
      </c>
      <c r="C11" s="35"/>
      <c r="D11" s="35"/>
      <c r="E11" s="35"/>
      <c r="F11" s="39">
        <v>66958.929999999993</v>
      </c>
      <c r="G11" s="39"/>
      <c r="H11" s="39"/>
      <c r="I11" s="39"/>
      <c r="J11" s="39"/>
      <c r="K11" s="39"/>
      <c r="L11" s="39"/>
      <c r="M11" s="39"/>
      <c r="N11" s="382">
        <f t="shared" ref="N11:N12" si="2">N10+H11-L11</f>
        <v>1110.0000000002037</v>
      </c>
    </row>
    <row r="12" spans="2:14" hidden="1" outlineLevel="1">
      <c r="B12" s="381">
        <v>45881</v>
      </c>
      <c r="C12" s="71">
        <v>1384.2</v>
      </c>
      <c r="D12" s="65">
        <f>-H12/F12</f>
        <v>7.1783000041981708</v>
      </c>
      <c r="E12" s="35">
        <v>2000001943</v>
      </c>
      <c r="F12" s="39">
        <v>-66933.929999999993</v>
      </c>
      <c r="G12" s="39"/>
      <c r="H12" s="39">
        <v>480471.83</v>
      </c>
      <c r="I12" s="39"/>
      <c r="J12" s="39"/>
      <c r="K12" s="39">
        <v>25</v>
      </c>
      <c r="L12" s="39"/>
      <c r="M12" s="39"/>
      <c r="N12" s="382">
        <f t="shared" si="2"/>
        <v>481581.83000000019</v>
      </c>
    </row>
    <row r="13" spans="2:14" hidden="1" outlineLevel="1">
      <c r="B13" s="381">
        <v>45883</v>
      </c>
      <c r="C13" s="71"/>
      <c r="D13" s="35"/>
      <c r="E13" s="35"/>
      <c r="F13" s="39"/>
      <c r="G13" s="39"/>
      <c r="H13" s="39"/>
      <c r="I13" s="39"/>
      <c r="J13" s="39"/>
      <c r="K13" s="39"/>
      <c r="L13" s="183">
        <v>1110.0567838029012</v>
      </c>
      <c r="M13" s="39"/>
      <c r="N13" s="382">
        <f>N12+H13-L13</f>
        <v>480471.77321619727</v>
      </c>
    </row>
    <row r="14" spans="2:14" hidden="1" outlineLevel="1">
      <c r="B14" s="381">
        <v>45883</v>
      </c>
      <c r="C14" s="71"/>
      <c r="D14" s="35"/>
      <c r="E14" s="35"/>
      <c r="F14" s="39"/>
      <c r="G14" s="39"/>
      <c r="H14" s="39"/>
      <c r="I14" s="39"/>
      <c r="J14" s="39"/>
      <c r="K14" s="39"/>
      <c r="L14" s="183">
        <v>26430.74</v>
      </c>
      <c r="M14" s="39"/>
      <c r="N14" s="382">
        <f t="shared" ref="N14:N33" si="3">N13+H14-L14</f>
        <v>454041.03321619728</v>
      </c>
    </row>
    <row r="15" spans="2:14" hidden="1" outlineLevel="1">
      <c r="B15" s="381">
        <v>45887</v>
      </c>
      <c r="C15" s="71"/>
      <c r="D15" s="35"/>
      <c r="E15" s="35"/>
      <c r="F15" s="39"/>
      <c r="G15" s="39"/>
      <c r="H15" s="39"/>
      <c r="I15" s="39"/>
      <c r="J15" s="39"/>
      <c r="K15" s="39"/>
      <c r="L15" s="39">
        <v>33.6</v>
      </c>
      <c r="M15" s="39"/>
      <c r="N15" s="382">
        <f t="shared" si="3"/>
        <v>454007.4332161973</v>
      </c>
    </row>
    <row r="16" spans="2:14" hidden="1" outlineLevel="1">
      <c r="B16" s="381">
        <v>45888</v>
      </c>
      <c r="C16" s="71"/>
      <c r="D16" s="35"/>
      <c r="E16" s="35"/>
      <c r="F16" s="39"/>
      <c r="G16" s="39"/>
      <c r="H16" s="39"/>
      <c r="I16" s="39"/>
      <c r="J16" s="39"/>
      <c r="K16" s="39"/>
      <c r="L16" s="39">
        <v>148030.18000000005</v>
      </c>
      <c r="M16" s="39"/>
      <c r="N16" s="382">
        <f t="shared" si="3"/>
        <v>305977.25321619725</v>
      </c>
    </row>
    <row r="17" spans="2:14" hidden="1" outlineLevel="1">
      <c r="B17" s="381">
        <v>45889</v>
      </c>
      <c r="C17" s="71"/>
      <c r="D17" s="35"/>
      <c r="E17" s="35"/>
      <c r="F17" s="39"/>
      <c r="G17" s="39"/>
      <c r="H17" s="39"/>
      <c r="I17" s="39"/>
      <c r="J17" s="39"/>
      <c r="K17" s="39"/>
      <c r="L17" s="39">
        <v>292153.69</v>
      </c>
      <c r="M17" s="39"/>
      <c r="N17" s="382">
        <f t="shared" si="3"/>
        <v>13823.563216197246</v>
      </c>
    </row>
    <row r="18" spans="2:14" ht="16.2" hidden="1" outlineLevel="1" thickBot="1">
      <c r="B18" s="1458"/>
      <c r="C18" s="1459"/>
      <c r="D18" s="1459"/>
      <c r="E18" s="1459"/>
      <c r="F18" s="1460"/>
      <c r="G18" s="1460"/>
      <c r="H18" s="1461"/>
      <c r="I18" s="1461"/>
      <c r="J18" s="1461"/>
      <c r="K18" s="1460"/>
      <c r="L18" s="1462"/>
      <c r="M18" s="1463"/>
      <c r="N18" s="1464">
        <f t="shared" si="3"/>
        <v>13823.563216197246</v>
      </c>
    </row>
    <row r="19" spans="2:14" hidden="1" outlineLevel="1">
      <c r="B19" s="381">
        <v>45910</v>
      </c>
      <c r="C19" s="71"/>
      <c r="D19" s="35"/>
      <c r="E19" s="35"/>
      <c r="F19" s="39"/>
      <c r="G19" s="39"/>
      <c r="H19" s="39"/>
      <c r="I19" s="39"/>
      <c r="J19" s="39"/>
      <c r="K19" s="39"/>
      <c r="L19" s="39">
        <v>243.6</v>
      </c>
      <c r="M19" s="39"/>
      <c r="N19" s="382">
        <f t="shared" si="3"/>
        <v>13579.963216197246</v>
      </c>
    </row>
    <row r="20" spans="2:14" hidden="1" outlineLevel="1">
      <c r="B20" s="381">
        <v>45911</v>
      </c>
      <c r="C20" s="71"/>
      <c r="D20" s="35"/>
      <c r="E20" s="35"/>
      <c r="F20" s="39">
        <v>58404.05</v>
      </c>
      <c r="G20" s="39"/>
      <c r="H20" s="39"/>
      <c r="I20" s="39"/>
      <c r="J20" s="39"/>
      <c r="K20" s="39"/>
      <c r="L20" s="39"/>
      <c r="M20" s="39"/>
      <c r="N20" s="382">
        <f t="shared" si="3"/>
        <v>13579.963216197246</v>
      </c>
    </row>
    <row r="21" spans="2:14" hidden="1" outlineLevel="1">
      <c r="B21" s="381">
        <v>45911</v>
      </c>
      <c r="C21" s="71">
        <v>1386.6</v>
      </c>
      <c r="D21" s="65">
        <f>-H21/F21</f>
        <v>7.1105999498107622</v>
      </c>
      <c r="E21" s="35">
        <v>2000002211</v>
      </c>
      <c r="F21" s="39">
        <v>-58379.05</v>
      </c>
      <c r="G21" s="39"/>
      <c r="H21" s="39">
        <v>415110.07</v>
      </c>
      <c r="I21" s="39"/>
      <c r="J21" s="39"/>
      <c r="K21" s="39">
        <v>25</v>
      </c>
      <c r="L21" s="39"/>
      <c r="M21" s="39"/>
      <c r="N21" s="382">
        <f t="shared" si="3"/>
        <v>428690.03321619728</v>
      </c>
    </row>
    <row r="22" spans="2:14" hidden="1" outlineLevel="1">
      <c r="B22" s="381">
        <v>45915</v>
      </c>
      <c r="C22" s="71"/>
      <c r="D22" s="35"/>
      <c r="E22" s="35"/>
      <c r="F22" s="39"/>
      <c r="G22" s="39"/>
      <c r="H22" s="39"/>
      <c r="I22" s="39"/>
      <c r="J22" s="39"/>
      <c r="K22" s="39"/>
      <c r="L22" s="183">
        <v>13580.057950017293</v>
      </c>
      <c r="M22" s="39"/>
      <c r="N22" s="382">
        <f t="shared" si="3"/>
        <v>415109.97526618</v>
      </c>
    </row>
    <row r="23" spans="2:14" hidden="1" outlineLevel="1">
      <c r="B23" s="381">
        <v>45915</v>
      </c>
      <c r="C23" s="71"/>
      <c r="D23" s="35"/>
      <c r="E23" s="35"/>
      <c r="F23" s="39"/>
      <c r="G23" s="39"/>
      <c r="H23" s="39"/>
      <c r="I23" s="39"/>
      <c r="J23" s="39"/>
      <c r="K23" s="39"/>
      <c r="L23" s="183">
        <v>13975.74</v>
      </c>
      <c r="M23" s="39"/>
      <c r="N23" s="382">
        <f t="shared" si="3"/>
        <v>401134.23526618001</v>
      </c>
    </row>
    <row r="24" spans="2:14" hidden="1" outlineLevel="1">
      <c r="B24" s="381">
        <v>45921</v>
      </c>
      <c r="C24" s="71"/>
      <c r="D24" s="35"/>
      <c r="E24" s="35"/>
      <c r="F24" s="39"/>
      <c r="G24" s="39"/>
      <c r="H24" s="39"/>
      <c r="I24" s="39"/>
      <c r="J24" s="39">
        <v>32.36</v>
      </c>
      <c r="K24" s="39"/>
      <c r="L24" s="183"/>
      <c r="M24" s="39"/>
      <c r="N24" s="382">
        <f>N23+H24-L24+J24</f>
        <v>401166.59526618</v>
      </c>
    </row>
    <row r="25" spans="2:14" hidden="1" outlineLevel="1">
      <c r="B25" s="381">
        <v>45923</v>
      </c>
      <c r="C25" s="71"/>
      <c r="D25" s="35"/>
      <c r="E25" s="35"/>
      <c r="F25" s="39"/>
      <c r="G25" s="39"/>
      <c r="H25" s="39"/>
      <c r="I25" s="39"/>
      <c r="J25" s="39"/>
      <c r="K25" s="39"/>
      <c r="L25" s="39">
        <v>399903.19999999995</v>
      </c>
      <c r="M25" s="39"/>
      <c r="N25" s="382">
        <f t="shared" si="3"/>
        <v>1263.3952661800431</v>
      </c>
    </row>
    <row r="26" spans="2:14" ht="16.2" hidden="1" outlineLevel="1" thickBot="1">
      <c r="B26" s="1458"/>
      <c r="C26" s="1459"/>
      <c r="D26" s="1459"/>
      <c r="E26" s="1459"/>
      <c r="F26" s="1460"/>
      <c r="G26" s="1460"/>
      <c r="H26" s="1461"/>
      <c r="I26" s="1461"/>
      <c r="J26" s="1461"/>
      <c r="K26" s="1460"/>
      <c r="L26" s="1462"/>
      <c r="M26" s="1463"/>
      <c r="N26" s="1464">
        <f t="shared" ref="N26" si="4">N25+H26-L26</f>
        <v>1263.3952661800431</v>
      </c>
    </row>
    <row r="27" spans="2:14" hidden="1" outlineLevel="1" collapsed="1">
      <c r="B27" s="381">
        <v>45943</v>
      </c>
      <c r="C27" s="71"/>
      <c r="D27" s="35"/>
      <c r="E27" s="35"/>
      <c r="F27" s="39">
        <v>76124.429999999993</v>
      </c>
      <c r="G27" s="39"/>
      <c r="H27" s="39"/>
      <c r="I27" s="39"/>
      <c r="J27" s="39"/>
      <c r="K27" s="39"/>
      <c r="L27" s="39"/>
      <c r="M27" s="39"/>
      <c r="N27" s="382">
        <f t="shared" si="3"/>
        <v>1263.3952661800431</v>
      </c>
    </row>
    <row r="28" spans="2:14" hidden="1" outlineLevel="1">
      <c r="B28" s="381">
        <v>45943</v>
      </c>
      <c r="C28" s="71">
        <v>1401.9</v>
      </c>
      <c r="D28" s="65">
        <f>-H28/F28</f>
        <v>7.116499952759173</v>
      </c>
      <c r="E28" s="35">
        <v>2000002505</v>
      </c>
      <c r="F28" s="39">
        <v>-76099.429999999993</v>
      </c>
      <c r="G28" s="39"/>
      <c r="H28" s="39">
        <v>541561.59</v>
      </c>
      <c r="I28" s="39"/>
      <c r="J28" s="39"/>
      <c r="K28" s="39">
        <v>25</v>
      </c>
      <c r="L28" s="39"/>
      <c r="M28" s="39"/>
      <c r="N28" s="382">
        <f t="shared" si="3"/>
        <v>542824.98526618001</v>
      </c>
    </row>
    <row r="29" spans="2:14" hidden="1" outlineLevel="1">
      <c r="B29" s="381">
        <v>45945</v>
      </c>
      <c r="C29" s="71"/>
      <c r="D29" s="35"/>
      <c r="E29" s="35"/>
      <c r="F29" s="39"/>
      <c r="G29" s="39"/>
      <c r="H29" s="39"/>
      <c r="I29" s="39"/>
      <c r="J29" s="39"/>
      <c r="K29" s="39"/>
      <c r="L29" s="183">
        <v>1263.4825050818743</v>
      </c>
      <c r="M29" s="39"/>
      <c r="N29" s="382">
        <f t="shared" si="3"/>
        <v>541561.50276109809</v>
      </c>
    </row>
    <row r="30" spans="2:14" hidden="1" outlineLevel="1">
      <c r="B30" s="381">
        <v>45945</v>
      </c>
      <c r="C30" s="71"/>
      <c r="D30" s="35"/>
      <c r="E30" s="35"/>
      <c r="F30" s="39"/>
      <c r="G30" s="39"/>
      <c r="H30" s="39"/>
      <c r="I30" s="39"/>
      <c r="J30" s="39"/>
      <c r="L30" s="183">
        <v>26248.32</v>
      </c>
      <c r="M30" s="39"/>
      <c r="N30" s="382">
        <f t="shared" si="3"/>
        <v>515313.18276109808</v>
      </c>
    </row>
    <row r="31" spans="2:14" hidden="1" outlineLevel="1">
      <c r="B31" s="381">
        <v>45952</v>
      </c>
      <c r="C31" s="71"/>
      <c r="D31" s="35"/>
      <c r="E31" s="35"/>
      <c r="F31" s="39"/>
      <c r="G31" s="39"/>
      <c r="H31" s="39"/>
      <c r="I31" s="39"/>
      <c r="J31" s="39"/>
      <c r="K31" s="39"/>
      <c r="L31" s="39">
        <v>57279.62</v>
      </c>
      <c r="M31" s="39"/>
      <c r="N31" s="382">
        <f t="shared" si="3"/>
        <v>458033.56276109809</v>
      </c>
    </row>
    <row r="32" spans="2:14" hidden="1" outlineLevel="1">
      <c r="B32" s="381">
        <v>45953</v>
      </c>
      <c r="C32" s="71"/>
      <c r="D32" s="35"/>
      <c r="E32" s="35"/>
      <c r="F32" s="39"/>
      <c r="G32" s="39"/>
      <c r="H32" s="39"/>
      <c r="I32" s="39"/>
      <c r="J32" s="39"/>
      <c r="K32" s="39"/>
      <c r="L32" s="39">
        <v>435679.23000000004</v>
      </c>
      <c r="M32" s="39"/>
      <c r="N32" s="382">
        <f t="shared" si="3"/>
        <v>22354.332761098049</v>
      </c>
    </row>
    <row r="33" spans="2:14" ht="16.2" hidden="1" outlineLevel="1" thickBot="1">
      <c r="B33" s="1458"/>
      <c r="C33" s="1459"/>
      <c r="D33" s="1459"/>
      <c r="E33" s="1459"/>
      <c r="F33" s="1460"/>
      <c r="G33" s="1460"/>
      <c r="H33" s="1461"/>
      <c r="I33" s="1461"/>
      <c r="J33" s="1461"/>
      <c r="K33" s="1460"/>
      <c r="L33" s="1462"/>
      <c r="M33" s="1463"/>
      <c r="N33" s="1464">
        <f t="shared" si="3"/>
        <v>22354.332761098049</v>
      </c>
    </row>
    <row r="34" spans="2:14" hidden="1" outlineLevel="1">
      <c r="B34" s="381">
        <v>45974</v>
      </c>
      <c r="C34" s="71"/>
      <c r="D34" s="35"/>
      <c r="E34" s="35"/>
      <c r="F34" s="39">
        <v>58100.87</v>
      </c>
      <c r="G34" s="39"/>
      <c r="H34" s="39"/>
      <c r="I34" s="39"/>
      <c r="J34" s="39"/>
      <c r="K34" s="39"/>
      <c r="L34" s="39"/>
      <c r="M34" s="39"/>
      <c r="N34" s="382">
        <f t="shared" ref="N34:N46" si="5">N33+H34-L34</f>
        <v>22354.332761098049</v>
      </c>
    </row>
    <row r="35" spans="2:14" hidden="1" outlineLevel="1">
      <c r="B35" s="381">
        <v>45974</v>
      </c>
      <c r="C35" s="71">
        <v>1454</v>
      </c>
      <c r="D35" s="65">
        <f>-H35/F35</f>
        <v>7.0840999885150238</v>
      </c>
      <c r="E35" s="35">
        <v>2000002746</v>
      </c>
      <c r="F35" s="39">
        <v>-58075.87</v>
      </c>
      <c r="G35" s="39"/>
      <c r="H35" s="39">
        <v>411415.27</v>
      </c>
      <c r="I35" s="39"/>
      <c r="J35" s="39"/>
      <c r="K35" s="39">
        <v>25</v>
      </c>
      <c r="L35" s="39"/>
      <c r="M35" s="39"/>
      <c r="N35" s="382">
        <f t="shared" si="5"/>
        <v>433769.60276109807</v>
      </c>
    </row>
    <row r="36" spans="2:14" hidden="1" outlineLevel="1">
      <c r="B36" s="381">
        <v>45975</v>
      </c>
      <c r="C36" s="71"/>
      <c r="D36" s="35"/>
      <c r="E36" s="35"/>
      <c r="F36" s="39"/>
      <c r="G36" s="39"/>
      <c r="H36" s="39"/>
      <c r="I36" s="39"/>
      <c r="J36" s="39"/>
      <c r="K36" s="39"/>
      <c r="L36" s="183">
        <v>22335.89</v>
      </c>
      <c r="M36" s="39"/>
      <c r="N36" s="382">
        <f t="shared" si="5"/>
        <v>411433.71276109805</v>
      </c>
    </row>
    <row r="37" spans="2:14" hidden="1" outlineLevel="1">
      <c r="B37" s="381">
        <v>45975</v>
      </c>
      <c r="C37" s="71"/>
      <c r="D37" s="35"/>
      <c r="E37" s="35"/>
      <c r="F37" s="39"/>
      <c r="G37" s="39"/>
      <c r="H37" s="39"/>
      <c r="I37" s="39"/>
      <c r="J37" s="39"/>
      <c r="L37" s="183">
        <v>5111.91</v>
      </c>
      <c r="M37" s="39"/>
      <c r="N37" s="382">
        <f t="shared" si="5"/>
        <v>406321.80276109808</v>
      </c>
    </row>
    <row r="38" spans="2:14" ht="14.25" hidden="1" customHeight="1" outlineLevel="1">
      <c r="B38" s="381">
        <v>45985</v>
      </c>
      <c r="C38" s="71"/>
      <c r="D38" s="35"/>
      <c r="E38" s="35"/>
      <c r="F38" s="39"/>
      <c r="G38" s="39"/>
      <c r="H38" s="39"/>
      <c r="I38" s="39"/>
      <c r="J38" s="39"/>
      <c r="K38" s="39"/>
      <c r="L38" s="39">
        <v>377571.91000000003</v>
      </c>
      <c r="M38" s="39"/>
      <c r="N38" s="382">
        <f t="shared" si="5"/>
        <v>28749.892761098046</v>
      </c>
    </row>
    <row r="39" spans="2:14" ht="16.2" hidden="1" outlineLevel="1" thickBot="1">
      <c r="B39" s="1458"/>
      <c r="C39" s="1459"/>
      <c r="D39" s="1459"/>
      <c r="E39" s="1459"/>
      <c r="F39" s="1460"/>
      <c r="G39" s="1460"/>
      <c r="H39" s="1461"/>
      <c r="I39" s="1461"/>
      <c r="J39" s="1461"/>
      <c r="K39" s="1460"/>
      <c r="L39" s="1462"/>
      <c r="M39" s="1463"/>
      <c r="N39" s="1464">
        <f>N38</f>
        <v>28749.892761098046</v>
      </c>
    </row>
    <row r="40" spans="2:14" hidden="1" outlineLevel="1" collapsed="1">
      <c r="B40" s="381">
        <v>46002</v>
      </c>
      <c r="C40" s="71"/>
      <c r="D40" s="35"/>
      <c r="E40" s="35"/>
      <c r="F40" s="39">
        <v>60766.8</v>
      </c>
      <c r="G40" s="39"/>
      <c r="H40" s="39"/>
      <c r="I40" s="39"/>
      <c r="J40" s="39"/>
      <c r="K40" s="39"/>
      <c r="L40" s="39"/>
      <c r="M40" s="39"/>
      <c r="N40" s="382">
        <f t="shared" si="5"/>
        <v>28749.892761098046</v>
      </c>
    </row>
    <row r="41" spans="2:14" hidden="1" outlineLevel="1">
      <c r="B41" s="381">
        <v>46002</v>
      </c>
      <c r="C41" s="71">
        <v>1470.4</v>
      </c>
      <c r="D41" s="35">
        <f>-H41/F41</f>
        <v>7.0497000418163429</v>
      </c>
      <c r="E41" s="35">
        <v>2000003021</v>
      </c>
      <c r="F41" s="39">
        <v>-60741.8</v>
      </c>
      <c r="G41" s="39"/>
      <c r="H41" s="39">
        <v>428211.47</v>
      </c>
      <c r="I41" s="39"/>
      <c r="J41" s="39"/>
      <c r="K41" s="39">
        <v>25</v>
      </c>
      <c r="L41" s="39"/>
      <c r="M41" s="39"/>
      <c r="N41" s="382">
        <f t="shared" si="5"/>
        <v>456961.36276109802</v>
      </c>
    </row>
    <row r="42" spans="2:14" hidden="1" outlineLevel="1">
      <c r="B42" s="381">
        <v>46006</v>
      </c>
      <c r="C42" s="71"/>
      <c r="D42" s="35"/>
      <c r="E42" s="35"/>
      <c r="F42" s="39"/>
      <c r="G42" s="39"/>
      <c r="H42" s="39"/>
      <c r="I42" s="39"/>
      <c r="J42" s="39"/>
      <c r="K42" s="39"/>
      <c r="L42" s="39">
        <v>27509.8</v>
      </c>
      <c r="M42" s="39"/>
      <c r="N42" s="382">
        <f t="shared" si="5"/>
        <v>429451.56276109803</v>
      </c>
    </row>
    <row r="43" spans="2:14" hidden="1" outlineLevel="1">
      <c r="B43" s="381">
        <v>46012</v>
      </c>
      <c r="C43" s="71"/>
      <c r="D43" s="35"/>
      <c r="E43" s="35"/>
      <c r="F43" s="39"/>
      <c r="G43" s="39"/>
      <c r="H43" s="39"/>
      <c r="I43" s="39">
        <v>6.209680844612306</v>
      </c>
      <c r="J43" s="39">
        <v>43.99</v>
      </c>
      <c r="K43" s="39"/>
      <c r="L43" s="39"/>
      <c r="M43" s="39"/>
      <c r="N43" s="382">
        <f>N42+H43-L43+J43</f>
        <v>429495.55276109802</v>
      </c>
    </row>
    <row r="44" spans="2:14" hidden="1" outlineLevel="1">
      <c r="B44" s="381">
        <v>46013</v>
      </c>
      <c r="C44" s="71"/>
      <c r="D44" s="35"/>
      <c r="E44" s="35"/>
      <c r="F44" s="39"/>
      <c r="G44" s="39"/>
      <c r="H44" s="39"/>
      <c r="I44" s="39"/>
      <c r="J44" s="39"/>
      <c r="K44" s="39"/>
      <c r="L44" s="183">
        <v>1284.1400000000001</v>
      </c>
      <c r="M44" s="39"/>
      <c r="N44" s="382">
        <f t="shared" si="5"/>
        <v>428211.41276109801</v>
      </c>
    </row>
    <row r="45" spans="2:14" hidden="1" outlineLevel="1">
      <c r="B45" s="381">
        <v>46013</v>
      </c>
      <c r="C45" s="71"/>
      <c r="D45" s="35"/>
      <c r="E45" s="35"/>
      <c r="F45" s="39"/>
      <c r="G45" s="39"/>
      <c r="H45" s="39"/>
      <c r="I45" s="39"/>
      <c r="J45" s="39"/>
      <c r="K45" s="39"/>
      <c r="L45" s="183">
        <v>146684.94</v>
      </c>
      <c r="M45" s="39"/>
      <c r="N45" s="382">
        <f t="shared" si="5"/>
        <v>281526.472761098</v>
      </c>
    </row>
    <row r="46" spans="2:14" hidden="1" outlineLevel="1">
      <c r="B46" s="381">
        <v>46015</v>
      </c>
      <c r="C46" s="71"/>
      <c r="D46" s="35"/>
      <c r="E46" s="35"/>
      <c r="F46" s="39"/>
      <c r="G46" s="39"/>
      <c r="H46" s="39"/>
      <c r="I46" s="39"/>
      <c r="J46" s="39"/>
      <c r="K46" s="39"/>
      <c r="L46" s="39">
        <v>251327.53</v>
      </c>
      <c r="M46" s="39"/>
      <c r="N46" s="382">
        <f t="shared" si="5"/>
        <v>30198.942761098006</v>
      </c>
    </row>
    <row r="47" spans="2:14" ht="16.2" hidden="1" outlineLevel="1" thickBot="1">
      <c r="B47" s="1458"/>
      <c r="C47" s="1459"/>
      <c r="D47" s="1459"/>
      <c r="E47" s="1459"/>
      <c r="F47" s="1460"/>
      <c r="G47" s="1460"/>
      <c r="H47" s="1461"/>
      <c r="I47" s="1461"/>
      <c r="J47" s="1461"/>
      <c r="K47" s="1460"/>
      <c r="L47" s="1462"/>
      <c r="M47" s="1463"/>
      <c r="N47" s="1464">
        <f>N46</f>
        <v>30198.942761098006</v>
      </c>
    </row>
    <row r="48" spans="2:14" hidden="1" outlineLevel="1">
      <c r="B48" s="381">
        <v>46035</v>
      </c>
      <c r="C48" s="71"/>
      <c r="D48" s="35"/>
      <c r="E48" s="35"/>
      <c r="F48" s="39">
        <v>63822.55</v>
      </c>
      <c r="G48" s="39"/>
      <c r="H48" s="39"/>
      <c r="I48" s="39"/>
      <c r="J48" s="39"/>
      <c r="K48" s="39"/>
      <c r="L48" s="39"/>
      <c r="M48" s="39"/>
      <c r="N48" s="382">
        <f t="shared" ref="N48:N64" si="6">N47+H48-L48</f>
        <v>30198.942761098006</v>
      </c>
    </row>
    <row r="49" spans="2:14" hidden="1" outlineLevel="1">
      <c r="B49" s="381">
        <v>46035</v>
      </c>
      <c r="C49" s="71">
        <v>1449.4</v>
      </c>
      <c r="D49" s="35">
        <f>-H49/F49</f>
        <v>6.9648000589364321</v>
      </c>
      <c r="E49" s="35">
        <v>2000000038</v>
      </c>
      <c r="F49" s="39">
        <v>-63797.55</v>
      </c>
      <c r="G49" s="39"/>
      <c r="H49" s="39">
        <v>444337.18</v>
      </c>
      <c r="I49" s="39"/>
      <c r="J49" s="39"/>
      <c r="K49" s="39">
        <v>25</v>
      </c>
      <c r="L49" s="39"/>
      <c r="M49" s="39"/>
      <c r="N49" s="382">
        <f t="shared" si="6"/>
        <v>474536.12276109797</v>
      </c>
    </row>
    <row r="50" spans="2:14" hidden="1" outlineLevel="1">
      <c r="B50" s="381">
        <v>46035</v>
      </c>
      <c r="C50" s="71"/>
      <c r="D50" s="35"/>
      <c r="E50" s="35"/>
      <c r="F50" s="39"/>
      <c r="G50" s="39"/>
      <c r="H50" s="39"/>
      <c r="I50" s="39"/>
      <c r="J50" s="39"/>
      <c r="K50" s="39"/>
      <c r="L50" s="39">
        <v>25054.2</v>
      </c>
      <c r="M50" s="39"/>
      <c r="N50" s="382">
        <f t="shared" si="6"/>
        <v>449481.92276109796</v>
      </c>
    </row>
    <row r="51" spans="2:14" hidden="1" outlineLevel="1">
      <c r="B51" s="381">
        <v>46037</v>
      </c>
      <c r="C51" s="71"/>
      <c r="D51" s="35"/>
      <c r="E51" s="35"/>
      <c r="F51" s="39"/>
      <c r="G51" s="39"/>
      <c r="H51" s="39"/>
      <c r="I51" s="39"/>
      <c r="J51" s="39"/>
      <c r="K51" s="39"/>
      <c r="L51" s="39">
        <v>2403.6</v>
      </c>
      <c r="M51" s="39"/>
      <c r="N51" s="382">
        <f t="shared" si="6"/>
        <v>447078.32276109798</v>
      </c>
    </row>
    <row r="52" spans="2:14" hidden="1" outlineLevel="1">
      <c r="B52" s="381">
        <v>46038</v>
      </c>
      <c r="C52" s="71"/>
      <c r="D52" s="35"/>
      <c r="E52" s="35"/>
      <c r="F52" s="39"/>
      <c r="G52" s="39"/>
      <c r="H52" s="39"/>
      <c r="I52" s="39"/>
      <c r="J52" s="39"/>
      <c r="K52" s="39"/>
      <c r="L52" s="183">
        <v>2741.2021201200105</v>
      </c>
      <c r="M52" s="39"/>
      <c r="N52" s="382">
        <f t="shared" si="6"/>
        <v>444337.12064097798</v>
      </c>
    </row>
    <row r="53" spans="2:14" hidden="1" outlineLevel="1">
      <c r="B53" s="381">
        <v>46038</v>
      </c>
      <c r="C53" s="71"/>
      <c r="D53" s="35"/>
      <c r="E53" s="35"/>
      <c r="F53" s="39"/>
      <c r="G53" s="39"/>
      <c r="H53" s="39"/>
      <c r="I53" s="39"/>
      <c r="J53" s="39"/>
      <c r="K53" s="39"/>
      <c r="L53" s="183">
        <v>54391.907879879989</v>
      </c>
      <c r="M53" s="39"/>
      <c r="N53" s="382">
        <f t="shared" si="6"/>
        <v>389945.212761098</v>
      </c>
    </row>
    <row r="54" spans="2:14" hidden="1" outlineLevel="1">
      <c r="B54" s="381">
        <v>46044</v>
      </c>
      <c r="C54" s="71"/>
      <c r="D54" s="35"/>
      <c r="E54" s="35"/>
      <c r="F54" s="39"/>
      <c r="G54" s="39"/>
      <c r="H54" s="39"/>
      <c r="I54" s="39"/>
      <c r="J54" s="39"/>
      <c r="K54" s="39"/>
      <c r="L54" s="39">
        <v>348537.1</v>
      </c>
      <c r="M54" s="39"/>
      <c r="N54" s="382">
        <f t="shared" si="6"/>
        <v>41408.112761098018</v>
      </c>
    </row>
    <row r="55" spans="2:14" ht="16.2" hidden="1" outlineLevel="1" thickBot="1">
      <c r="B55" s="1458"/>
      <c r="C55" s="1459"/>
      <c r="D55" s="1459"/>
      <c r="E55" s="1459"/>
      <c r="F55" s="1460"/>
      <c r="G55" s="1460"/>
      <c r="H55" s="1461"/>
      <c r="I55" s="1461"/>
      <c r="J55" s="1461"/>
      <c r="K55" s="1460"/>
      <c r="L55" s="1462"/>
      <c r="M55" s="1463"/>
      <c r="N55" s="1464">
        <f>N54</f>
        <v>41408.112761098018</v>
      </c>
    </row>
    <row r="56" spans="2:14" hidden="1" outlineLevel="1" collapsed="1">
      <c r="B56" s="381">
        <v>46055</v>
      </c>
      <c r="C56" s="71"/>
      <c r="D56" s="35"/>
      <c r="E56" s="35"/>
      <c r="F56" s="39"/>
      <c r="G56" s="39"/>
      <c r="H56" s="39"/>
      <c r="I56" s="39"/>
      <c r="J56" s="39"/>
      <c r="K56" s="39"/>
      <c r="L56" s="39">
        <v>140</v>
      </c>
      <c r="M56" s="39"/>
      <c r="N56" s="382">
        <f t="shared" si="6"/>
        <v>41268.112761098018</v>
      </c>
    </row>
    <row r="57" spans="2:14" hidden="1" outlineLevel="1">
      <c r="B57" s="381">
        <v>46062</v>
      </c>
      <c r="C57" s="71"/>
      <c r="D57" s="35"/>
      <c r="E57" s="35"/>
      <c r="F57" s="39">
        <v>75630.62</v>
      </c>
      <c r="G57" s="39"/>
      <c r="H57" s="39"/>
      <c r="I57" s="39"/>
      <c r="J57" s="39"/>
      <c r="K57" s="39"/>
      <c r="L57" s="39"/>
      <c r="M57" s="39"/>
      <c r="N57" s="382">
        <f t="shared" si="6"/>
        <v>41268.112761098018</v>
      </c>
    </row>
    <row r="58" spans="2:14" hidden="1" outlineLevel="1">
      <c r="B58" s="381">
        <v>46062</v>
      </c>
      <c r="C58" s="71">
        <v>1451.2</v>
      </c>
      <c r="D58" s="35">
        <f>-H58/F58</f>
        <v>6.916399997777944</v>
      </c>
      <c r="E58" s="35">
        <v>2000000421</v>
      </c>
      <c r="F58" s="39">
        <v>-75605.62</v>
      </c>
      <c r="G58" s="39"/>
      <c r="H58" s="39">
        <v>522918.71</v>
      </c>
      <c r="I58" s="39"/>
      <c r="J58" s="39"/>
      <c r="K58" s="39">
        <v>25</v>
      </c>
      <c r="L58" s="39"/>
      <c r="M58" s="39"/>
      <c r="N58" s="382">
        <f t="shared" si="6"/>
        <v>564186.82276109804</v>
      </c>
    </row>
    <row r="59" spans="2:14" hidden="1" outlineLevel="1">
      <c r="B59" s="381">
        <v>46063</v>
      </c>
      <c r="C59" s="71"/>
      <c r="D59" s="35"/>
      <c r="E59" s="35"/>
      <c r="F59" s="39"/>
      <c r="G59" s="39"/>
      <c r="H59" s="39"/>
      <c r="I59" s="39"/>
      <c r="J59" s="39"/>
      <c r="K59" s="39"/>
      <c r="L59" s="39">
        <v>80846.2</v>
      </c>
      <c r="M59" s="39"/>
      <c r="N59" s="382">
        <f t="shared" si="6"/>
        <v>483340.62276109803</v>
      </c>
    </row>
    <row r="60" spans="2:14" hidden="1" outlineLevel="1">
      <c r="B60" s="381">
        <v>46065</v>
      </c>
      <c r="C60" s="71"/>
      <c r="D60" s="35"/>
      <c r="E60" s="35"/>
      <c r="F60" s="39"/>
      <c r="G60" s="39"/>
      <c r="H60" s="39"/>
      <c r="I60" s="39"/>
      <c r="J60" s="39"/>
      <c r="K60" s="39"/>
      <c r="L60" s="39">
        <v>20007.2</v>
      </c>
      <c r="M60" s="39"/>
      <c r="N60" s="382">
        <f t="shared" si="6"/>
        <v>463333.42276109802</v>
      </c>
    </row>
    <row r="61" spans="2:14" hidden="1" outlineLevel="1">
      <c r="B61" s="381">
        <v>46066</v>
      </c>
      <c r="C61" s="71"/>
      <c r="D61" s="35"/>
      <c r="E61" s="35"/>
      <c r="F61" s="39"/>
      <c r="G61" s="39"/>
      <c r="H61" s="39"/>
      <c r="I61" s="39"/>
      <c r="J61" s="39"/>
      <c r="K61" s="39"/>
      <c r="L61" s="39">
        <v>65112.399999999994</v>
      </c>
      <c r="M61" s="39"/>
      <c r="N61" s="382">
        <f t="shared" si="6"/>
        <v>398221.02276109799</v>
      </c>
    </row>
    <row r="62" spans="2:14" hidden="1" outlineLevel="1">
      <c r="B62" s="381">
        <v>46067</v>
      </c>
      <c r="C62" s="71"/>
      <c r="D62" s="35"/>
      <c r="E62" s="35"/>
      <c r="F62" s="39"/>
      <c r="G62" s="39"/>
      <c r="H62" s="39"/>
      <c r="I62" s="39"/>
      <c r="J62" s="39"/>
      <c r="K62" s="39"/>
      <c r="L62" s="39">
        <v>89777.560000000056</v>
      </c>
      <c r="M62" s="39"/>
      <c r="N62" s="382">
        <f t="shared" si="6"/>
        <v>308443.46276109794</v>
      </c>
    </row>
    <row r="63" spans="2:14" hidden="1" outlineLevel="1">
      <c r="B63" s="381">
        <v>46077</v>
      </c>
      <c r="C63" s="71"/>
      <c r="D63" s="35"/>
      <c r="E63" s="35"/>
      <c r="F63" s="39"/>
      <c r="G63" s="39"/>
      <c r="H63" s="39"/>
      <c r="I63" s="39"/>
      <c r="J63" s="39"/>
      <c r="K63" s="39"/>
      <c r="L63" s="39">
        <v>252472.24</v>
      </c>
      <c r="M63" s="39"/>
      <c r="N63" s="382">
        <f t="shared" si="6"/>
        <v>55971.222761097946</v>
      </c>
    </row>
    <row r="64" spans="2:14" hidden="1" outlineLevel="1">
      <c r="B64" s="381">
        <v>46079</v>
      </c>
      <c r="C64" s="71"/>
      <c r="D64" s="35"/>
      <c r="E64" s="35"/>
      <c r="F64" s="39"/>
      <c r="G64" s="39"/>
      <c r="H64" s="39"/>
      <c r="I64" s="39"/>
      <c r="J64" s="39"/>
      <c r="K64" s="39"/>
      <c r="L64" s="39">
        <v>553.6</v>
      </c>
      <c r="M64" s="39"/>
      <c r="N64" s="382">
        <f t="shared" si="6"/>
        <v>55417.622761097948</v>
      </c>
    </row>
    <row r="65" spans="2:14" ht="16.2" hidden="1" outlineLevel="1" thickBot="1">
      <c r="B65" s="1458"/>
      <c r="C65" s="1459"/>
      <c r="D65" s="1459"/>
      <c r="E65" s="1459"/>
      <c r="F65" s="1460"/>
      <c r="G65" s="1460"/>
      <c r="H65" s="1461"/>
      <c r="I65" s="1461"/>
      <c r="J65" s="1461"/>
      <c r="K65" s="1460"/>
      <c r="L65" s="1462"/>
      <c r="M65" s="1463"/>
      <c r="N65" s="1464">
        <f>N64</f>
        <v>55417.622761097948</v>
      </c>
    </row>
    <row r="66" spans="2:14" hidden="1" outlineLevel="1">
      <c r="B66" s="381">
        <v>46093</v>
      </c>
      <c r="C66" s="71"/>
      <c r="D66" s="35"/>
      <c r="E66" s="35"/>
      <c r="F66" s="39"/>
      <c r="G66" s="39"/>
      <c r="H66" s="39"/>
      <c r="I66" s="39">
        <v>48000</v>
      </c>
      <c r="J66" s="39"/>
      <c r="L66" s="39">
        <v>612</v>
      </c>
      <c r="M66" s="39"/>
      <c r="N66" s="382">
        <f>N65+I66-L66</f>
        <v>102805.62276109794</v>
      </c>
    </row>
    <row r="67" spans="2:14" hidden="1" outlineLevel="1">
      <c r="B67" s="381">
        <v>46098</v>
      </c>
      <c r="C67" s="71"/>
      <c r="D67" s="35"/>
      <c r="E67" s="35"/>
      <c r="F67" s="39">
        <v>73089.83</v>
      </c>
      <c r="G67" s="39"/>
      <c r="H67" s="39"/>
      <c r="I67" s="39"/>
      <c r="J67" s="39"/>
      <c r="K67" s="39"/>
      <c r="L67" s="39"/>
      <c r="M67" s="39"/>
      <c r="N67" s="382">
        <f t="shared" ref="N67:N68" si="7">N66+H67-L67</f>
        <v>102805.62276109794</v>
      </c>
    </row>
    <row r="68" spans="2:14" hidden="1" outlineLevel="1">
      <c r="B68" s="381">
        <v>46098</v>
      </c>
      <c r="C68" s="71">
        <v>1479.8</v>
      </c>
      <c r="D68" s="35">
        <f>-H68/F68</f>
        <v>6.8738999324298709</v>
      </c>
      <c r="E68" s="35">
        <v>2000000732</v>
      </c>
      <c r="F68" s="39">
        <v>-73064.83</v>
      </c>
      <c r="G68" s="39"/>
      <c r="H68" s="39">
        <v>502240.33</v>
      </c>
      <c r="I68" s="39"/>
      <c r="J68" s="39"/>
      <c r="K68" s="39">
        <v>25</v>
      </c>
      <c r="L68" s="39"/>
      <c r="M68" s="39"/>
      <c r="N68" s="382">
        <f t="shared" si="7"/>
        <v>605045.95276109793</v>
      </c>
    </row>
    <row r="69" spans="2:14" hidden="1" outlineLevel="1">
      <c r="B69" s="381">
        <v>46102</v>
      </c>
      <c r="C69" s="71"/>
      <c r="D69" s="35"/>
      <c r="E69" s="35"/>
      <c r="F69" s="39"/>
      <c r="G69" s="39"/>
      <c r="H69" s="39"/>
      <c r="I69" s="39">
        <v>42.57</v>
      </c>
      <c r="J69" s="39">
        <v>6.1549360958991111</v>
      </c>
      <c r="K69" s="39"/>
      <c r="L69" s="39"/>
      <c r="M69" s="39"/>
      <c r="N69" s="382">
        <f>N68+I69-L69</f>
        <v>605088.52276109788</v>
      </c>
    </row>
    <row r="70" spans="2:14" hidden="1" outlineLevel="1">
      <c r="B70" s="381">
        <v>46104</v>
      </c>
      <c r="C70" s="71"/>
      <c r="D70" s="35"/>
      <c r="E70" s="35"/>
      <c r="F70" s="39"/>
      <c r="G70" s="39"/>
      <c r="H70" s="39"/>
      <c r="I70" s="39"/>
      <c r="J70" s="39"/>
      <c r="K70" s="39"/>
      <c r="L70" s="53">
        <v>54848.294146195745</v>
      </c>
      <c r="M70" s="39"/>
      <c r="N70" s="382">
        <f t="shared" ref="N70:N72" si="8">N69+I70-L70</f>
        <v>550240.22861490212</v>
      </c>
    </row>
    <row r="71" spans="2:14" hidden="1" outlineLevel="1">
      <c r="B71" s="381">
        <v>46104</v>
      </c>
      <c r="C71" s="71"/>
      <c r="D71" s="35"/>
      <c r="E71" s="35"/>
      <c r="F71" s="39"/>
      <c r="G71" s="39"/>
      <c r="H71" s="39"/>
      <c r="I71" s="39"/>
      <c r="J71" s="39"/>
      <c r="K71" s="39"/>
      <c r="L71" s="53">
        <v>142377.98585380425</v>
      </c>
      <c r="M71" s="39"/>
      <c r="N71" s="382">
        <f t="shared" si="8"/>
        <v>407862.24276109785</v>
      </c>
    </row>
    <row r="72" spans="2:14" hidden="1" outlineLevel="1">
      <c r="B72" s="381">
        <v>46105</v>
      </c>
      <c r="C72" s="71"/>
      <c r="D72" s="35"/>
      <c r="E72" s="35"/>
      <c r="F72" s="39"/>
      <c r="G72" s="39"/>
      <c r="H72" s="39"/>
      <c r="I72" s="39"/>
      <c r="J72" s="39"/>
      <c r="K72" s="39"/>
      <c r="L72" s="39">
        <v>269648.75</v>
      </c>
      <c r="M72" s="39"/>
      <c r="N72" s="382">
        <f t="shared" si="8"/>
        <v>138213.49276109785</v>
      </c>
    </row>
    <row r="73" spans="2:14" ht="16.2" hidden="1" outlineLevel="1" thickBot="1">
      <c r="B73" s="1458"/>
      <c r="C73" s="1459"/>
      <c r="D73" s="1459"/>
      <c r="E73" s="1459"/>
      <c r="F73" s="1460"/>
      <c r="G73" s="1460"/>
      <c r="H73" s="1461"/>
      <c r="I73" s="1461"/>
      <c r="J73" s="1461"/>
      <c r="K73" s="1460"/>
      <c r="L73" s="1462"/>
      <c r="M73" s="1463"/>
      <c r="N73" s="1464">
        <f>N72</f>
        <v>138213.49276109785</v>
      </c>
    </row>
    <row r="74" spans="2:14" collapsed="1">
      <c r="B74" s="381">
        <v>46128</v>
      </c>
      <c r="C74" s="71"/>
      <c r="D74" s="35"/>
      <c r="E74" s="35"/>
      <c r="F74" s="39">
        <v>55078.720000000001</v>
      </c>
      <c r="G74" s="39"/>
      <c r="H74" s="39"/>
      <c r="I74" s="39"/>
      <c r="J74" s="39"/>
      <c r="K74" s="39"/>
      <c r="L74" s="39"/>
      <c r="M74" s="39"/>
      <c r="N74" s="382">
        <f t="shared" ref="N74:N91" si="9">N73+H74-L74</f>
        <v>138213.49276109785</v>
      </c>
    </row>
    <row r="75" spans="2:14">
      <c r="B75" s="381">
        <v>46128</v>
      </c>
      <c r="C75" s="71">
        <v>1479.8</v>
      </c>
      <c r="D75" s="35">
        <f>-H75/F75</f>
        <v>6.8060000305156487</v>
      </c>
      <c r="E75" s="35">
        <v>2000000992</v>
      </c>
      <c r="F75" s="39">
        <v>-55053.72</v>
      </c>
      <c r="G75" s="39"/>
      <c r="H75" s="39">
        <v>374695.62</v>
      </c>
      <c r="I75" s="39"/>
      <c r="J75" s="39"/>
      <c r="K75" s="39">
        <v>25</v>
      </c>
      <c r="L75" s="39"/>
      <c r="M75" s="39"/>
      <c r="N75" s="382">
        <f t="shared" si="9"/>
        <v>512909.11276109784</v>
      </c>
    </row>
    <row r="76" spans="2:14">
      <c r="B76" s="381">
        <v>46129</v>
      </c>
      <c r="C76" s="71"/>
      <c r="D76" s="35"/>
      <c r="E76" s="35"/>
      <c r="F76" s="39"/>
      <c r="G76" s="39"/>
      <c r="H76" s="39"/>
      <c r="I76" s="39"/>
      <c r="J76" s="39"/>
      <c r="K76" s="39"/>
      <c r="L76" s="39">
        <v>58139.61</v>
      </c>
      <c r="M76" s="39"/>
      <c r="N76" s="382">
        <f t="shared" si="9"/>
        <v>454769.50276109786</v>
      </c>
    </row>
    <row r="77" spans="2:14">
      <c r="B77" s="381">
        <v>46132</v>
      </c>
      <c r="C77" s="71"/>
      <c r="D77" s="35"/>
      <c r="E77" s="35"/>
      <c r="F77" s="39"/>
      <c r="G77" s="39"/>
      <c r="H77" s="39"/>
      <c r="I77" s="39"/>
      <c r="J77" s="39"/>
      <c r="L77" s="39">
        <v>20007.2</v>
      </c>
      <c r="M77" s="39"/>
      <c r="N77" s="382">
        <f t="shared" si="9"/>
        <v>434762.30276109785</v>
      </c>
    </row>
    <row r="78" spans="2:14">
      <c r="B78" s="381">
        <v>46135</v>
      </c>
      <c r="C78" s="71"/>
      <c r="D78" s="35"/>
      <c r="E78" s="35"/>
      <c r="F78" s="39"/>
      <c r="G78" s="39"/>
      <c r="H78" s="39"/>
      <c r="I78" s="39"/>
      <c r="J78" s="39"/>
      <c r="K78" s="39"/>
      <c r="L78" s="53">
        <v>60066.7</v>
      </c>
      <c r="M78" s="39"/>
      <c r="N78" s="382">
        <f t="shared" si="9"/>
        <v>374695.60276109783</v>
      </c>
    </row>
    <row r="79" spans="2:14">
      <c r="B79" s="381">
        <v>46135</v>
      </c>
      <c r="C79" s="71"/>
      <c r="D79" s="35"/>
      <c r="E79" s="35"/>
      <c r="F79" s="39"/>
      <c r="G79" s="39"/>
      <c r="H79" s="39"/>
      <c r="I79" s="39"/>
      <c r="J79" s="39"/>
      <c r="K79" s="39"/>
      <c r="L79" s="53">
        <v>257166.45</v>
      </c>
      <c r="M79" s="39"/>
      <c r="N79" s="382">
        <f t="shared" si="9"/>
        <v>117529.15276109782</v>
      </c>
    </row>
    <row r="80" spans="2:14">
      <c r="B80" s="381">
        <v>46136</v>
      </c>
      <c r="C80" s="71"/>
      <c r="D80" s="35"/>
      <c r="E80" s="35"/>
      <c r="F80" s="39"/>
      <c r="G80" s="39"/>
      <c r="H80" s="39"/>
      <c r="I80" s="39"/>
      <c r="J80" s="39"/>
      <c r="K80" s="39"/>
      <c r="L80" s="39">
        <v>35713.839999999997</v>
      </c>
      <c r="M80" s="39"/>
      <c r="N80" s="382">
        <f t="shared" si="9"/>
        <v>81815.312761097826</v>
      </c>
    </row>
    <row r="81" spans="2:14">
      <c r="B81" s="381">
        <v>46137</v>
      </c>
      <c r="C81" s="71"/>
      <c r="D81" s="35"/>
      <c r="E81" s="35"/>
      <c r="F81" s="39"/>
      <c r="G81" s="39"/>
      <c r="H81" s="39"/>
      <c r="I81" s="39"/>
      <c r="J81" s="39"/>
      <c r="K81" s="39"/>
      <c r="L81" s="39">
        <v>80769.520000000019</v>
      </c>
      <c r="M81" s="39"/>
      <c r="N81" s="382">
        <f t="shared" si="9"/>
        <v>1045.7927610978077</v>
      </c>
    </row>
    <row r="82" spans="2:14" ht="16.2" thickBot="1">
      <c r="B82" s="1458"/>
      <c r="C82" s="1459"/>
      <c r="D82" s="1459"/>
      <c r="E82" s="1459"/>
      <c r="F82" s="1460"/>
      <c r="G82" s="1460"/>
      <c r="H82" s="1461"/>
      <c r="I82" s="1461"/>
      <c r="J82" s="1461"/>
      <c r="K82" s="1460"/>
      <c r="L82" s="1462"/>
      <c r="M82" s="1463"/>
      <c r="N82" s="1464">
        <f>N81</f>
        <v>1045.7927610978077</v>
      </c>
    </row>
    <row r="83" spans="2:14">
      <c r="B83" s="381">
        <v>46148</v>
      </c>
      <c r="C83" s="71"/>
      <c r="D83" s="35"/>
      <c r="E83" s="35"/>
      <c r="F83" s="39">
        <v>5226.93</v>
      </c>
      <c r="G83" s="39"/>
      <c r="H83" s="39"/>
      <c r="I83" s="39"/>
      <c r="J83" s="39"/>
      <c r="K83" s="39"/>
      <c r="L83" s="39"/>
      <c r="M83" s="39"/>
      <c r="N83" s="382">
        <f t="shared" si="9"/>
        <v>1045.7927610978077</v>
      </c>
    </row>
    <row r="84" spans="2:14">
      <c r="B84" s="381">
        <v>46148</v>
      </c>
      <c r="C84" s="71">
        <v>1473.1</v>
      </c>
      <c r="D84" s="35">
        <f>-H84/F84</f>
        <v>6.8025007044372829</v>
      </c>
      <c r="E84" s="35">
        <v>2000001199</v>
      </c>
      <c r="F84" s="39">
        <v>-5216.93</v>
      </c>
      <c r="G84" s="39"/>
      <c r="H84" s="39">
        <v>35488.17</v>
      </c>
      <c r="I84" s="39"/>
      <c r="J84" s="39"/>
      <c r="K84" s="39">
        <v>10</v>
      </c>
      <c r="L84" s="39"/>
      <c r="M84" s="39"/>
      <c r="N84" s="382">
        <f t="shared" si="9"/>
        <v>36533.962761097806</v>
      </c>
    </row>
    <row r="85" spans="2:14">
      <c r="B85" s="381">
        <v>46148</v>
      </c>
      <c r="C85" s="71"/>
      <c r="D85" s="35"/>
      <c r="E85" s="35"/>
      <c r="F85" s="39"/>
      <c r="G85" s="39"/>
      <c r="H85" s="39"/>
      <c r="I85" s="39"/>
      <c r="J85" s="39"/>
      <c r="K85" s="39"/>
      <c r="L85" s="53">
        <v>1045.8099646890346</v>
      </c>
      <c r="M85" s="39"/>
      <c r="N85" s="382">
        <f t="shared" si="9"/>
        <v>35488.152796408773</v>
      </c>
    </row>
    <row r="86" spans="2:14">
      <c r="B86" s="381">
        <v>46154</v>
      </c>
      <c r="C86" s="71"/>
      <c r="D86" s="35"/>
      <c r="E86" s="35"/>
      <c r="F86" s="39"/>
      <c r="G86" s="39"/>
      <c r="H86" s="39"/>
      <c r="I86" s="39"/>
      <c r="J86" s="39"/>
      <c r="K86" s="39"/>
      <c r="L86" s="53">
        <v>18396.300035310967</v>
      </c>
      <c r="M86" s="39"/>
      <c r="N86" s="382">
        <f t="shared" si="9"/>
        <v>17091.852761097805</v>
      </c>
    </row>
    <row r="87" spans="2:14">
      <c r="B87" s="381">
        <v>46160</v>
      </c>
      <c r="C87" s="71"/>
      <c r="D87" s="35"/>
      <c r="E87" s="35"/>
      <c r="F87" s="39">
        <v>59269.52</v>
      </c>
      <c r="G87" s="39"/>
      <c r="H87" s="39"/>
      <c r="I87" s="39"/>
      <c r="J87" s="39"/>
      <c r="K87" s="39"/>
      <c r="L87" s="39">
        <v>471.36</v>
      </c>
      <c r="M87" s="39"/>
      <c r="N87" s="382">
        <f t="shared" si="9"/>
        <v>16620.492761097805</v>
      </c>
    </row>
    <row r="88" spans="2:14">
      <c r="B88" s="381">
        <v>46160</v>
      </c>
      <c r="C88" s="71">
        <v>1484.3</v>
      </c>
      <c r="D88" s="35">
        <f>-H88/F88</f>
        <v>6.7996000305175901</v>
      </c>
      <c r="E88" s="35">
        <v>2000001372</v>
      </c>
      <c r="F88" s="39">
        <v>-59244.52</v>
      </c>
      <c r="G88" s="39"/>
      <c r="H88" s="39">
        <v>402839.03999999998</v>
      </c>
      <c r="I88" s="39"/>
      <c r="J88" s="39"/>
      <c r="K88" s="39">
        <v>25</v>
      </c>
      <c r="L88" s="39"/>
      <c r="M88" s="39"/>
      <c r="N88" s="382">
        <f t="shared" si="9"/>
        <v>419459.53276109777</v>
      </c>
    </row>
    <row r="89" spans="2:14">
      <c r="B89" s="381">
        <v>46161</v>
      </c>
      <c r="C89" s="71"/>
      <c r="D89" s="35"/>
      <c r="E89" s="35"/>
      <c r="F89" s="1992"/>
      <c r="G89" s="39"/>
      <c r="H89" s="1992"/>
      <c r="I89" s="39"/>
      <c r="J89" s="39"/>
      <c r="K89" s="39"/>
      <c r="L89" s="53">
        <v>16620.509156147386</v>
      </c>
      <c r="M89" s="39"/>
      <c r="N89" s="382">
        <f t="shared" si="9"/>
        <v>402839.0236049504</v>
      </c>
    </row>
    <row r="90" spans="2:14">
      <c r="B90" s="381">
        <v>46161</v>
      </c>
      <c r="C90" s="71"/>
      <c r="D90" s="35"/>
      <c r="E90" s="35"/>
      <c r="F90" s="1992"/>
      <c r="G90" s="39"/>
      <c r="H90" s="1992"/>
      <c r="I90" s="39"/>
      <c r="J90" s="39"/>
      <c r="K90" s="39"/>
      <c r="L90" s="53">
        <v>3386.69</v>
      </c>
      <c r="M90" s="39"/>
      <c r="N90" s="382">
        <f t="shared" si="9"/>
        <v>399452.3336049504</v>
      </c>
    </row>
    <row r="91" spans="2:14">
      <c r="B91" s="381">
        <v>46165</v>
      </c>
      <c r="C91" s="71"/>
      <c r="D91" s="35"/>
      <c r="E91" s="35"/>
      <c r="F91" s="39"/>
      <c r="G91" s="39"/>
      <c r="H91" s="39"/>
      <c r="I91" s="39"/>
      <c r="J91" s="39"/>
      <c r="K91" s="39"/>
      <c r="L91" s="39">
        <v>381501.58</v>
      </c>
      <c r="M91" s="39"/>
      <c r="N91" s="382">
        <f t="shared" si="9"/>
        <v>17950.753604950383</v>
      </c>
    </row>
    <row r="92" spans="2:14" ht="16.2" thickBot="1">
      <c r="B92" s="1458"/>
      <c r="C92" s="1459"/>
      <c r="D92" s="1459"/>
      <c r="E92" s="1459"/>
      <c r="F92" s="1460"/>
      <c r="G92" s="1460"/>
      <c r="H92" s="1461"/>
      <c r="I92" s="1461"/>
      <c r="J92" s="1461"/>
      <c r="K92" s="1460"/>
      <c r="L92" s="1462"/>
      <c r="M92" s="1463"/>
      <c r="N92" s="1464">
        <f>N91</f>
        <v>17950.753604950383</v>
      </c>
    </row>
  </sheetData>
  <mergeCells count="6">
    <mergeCell ref="M2:N2"/>
    <mergeCell ref="B2:B3"/>
    <mergeCell ref="C2:E2"/>
    <mergeCell ref="F2:H2"/>
    <mergeCell ref="I2:J2"/>
    <mergeCell ref="K2:L2"/>
  </mergeCells>
  <phoneticPr fontId="3" type="noConversion"/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1"/>
  <sheetViews>
    <sheetView showGridLines="0" workbookViewId="0">
      <selection activeCell="I37" sqref="I37"/>
    </sheetView>
  </sheetViews>
  <sheetFormatPr defaultRowHeight="17.399999999999999"/>
  <cols>
    <col min="1" max="1" width="10" bestFit="1" customWidth="1"/>
    <col min="2" max="2" width="27" customWidth="1"/>
    <col min="3" max="3" width="12.5" customWidth="1"/>
    <col min="4" max="4" width="21.09765625" bestFit="1" customWidth="1"/>
    <col min="5" max="5" width="13.19921875" bestFit="1" customWidth="1"/>
    <col min="7" max="7" width="10.796875" bestFit="1" customWidth="1"/>
    <col min="8" max="8" width="9.69921875" bestFit="1" customWidth="1"/>
    <col min="9" max="9" width="10.796875" bestFit="1" customWidth="1"/>
    <col min="10" max="10" width="10.5" bestFit="1" customWidth="1"/>
    <col min="11" max="11" width="13.19921875" bestFit="1" customWidth="1"/>
    <col min="12" max="12" width="9.69921875" bestFit="1" customWidth="1"/>
    <col min="13" max="13" width="30.19921875" bestFit="1" customWidth="1"/>
  </cols>
  <sheetData>
    <row r="1" spans="1:17" ht="24">
      <c r="A1" s="1" t="s">
        <v>0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>
      <c r="A2" s="5" t="s">
        <v>176</v>
      </c>
      <c r="B2" s="2"/>
      <c r="C2" s="2"/>
      <c r="D2" s="5"/>
      <c r="E2" s="4">
        <v>100014054</v>
      </c>
      <c r="F2" s="7"/>
      <c r="G2" s="5" t="s">
        <v>142</v>
      </c>
      <c r="H2" s="2"/>
      <c r="I2" s="2"/>
      <c r="J2" s="5"/>
      <c r="K2" s="4">
        <v>100014040</v>
      </c>
      <c r="L2" s="4">
        <v>1200000696</v>
      </c>
      <c r="M2" s="5" t="s">
        <v>74</v>
      </c>
      <c r="N2" s="2"/>
      <c r="O2" s="2"/>
      <c r="P2" s="5"/>
      <c r="Q2" s="4">
        <v>100014046</v>
      </c>
    </row>
    <row r="3" spans="1:17" ht="26.4">
      <c r="A3" s="8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8"/>
      <c r="G3" s="8" t="s">
        <v>6</v>
      </c>
      <c r="H3" s="8" t="s">
        <v>2</v>
      </c>
      <c r="I3" s="9" t="s">
        <v>7</v>
      </c>
      <c r="J3" s="9" t="s">
        <v>8</v>
      </c>
      <c r="K3" s="9" t="s">
        <v>9</v>
      </c>
      <c r="L3" s="10"/>
      <c r="M3" s="8" t="s">
        <v>1</v>
      </c>
      <c r="N3" s="8" t="s">
        <v>2</v>
      </c>
      <c r="O3" s="9" t="s">
        <v>3</v>
      </c>
      <c r="P3" s="9" t="s">
        <v>4</v>
      </c>
      <c r="Q3" s="9" t="s">
        <v>5</v>
      </c>
    </row>
    <row r="4" spans="1:17">
      <c r="A4" s="11" t="s">
        <v>10</v>
      </c>
      <c r="B4" s="12"/>
      <c r="C4" s="13"/>
      <c r="D4" s="13"/>
      <c r="E4" s="14"/>
      <c r="F4" s="21"/>
      <c r="G4" s="11" t="s">
        <v>10</v>
      </c>
      <c r="H4" s="12"/>
      <c r="I4" s="13"/>
      <c r="J4" s="13"/>
      <c r="K4" s="14"/>
      <c r="L4" s="15"/>
      <c r="M4" s="11" t="s">
        <v>10</v>
      </c>
      <c r="N4" s="12"/>
      <c r="O4" s="13"/>
      <c r="P4" s="13"/>
      <c r="Q4" s="14"/>
    </row>
    <row r="5" spans="1:17">
      <c r="A5" s="11" t="s">
        <v>11</v>
      </c>
      <c r="B5" s="12" t="s">
        <v>12</v>
      </c>
      <c r="C5" s="16"/>
      <c r="D5" s="13"/>
      <c r="E5" s="14"/>
      <c r="F5" s="64">
        <v>51131050</v>
      </c>
      <c r="G5" s="11" t="s">
        <v>11</v>
      </c>
      <c r="H5" s="12" t="s">
        <v>12</v>
      </c>
      <c r="I5" s="16"/>
      <c r="J5" s="13"/>
      <c r="K5" s="14"/>
      <c r="L5" s="15"/>
      <c r="M5" s="11" t="s">
        <v>11</v>
      </c>
      <c r="N5" s="12" t="s">
        <v>12</v>
      </c>
      <c r="O5" s="16"/>
      <c r="P5" s="13"/>
      <c r="Q5" s="14"/>
    </row>
    <row r="6" spans="1:17">
      <c r="A6" s="11" t="s">
        <v>13</v>
      </c>
      <c r="B6" s="12" t="s">
        <v>14</v>
      </c>
      <c r="C6" s="13"/>
      <c r="D6" s="13"/>
      <c r="E6" s="14"/>
      <c r="F6" s="64">
        <v>51061030</v>
      </c>
      <c r="G6" s="11" t="s">
        <v>13</v>
      </c>
      <c r="H6" s="12" t="s">
        <v>14</v>
      </c>
      <c r="I6" s="13"/>
      <c r="J6" s="13"/>
      <c r="K6" s="14"/>
      <c r="L6" s="15"/>
      <c r="M6" s="11" t="s">
        <v>13</v>
      </c>
      <c r="N6" s="12" t="s">
        <v>14</v>
      </c>
      <c r="O6" s="13"/>
      <c r="P6" s="13"/>
      <c r="Q6" s="14"/>
    </row>
    <row r="7" spans="1:17">
      <c r="A7" s="11" t="s">
        <v>15</v>
      </c>
      <c r="B7" s="12" t="s">
        <v>16</v>
      </c>
      <c r="C7" s="13">
        <v>19440</v>
      </c>
      <c r="D7" s="13">
        <v>3055.6210888002302</v>
      </c>
      <c r="E7" s="14">
        <v>3772163</v>
      </c>
      <c r="F7" s="64">
        <v>51201020</v>
      </c>
      <c r="G7" s="11" t="s">
        <v>15</v>
      </c>
      <c r="H7" s="12" t="s">
        <v>16</v>
      </c>
      <c r="I7" s="13"/>
      <c r="J7" s="13"/>
      <c r="K7" s="14"/>
      <c r="L7" s="15"/>
      <c r="M7" s="11" t="s">
        <v>15</v>
      </c>
      <c r="N7" s="12" t="s">
        <v>16</v>
      </c>
      <c r="O7" s="13"/>
      <c r="P7" s="13"/>
      <c r="Q7" s="14"/>
    </row>
    <row r="8" spans="1:17">
      <c r="A8" s="11" t="s">
        <v>15</v>
      </c>
      <c r="B8" s="11" t="s">
        <v>17</v>
      </c>
      <c r="C8" s="13"/>
      <c r="D8" s="13"/>
      <c r="E8" s="14"/>
      <c r="F8" s="64">
        <v>51201030</v>
      </c>
      <c r="G8" s="11" t="s">
        <v>15</v>
      </c>
      <c r="H8" s="11" t="s">
        <v>18</v>
      </c>
      <c r="I8" s="13"/>
      <c r="J8" s="13"/>
      <c r="K8" s="14"/>
      <c r="L8" s="15"/>
      <c r="M8" s="11" t="s">
        <v>15</v>
      </c>
      <c r="N8" s="11" t="s">
        <v>17</v>
      </c>
      <c r="O8" s="13"/>
      <c r="P8" s="13"/>
      <c r="Q8" s="14"/>
    </row>
    <row r="9" spans="1:17">
      <c r="A9" s="11" t="s">
        <v>19</v>
      </c>
      <c r="B9" s="11" t="s">
        <v>20</v>
      </c>
      <c r="C9" s="13"/>
      <c r="D9" s="13"/>
      <c r="E9" s="14"/>
      <c r="F9" s="64">
        <v>51071700</v>
      </c>
      <c r="G9" s="11" t="s">
        <v>19</v>
      </c>
      <c r="H9" s="11" t="s">
        <v>20</v>
      </c>
      <c r="I9" s="13"/>
      <c r="J9" s="13"/>
      <c r="K9" s="14"/>
      <c r="L9" s="15">
        <v>89500</v>
      </c>
      <c r="M9" s="11" t="s">
        <v>19</v>
      </c>
      <c r="N9" s="11" t="s">
        <v>20</v>
      </c>
      <c r="O9" s="13"/>
      <c r="P9" s="13"/>
      <c r="Q9" s="14"/>
    </row>
    <row r="10" spans="1:17">
      <c r="A10" s="11" t="s">
        <v>21</v>
      </c>
      <c r="B10" s="12"/>
      <c r="C10" s="13">
        <v>1680</v>
      </c>
      <c r="D10" s="13">
        <v>294.06602001977296</v>
      </c>
      <c r="E10" s="14">
        <v>363029</v>
      </c>
      <c r="F10" s="64">
        <v>51321010</v>
      </c>
      <c r="G10" s="11" t="s">
        <v>21</v>
      </c>
      <c r="H10" s="12"/>
      <c r="I10" s="13">
        <v>4654.536013031764</v>
      </c>
      <c r="J10" s="13">
        <v>731.61</v>
      </c>
      <c r="K10" s="14">
        <v>903173</v>
      </c>
      <c r="L10" s="15"/>
      <c r="M10" s="11" t="s">
        <v>21</v>
      </c>
      <c r="N10" s="12"/>
      <c r="O10" s="13"/>
      <c r="P10" s="13">
        <v>58</v>
      </c>
      <c r="Q10" s="14">
        <v>70661</v>
      </c>
    </row>
    <row r="11" spans="1:17">
      <c r="A11" s="55" t="s">
        <v>69</v>
      </c>
      <c r="B11" s="56"/>
      <c r="C11" s="13">
        <v>36000</v>
      </c>
      <c r="D11" s="13">
        <v>5658.5575718522778</v>
      </c>
      <c r="E11" s="14">
        <v>6985492</v>
      </c>
      <c r="F11" s="64"/>
      <c r="G11" s="11"/>
      <c r="H11" s="56"/>
      <c r="I11" s="13"/>
      <c r="J11" s="13"/>
      <c r="K11" s="14"/>
      <c r="L11" s="15"/>
      <c r="M11" s="11"/>
      <c r="N11" s="56"/>
      <c r="O11" s="13"/>
      <c r="P11" s="13"/>
      <c r="Q11" s="14"/>
    </row>
    <row r="12" spans="1:17">
      <c r="A12" s="2032" t="s">
        <v>22</v>
      </c>
      <c r="B12" s="2033"/>
      <c r="C12" s="17">
        <f>SUM(C4:C11)</f>
        <v>57120</v>
      </c>
      <c r="D12" s="17">
        <f>SUM(D4:D11)</f>
        <v>9008.2446806722801</v>
      </c>
      <c r="E12" s="18">
        <f>SUM(E4:E11)</f>
        <v>11120684</v>
      </c>
      <c r="F12" s="64">
        <v>52981010</v>
      </c>
      <c r="G12" s="2032" t="s">
        <v>22</v>
      </c>
      <c r="H12" s="2033"/>
      <c r="I12" s="17">
        <f>SUM(I4:I10)</f>
        <v>4654.536013031764</v>
      </c>
      <c r="J12" s="17">
        <f>SUM(J4:J10)</f>
        <v>731.61</v>
      </c>
      <c r="K12" s="18">
        <f>SUM(K4:K10)</f>
        <v>903173</v>
      </c>
      <c r="L12" s="15"/>
      <c r="M12" s="2032" t="s">
        <v>22</v>
      </c>
      <c r="N12" s="2033"/>
      <c r="O12" s="17">
        <f>SUM(O4:O10)</f>
        <v>0</v>
      </c>
      <c r="P12" s="17">
        <f>SUM(P4:P10)</f>
        <v>58</v>
      </c>
      <c r="Q12" s="18">
        <f>SUM(Q4:Q10)</f>
        <v>70661</v>
      </c>
    </row>
    <row r="13" spans="1:17">
      <c r="A13" s="19"/>
      <c r="B13" s="20"/>
      <c r="C13" s="97">
        <f>C12+I12++O12</f>
        <v>61774.536013031764</v>
      </c>
      <c r="D13" s="97">
        <f>D12+J12++P12</f>
        <v>9797.8546806722807</v>
      </c>
      <c r="E13" s="97">
        <f>E12+K12++Q12</f>
        <v>12094518</v>
      </c>
      <c r="F13" s="99"/>
      <c r="G13" s="22"/>
      <c r="H13" s="22"/>
      <c r="I13" s="23"/>
      <c r="J13" s="22"/>
      <c r="K13" s="22"/>
      <c r="L13" s="24"/>
      <c r="M13" s="5"/>
    </row>
    <row r="14" spans="1:17">
      <c r="A14" s="72" t="s">
        <v>23</v>
      </c>
      <c r="B14" s="73">
        <v>13081010</v>
      </c>
      <c r="C14" s="25"/>
      <c r="D14" s="25"/>
      <c r="E14" s="26"/>
      <c r="F14" s="15"/>
      <c r="G14" s="27"/>
      <c r="H14" s="28">
        <f>SUBTOTAL(9,H17:H39)</f>
        <v>35164.128832212285</v>
      </c>
      <c r="I14" s="28">
        <f>SUBTOTAL(9,I18:I39)</f>
        <v>62363.741539155839</v>
      </c>
      <c r="J14" s="28">
        <f>SUBTOTAL(9,J18:J39)</f>
        <v>8789.0270446714076</v>
      </c>
      <c r="K14" s="3"/>
      <c r="L14" s="29"/>
      <c r="M14" s="10"/>
    </row>
    <row r="15" spans="1:17">
      <c r="A15" s="2034" t="s">
        <v>24</v>
      </c>
      <c r="B15" s="2036" t="s">
        <v>25</v>
      </c>
      <c r="C15" s="2036"/>
      <c r="D15" s="2036" t="s">
        <v>26</v>
      </c>
      <c r="E15" s="2036" t="s">
        <v>27</v>
      </c>
      <c r="F15" s="2038" t="s">
        <v>28</v>
      </c>
      <c r="G15" s="2026" t="s">
        <v>29</v>
      </c>
      <c r="H15" s="2040"/>
      <c r="I15" s="2026" t="s">
        <v>30</v>
      </c>
      <c r="J15" s="2027"/>
      <c r="K15" s="2028" t="s">
        <v>31</v>
      </c>
      <c r="L15" s="2029"/>
      <c r="M15" s="2030" t="s">
        <v>32</v>
      </c>
    </row>
    <row r="16" spans="1:17">
      <c r="A16" s="2035"/>
      <c r="B16" s="2037"/>
      <c r="C16" s="2037"/>
      <c r="D16" s="2037"/>
      <c r="E16" s="2037"/>
      <c r="F16" s="2039"/>
      <c r="G16" s="30" t="s">
        <v>33</v>
      </c>
      <c r="H16" s="74" t="s">
        <v>34</v>
      </c>
      <c r="I16" s="32" t="s">
        <v>33</v>
      </c>
      <c r="J16" s="32" t="s">
        <v>35</v>
      </c>
      <c r="K16" s="80" t="s">
        <v>36</v>
      </c>
      <c r="L16" s="31" t="s">
        <v>37</v>
      </c>
      <c r="M16" s="2031"/>
    </row>
    <row r="17" spans="1:15" s="5" customFormat="1" ht="13.5" customHeight="1">
      <c r="A17" s="36">
        <v>44630</v>
      </c>
      <c r="B17" s="34" t="s">
        <v>65</v>
      </c>
      <c r="C17" s="35"/>
      <c r="D17" s="35"/>
      <c r="E17" s="33" t="s">
        <v>60</v>
      </c>
      <c r="F17" s="35"/>
      <c r="G17" s="39"/>
      <c r="H17" s="75">
        <v>7.0000000000000007E-2</v>
      </c>
      <c r="I17" s="85"/>
      <c r="J17" s="86"/>
      <c r="K17" s="101">
        <v>0.15</v>
      </c>
      <c r="L17" s="39">
        <v>7.0000000000000007E-2</v>
      </c>
      <c r="M17" s="35"/>
    </row>
    <row r="18" spans="1:15" s="5" customFormat="1" ht="13.5" customHeight="1">
      <c r="A18" s="40">
        <v>44631</v>
      </c>
      <c r="B18" s="51" t="s">
        <v>50</v>
      </c>
      <c r="C18" s="41"/>
      <c r="D18" s="42" t="s">
        <v>51</v>
      </c>
      <c r="E18" s="41"/>
      <c r="F18" s="43"/>
      <c r="G18" s="44">
        <v>62479.23</v>
      </c>
      <c r="H18" s="76">
        <v>9850.6200000000008</v>
      </c>
      <c r="I18" s="87"/>
      <c r="J18" s="88"/>
      <c r="K18" s="81">
        <f t="shared" ref="K18:K28" si="0">K17+G18-I18</f>
        <v>62479.380000000005</v>
      </c>
      <c r="L18" s="44">
        <f t="shared" ref="L18:L28" si="1">L17+H18-J18</f>
        <v>9850.69</v>
      </c>
      <c r="M18" s="41" t="s">
        <v>57</v>
      </c>
      <c r="N18" s="29">
        <v>9850.69</v>
      </c>
    </row>
    <row r="19" spans="1:15" s="5" customFormat="1" ht="13.5" customHeight="1">
      <c r="A19" s="40">
        <v>44635</v>
      </c>
      <c r="B19" s="51" t="s">
        <v>63</v>
      </c>
      <c r="C19" s="41"/>
      <c r="D19" s="42" t="s">
        <v>51</v>
      </c>
      <c r="E19" s="41" t="s">
        <v>62</v>
      </c>
      <c r="F19" s="43"/>
      <c r="G19" s="53"/>
      <c r="H19" s="76"/>
      <c r="I19" s="87"/>
      <c r="J19" s="88">
        <v>30</v>
      </c>
      <c r="K19" s="81">
        <f t="shared" si="0"/>
        <v>62479.380000000005</v>
      </c>
      <c r="L19" s="44">
        <f t="shared" si="1"/>
        <v>9820.69</v>
      </c>
      <c r="M19" s="41" t="s">
        <v>52</v>
      </c>
      <c r="N19" s="29">
        <f>N18-J19</f>
        <v>9820.69</v>
      </c>
    </row>
    <row r="20" spans="1:15" s="5" customFormat="1" ht="13.5" customHeight="1">
      <c r="A20" s="36">
        <v>44635</v>
      </c>
      <c r="B20" s="34" t="s">
        <v>53</v>
      </c>
      <c r="C20" s="33">
        <v>1</v>
      </c>
      <c r="D20" s="33" t="s">
        <v>61</v>
      </c>
      <c r="E20" s="33" t="s">
        <v>68</v>
      </c>
      <c r="F20" s="35"/>
      <c r="G20" s="39"/>
      <c r="H20" s="75"/>
      <c r="I20" s="85">
        <v>5000</v>
      </c>
      <c r="J20" s="86">
        <f>I20/'통장내역(환율표)'!$D$5</f>
        <v>697.60303262179696</v>
      </c>
      <c r="K20" s="82">
        <f t="shared" si="0"/>
        <v>57479.380000000005</v>
      </c>
      <c r="L20" s="38">
        <f t="shared" si="1"/>
        <v>9123.0869673782036</v>
      </c>
      <c r="M20" s="33" t="s">
        <v>53</v>
      </c>
      <c r="N20" s="29">
        <f>N19-J20</f>
        <v>9123.0869673782036</v>
      </c>
    </row>
    <row r="21" spans="1:15" s="5" customFormat="1" ht="13.5" customHeight="1">
      <c r="A21" s="36">
        <v>44635</v>
      </c>
      <c r="B21" s="34" t="s">
        <v>54</v>
      </c>
      <c r="C21" s="33">
        <v>1</v>
      </c>
      <c r="D21" s="33" t="s">
        <v>61</v>
      </c>
      <c r="E21" s="33" t="s">
        <v>68</v>
      </c>
      <c r="F21" s="35"/>
      <c r="G21" s="38"/>
      <c r="H21" s="77"/>
      <c r="I21" s="89">
        <v>31000</v>
      </c>
      <c r="J21" s="86">
        <f>I21/'통장내역(환율표)'!$D$5</f>
        <v>4325.1388022551409</v>
      </c>
      <c r="K21" s="82">
        <f t="shared" si="0"/>
        <v>26479.380000000005</v>
      </c>
      <c r="L21" s="38">
        <f t="shared" si="1"/>
        <v>4797.9481651230626</v>
      </c>
      <c r="M21" s="33" t="s">
        <v>54</v>
      </c>
      <c r="N21" s="29">
        <f>N20-J21</f>
        <v>4797.9481651230626</v>
      </c>
    </row>
    <row r="22" spans="1:15" s="5" customFormat="1" ht="15.6">
      <c r="A22" s="36">
        <v>44635</v>
      </c>
      <c r="B22" s="34" t="s">
        <v>66</v>
      </c>
      <c r="C22" s="33">
        <v>1</v>
      </c>
      <c r="D22" s="33" t="s">
        <v>61</v>
      </c>
      <c r="E22" s="33" t="s">
        <v>75</v>
      </c>
      <c r="F22" s="35" t="s">
        <v>76</v>
      </c>
      <c r="G22" s="38"/>
      <c r="H22" s="77"/>
      <c r="I22" s="89">
        <v>19440</v>
      </c>
      <c r="J22" s="86">
        <f>I22/'통장내역(환율표)'!$D$5</f>
        <v>2712.2805908335463</v>
      </c>
      <c r="K22" s="82">
        <f t="shared" si="0"/>
        <v>7039.3800000000047</v>
      </c>
      <c r="L22" s="38">
        <f t="shared" si="1"/>
        <v>2085.6675742895163</v>
      </c>
      <c r="M22" s="33" t="s">
        <v>67</v>
      </c>
      <c r="N22" s="29">
        <f>N21-J22</f>
        <v>2085.6675742895163</v>
      </c>
    </row>
    <row r="23" spans="1:15" s="5" customFormat="1" ht="13.5" customHeight="1">
      <c r="A23" s="36">
        <v>44641</v>
      </c>
      <c r="B23" s="34" t="s">
        <v>55</v>
      </c>
      <c r="C23" s="33"/>
      <c r="D23" s="37" t="s">
        <v>51</v>
      </c>
      <c r="E23" s="33" t="s">
        <v>72</v>
      </c>
      <c r="F23" s="35"/>
      <c r="G23" s="38">
        <v>0.35</v>
      </c>
      <c r="H23" s="77">
        <f>G23/'통장내역(환율표)'!$D$5</f>
        <v>4.8832212283525779E-2</v>
      </c>
      <c r="I23" s="89"/>
      <c r="J23" s="88"/>
      <c r="K23" s="82">
        <f t="shared" si="0"/>
        <v>7039.730000000005</v>
      </c>
      <c r="L23" s="38">
        <f t="shared" si="1"/>
        <v>2085.7164065018001</v>
      </c>
      <c r="M23" s="33" t="s">
        <v>55</v>
      </c>
      <c r="N23" s="45">
        <f>N22+H23</f>
        <v>2085.7164065018001</v>
      </c>
    </row>
    <row r="24" spans="1:15" s="5" customFormat="1" ht="13.5" customHeight="1">
      <c r="A24" s="57">
        <v>44648</v>
      </c>
      <c r="B24" s="58" t="s">
        <v>56</v>
      </c>
      <c r="C24" s="59"/>
      <c r="D24" s="60"/>
      <c r="E24" s="59"/>
      <c r="F24" s="61"/>
      <c r="G24" s="62">
        <v>27194.531999999999</v>
      </c>
      <c r="H24" s="78">
        <v>4274.5</v>
      </c>
      <c r="I24" s="90"/>
      <c r="J24" s="91"/>
      <c r="K24" s="83">
        <f t="shared" si="0"/>
        <v>34234.262000000002</v>
      </c>
      <c r="L24" s="62">
        <f t="shared" si="1"/>
        <v>6360.2164065018005</v>
      </c>
      <c r="M24" s="59"/>
      <c r="N24" s="45">
        <f>N23+H24</f>
        <v>6360.2164065018005</v>
      </c>
    </row>
    <row r="25" spans="1:15" s="5" customFormat="1" ht="13.5" customHeight="1">
      <c r="A25" s="57">
        <v>44648</v>
      </c>
      <c r="B25" s="58" t="s">
        <v>70</v>
      </c>
      <c r="C25" s="59"/>
      <c r="D25" s="60"/>
      <c r="E25" s="59" t="s">
        <v>77</v>
      </c>
      <c r="F25" s="61"/>
      <c r="G25" s="62"/>
      <c r="H25" s="78"/>
      <c r="I25" s="90">
        <f>J25*'통장내역(환율표)'!$D$5</f>
        <v>5243.7415391558361</v>
      </c>
      <c r="J25" s="91">
        <v>731.61</v>
      </c>
      <c r="K25" s="83">
        <f t="shared" si="0"/>
        <v>28990.520460844167</v>
      </c>
      <c r="L25" s="62">
        <f t="shared" si="1"/>
        <v>5628.6064065018008</v>
      </c>
      <c r="M25" s="59" t="s">
        <v>71</v>
      </c>
      <c r="N25" s="45">
        <f>N24+H25</f>
        <v>6360.2164065018005</v>
      </c>
      <c r="O25" s="148">
        <f>H24-J25</f>
        <v>3542.89</v>
      </c>
    </row>
    <row r="26" spans="1:15" s="5" customFormat="1" ht="13.5" customHeight="1">
      <c r="A26" s="46">
        <v>44649</v>
      </c>
      <c r="B26" s="52" t="s">
        <v>57</v>
      </c>
      <c r="C26" s="47"/>
      <c r="D26" s="48" t="s">
        <v>51</v>
      </c>
      <c r="E26" s="47"/>
      <c r="F26" s="49"/>
      <c r="G26" s="50">
        <v>55337.75</v>
      </c>
      <c r="H26" s="79">
        <v>8777</v>
      </c>
      <c r="I26" s="92"/>
      <c r="J26" s="93"/>
      <c r="K26" s="84">
        <f t="shared" si="0"/>
        <v>84328.270460844171</v>
      </c>
      <c r="L26" s="50">
        <f t="shared" si="1"/>
        <v>14405.6064065018</v>
      </c>
      <c r="M26" s="47" t="s">
        <v>57</v>
      </c>
    </row>
    <row r="27" spans="1:15" s="5" customFormat="1" ht="13.5" customHeight="1">
      <c r="A27" s="46">
        <v>44649</v>
      </c>
      <c r="B27" s="52" t="s">
        <v>63</v>
      </c>
      <c r="C27" s="47"/>
      <c r="D27" s="48" t="s">
        <v>51</v>
      </c>
      <c r="E27" s="47" t="s">
        <v>62</v>
      </c>
      <c r="F27" s="49"/>
      <c r="G27" s="54"/>
      <c r="H27" s="79"/>
      <c r="I27" s="94"/>
      <c r="J27" s="93">
        <v>58</v>
      </c>
      <c r="K27" s="84">
        <f t="shared" si="0"/>
        <v>84328.270460844171</v>
      </c>
      <c r="L27" s="50">
        <f t="shared" si="1"/>
        <v>14347.6064065018</v>
      </c>
      <c r="M27" s="47" t="s">
        <v>52</v>
      </c>
    </row>
    <row r="28" spans="1:15" s="5" customFormat="1" ht="13.5" customHeight="1">
      <c r="A28" s="36">
        <v>44650</v>
      </c>
      <c r="B28" s="34" t="s">
        <v>58</v>
      </c>
      <c r="C28" s="33">
        <v>2</v>
      </c>
      <c r="D28" s="33" t="s">
        <v>59</v>
      </c>
      <c r="E28" s="33" t="s">
        <v>64</v>
      </c>
      <c r="F28" s="35"/>
      <c r="G28" s="38"/>
      <c r="H28" s="77"/>
      <c r="I28" s="95">
        <v>1680</v>
      </c>
      <c r="J28" s="96">
        <f>I28/'통장내역(환율표)'!$D$5</f>
        <v>234.39461896092376</v>
      </c>
      <c r="K28" s="82">
        <f t="shared" si="0"/>
        <v>82648.270460844171</v>
      </c>
      <c r="L28" s="38">
        <f t="shared" si="1"/>
        <v>14113.211787540877</v>
      </c>
      <c r="M28" s="33" t="s">
        <v>58</v>
      </c>
      <c r="N28" s="45">
        <f>N23-J28</f>
        <v>1851.3217875408764</v>
      </c>
    </row>
    <row r="30" spans="1:15">
      <c r="G30" s="63"/>
      <c r="H30" s="100">
        <f>H24-J25</f>
        <v>3542.89</v>
      </c>
    </row>
    <row r="31" spans="1:15">
      <c r="H31" s="100">
        <f>H26-J27</f>
        <v>8719</v>
      </c>
    </row>
  </sheetData>
  <autoFilter ref="A16:N28" xr:uid="{00000000-0009-0000-0000-000001000000}">
    <filterColumn colId="1" showButton="0"/>
  </autoFilter>
  <mergeCells count="12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M12:N12"/>
  </mergeCells>
  <phoneticPr fontId="3" type="noConversion"/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3"/>
  <sheetViews>
    <sheetView showGridLines="0" topLeftCell="A10" workbookViewId="0">
      <selection activeCell="G31" sqref="G31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21.296875" bestFit="1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09765625" bestFit="1" customWidth="1"/>
    <col min="10" max="10" width="10.69921875" bestFit="1" customWidth="1"/>
    <col min="11" max="11" width="13.5" bestFit="1" customWidth="1"/>
    <col min="12" max="12" width="11.59765625" bestFit="1" customWidth="1"/>
    <col min="13" max="13" width="30.19921875" bestFit="1" customWidth="1"/>
    <col min="14" max="16" width="9.19921875" bestFit="1" customWidth="1"/>
    <col min="17" max="17" width="10.5" bestFit="1" customWidth="1"/>
  </cols>
  <sheetData>
    <row r="1" spans="1:17" ht="24">
      <c r="A1" s="1" t="s">
        <v>111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7" s="5" customFormat="1" ht="15.6">
      <c r="A2" s="5" t="s">
        <v>109</v>
      </c>
      <c r="B2" s="2"/>
      <c r="C2" s="2"/>
      <c r="E2" s="139">
        <v>100021243</v>
      </c>
      <c r="F2" s="7"/>
      <c r="G2" s="5" t="s">
        <v>78</v>
      </c>
      <c r="H2" s="2"/>
      <c r="I2" s="2"/>
      <c r="K2" s="139">
        <v>100021244</v>
      </c>
      <c r="L2" s="139">
        <v>1200000696</v>
      </c>
      <c r="M2" s="5" t="s">
        <v>110</v>
      </c>
      <c r="N2" s="2"/>
      <c r="O2" s="2"/>
      <c r="Q2" s="139">
        <v>100021246</v>
      </c>
    </row>
    <row r="3" spans="1:17" s="5" customFormat="1" ht="31.2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3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  <c r="M3" s="140" t="s">
        <v>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7" s="5" customFormat="1" ht="15.6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  <c r="M4" s="114" t="s">
        <v>10</v>
      </c>
      <c r="N4" s="115"/>
      <c r="O4" s="116"/>
      <c r="P4" s="116"/>
      <c r="Q4" s="117"/>
    </row>
    <row r="5" spans="1:17" s="5" customFormat="1" ht="15.6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  <c r="M5" s="114" t="s">
        <v>11</v>
      </c>
      <c r="N5" s="115" t="s">
        <v>12</v>
      </c>
      <c r="O5" s="120"/>
      <c r="P5" s="116"/>
      <c r="Q5" s="117"/>
    </row>
    <row r="6" spans="1:17" s="5" customFormat="1" ht="15.6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/>
      <c r="J6" s="116"/>
      <c r="K6" s="117"/>
      <c r="L6" s="119"/>
      <c r="M6" s="114" t="s">
        <v>13</v>
      </c>
      <c r="N6" s="115" t="s">
        <v>14</v>
      </c>
      <c r="O6" s="116"/>
      <c r="P6" s="116"/>
      <c r="Q6" s="117"/>
    </row>
    <row r="7" spans="1:17" s="5" customFormat="1" ht="15.6">
      <c r="A7" s="114" t="s">
        <v>15</v>
      </c>
      <c r="B7" s="115" t="s">
        <v>16</v>
      </c>
      <c r="C7" s="116">
        <v>5360.0253431758883</v>
      </c>
      <c r="D7" s="116">
        <v>842.50033308188961</v>
      </c>
      <c r="E7" s="117">
        <v>1040066</v>
      </c>
      <c r="F7" s="121">
        <v>51201020</v>
      </c>
      <c r="G7" s="114" t="s">
        <v>15</v>
      </c>
      <c r="H7" s="115" t="s">
        <v>16</v>
      </c>
      <c r="I7" s="116">
        <v>14079.974656824112</v>
      </c>
      <c r="J7" s="116">
        <v>2213.1207557183402</v>
      </c>
      <c r="K7" s="117">
        <v>2732097</v>
      </c>
      <c r="L7" s="119"/>
      <c r="M7" s="114" t="s">
        <v>15</v>
      </c>
      <c r="N7" s="115" t="s">
        <v>16</v>
      </c>
      <c r="O7" s="116"/>
      <c r="P7" s="116"/>
      <c r="Q7" s="117"/>
    </row>
    <row r="8" spans="1:17" s="5" customFormat="1" ht="15.6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  <c r="M8" s="114" t="s">
        <v>15</v>
      </c>
      <c r="N8" s="114" t="s">
        <v>17</v>
      </c>
      <c r="O8" s="116"/>
      <c r="P8" s="116"/>
      <c r="Q8" s="117"/>
    </row>
    <row r="9" spans="1:17" s="5" customFormat="1" ht="15.6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  <c r="M9" s="114" t="s">
        <v>19</v>
      </c>
      <c r="N9" s="114" t="s">
        <v>20</v>
      </c>
      <c r="O9" s="116"/>
      <c r="P9" s="116"/>
      <c r="Q9" s="117"/>
    </row>
    <row r="10" spans="1:17" s="5" customFormat="1" ht="15.6">
      <c r="A10" s="114" t="s">
        <v>21</v>
      </c>
      <c r="B10" s="115"/>
      <c r="C10" s="116"/>
      <c r="D10" s="116"/>
      <c r="E10" s="117"/>
      <c r="F10" s="121">
        <v>51321010</v>
      </c>
      <c r="G10" s="114" t="s">
        <v>21</v>
      </c>
      <c r="H10" s="115"/>
      <c r="I10" s="116">
        <v>8460.0522635434427</v>
      </c>
      <c r="J10" s="116">
        <v>1329.7692442816597</v>
      </c>
      <c r="K10" s="117">
        <v>1641601</v>
      </c>
      <c r="L10" s="119"/>
      <c r="M10" s="114" t="s">
        <v>21</v>
      </c>
      <c r="N10" s="115"/>
      <c r="O10" s="116">
        <v>9766.6177364565574</v>
      </c>
      <c r="P10" s="116">
        <v>1535.1380206670278</v>
      </c>
      <c r="Q10" s="117">
        <v>1870261</v>
      </c>
    </row>
    <row r="11" spans="1:17" s="5" customFormat="1" ht="15.6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  <c r="M11" s="114"/>
      <c r="N11" s="123"/>
      <c r="O11" s="116"/>
      <c r="P11" s="116"/>
      <c r="Q11" s="117"/>
    </row>
    <row r="12" spans="1:17" s="5" customFormat="1" ht="15.6">
      <c r="A12" s="2045" t="s">
        <v>22</v>
      </c>
      <c r="B12" s="2046"/>
      <c r="C12" s="124">
        <f>SUM(C4:C11)</f>
        <v>5360.0253431758883</v>
      </c>
      <c r="D12" s="124">
        <f>SUM(D4:D11)</f>
        <v>842.50033308188961</v>
      </c>
      <c r="E12" s="125">
        <f>SUM(E4:E11)</f>
        <v>1040066</v>
      </c>
      <c r="F12" s="121">
        <v>52981010</v>
      </c>
      <c r="G12" s="2045" t="s">
        <v>22</v>
      </c>
      <c r="H12" s="2046"/>
      <c r="I12" s="124">
        <f>SUM(I4:I10)</f>
        <v>22540.026920367556</v>
      </c>
      <c r="J12" s="124">
        <f>SUM(J4:J10)</f>
        <v>3542.89</v>
      </c>
      <c r="K12" s="125">
        <f>SUM(K4:K10)</f>
        <v>4373698</v>
      </c>
      <c r="L12" s="119"/>
      <c r="M12" s="2045" t="s">
        <v>22</v>
      </c>
      <c r="N12" s="2046"/>
      <c r="O12" s="124">
        <f>SUM(O4:O10)</f>
        <v>9766.6177364565574</v>
      </c>
      <c r="P12" s="124">
        <f>SUM(P4:P10)</f>
        <v>1535.1380206670278</v>
      </c>
      <c r="Q12" s="125">
        <f>SUM(Q4:Q10)</f>
        <v>1870261</v>
      </c>
    </row>
    <row r="13" spans="1:17" s="5" customFormat="1" ht="15.6">
      <c r="A13" s="126"/>
      <c r="B13" s="127"/>
      <c r="C13" s="128">
        <f>C12+I12++O12</f>
        <v>37666.670000000006</v>
      </c>
      <c r="D13" s="128">
        <f>D12+J12++P12</f>
        <v>5920.5283537489177</v>
      </c>
      <c r="E13" s="128">
        <f>E12+K12++Q12</f>
        <v>7284025</v>
      </c>
      <c r="F13" s="129"/>
      <c r="G13" s="130"/>
      <c r="H13" s="130"/>
      <c r="I13" s="131"/>
      <c r="J13" s="130"/>
      <c r="K13" s="130"/>
      <c r="L13" s="132"/>
    </row>
    <row r="14" spans="1:17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SUBTOTAL(9,H17:H41)</f>
        <v>0</v>
      </c>
      <c r="I14" s="137">
        <f>SUBTOTAL(9,I18:I41)</f>
        <v>37666.67</v>
      </c>
      <c r="J14" s="137">
        <f>SUBTOTAL(9,J18:J41)</f>
        <v>5255.276644152892</v>
      </c>
      <c r="K14" s="139"/>
      <c r="L14" s="45"/>
    </row>
    <row r="15" spans="1:17" s="5" customFormat="1" ht="15.6">
      <c r="A15" s="2047" t="s">
        <v>24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29</v>
      </c>
      <c r="H15" s="2054"/>
      <c r="I15" s="2053" t="s">
        <v>30</v>
      </c>
      <c r="J15" s="2055"/>
      <c r="K15" s="2041" t="s">
        <v>31</v>
      </c>
      <c r="L15" s="2042"/>
      <c r="M15" s="2043" t="s">
        <v>32</v>
      </c>
    </row>
    <row r="16" spans="1:17" s="5" customFormat="1" ht="15.6">
      <c r="A16" s="2048"/>
      <c r="B16" s="2050"/>
      <c r="C16" s="2050"/>
      <c r="D16" s="2050"/>
      <c r="E16" s="2050"/>
      <c r="F16" s="2052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44"/>
    </row>
    <row r="17" spans="1:14" s="5" customFormat="1" ht="13.5" customHeight="1">
      <c r="A17" s="105">
        <v>44650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83237.475986968231</v>
      </c>
      <c r="L17" s="108">
        <v>13104.39033308189</v>
      </c>
      <c r="M17" s="106"/>
      <c r="N17" s="45">
        <v>842.50033308188961</v>
      </c>
    </row>
    <row r="18" spans="1:14" s="5" customFormat="1" ht="13.5" customHeight="1">
      <c r="A18" s="149" t="s">
        <v>79</v>
      </c>
      <c r="B18" s="157" t="s">
        <v>104</v>
      </c>
      <c r="C18" s="158"/>
      <c r="D18" s="150">
        <v>1</v>
      </c>
      <c r="E18" s="151" t="s">
        <v>105</v>
      </c>
      <c r="F18" s="152" t="s">
        <v>106</v>
      </c>
      <c r="G18" s="153"/>
      <c r="H18" s="166"/>
      <c r="I18" s="168">
        <f>J18*'통장내역(환율표)'!$D$5</f>
        <v>6038.5369162998486</v>
      </c>
      <c r="J18" s="102">
        <v>842.50033308188961</v>
      </c>
      <c r="K18" s="167">
        <f>K17+G18-I18</f>
        <v>77198.939070668377</v>
      </c>
      <c r="L18" s="153">
        <f>L17+H18-J18</f>
        <v>12261.890000000001</v>
      </c>
      <c r="M18" s="154" t="s">
        <v>81</v>
      </c>
      <c r="N18" s="45">
        <f>N17-J18</f>
        <v>0</v>
      </c>
    </row>
    <row r="19" spans="1:14" s="5" customFormat="1" ht="13.5" customHeight="1">
      <c r="A19" s="149" t="s">
        <v>79</v>
      </c>
      <c r="B19" s="157" t="s">
        <v>108</v>
      </c>
      <c r="C19" s="158"/>
      <c r="D19" s="150">
        <v>1</v>
      </c>
      <c r="E19" s="151" t="s">
        <v>105</v>
      </c>
      <c r="F19" s="152" t="s">
        <v>106</v>
      </c>
      <c r="G19" s="153"/>
      <c r="H19" s="166"/>
      <c r="I19" s="168">
        <f>19440-I18</f>
        <v>13401.463083700151</v>
      </c>
      <c r="J19" s="86">
        <f>I19/'통장내역(환율표)'!$D$5</f>
        <v>1869.7802577516568</v>
      </c>
      <c r="K19" s="167">
        <f t="shared" ref="K19:K26" si="0">K18+G19-I19</f>
        <v>63797.475986968224</v>
      </c>
      <c r="L19" s="153">
        <f t="shared" ref="L19:L26" si="1">L18+H19-J19</f>
        <v>10392.109742248344</v>
      </c>
      <c r="M19" s="154" t="s">
        <v>81</v>
      </c>
      <c r="N19" s="45">
        <f>3542.89-J19</f>
        <v>1673.1097422483431</v>
      </c>
    </row>
    <row r="20" spans="1:14" s="5" customFormat="1" ht="13.5" customHeight="1">
      <c r="A20" s="138" t="s">
        <v>80</v>
      </c>
      <c r="B20" s="159" t="s">
        <v>93</v>
      </c>
      <c r="C20" s="160"/>
      <c r="D20" s="37">
        <v>2</v>
      </c>
      <c r="E20" s="33" t="s">
        <v>107</v>
      </c>
      <c r="F20" s="35"/>
      <c r="G20" s="103"/>
      <c r="H20" s="77"/>
      <c r="I20" s="169">
        <v>1038.04</v>
      </c>
      <c r="J20" s="86">
        <f>I20/'통장내역(환율표)'!$D$5</f>
        <v>144.82797039654602</v>
      </c>
      <c r="K20" s="82">
        <f>K19+G20-I20</f>
        <v>62759.435986968223</v>
      </c>
      <c r="L20" s="38">
        <f>L19+H20-J20</f>
        <v>10247.281771851798</v>
      </c>
      <c r="M20" s="34" t="s">
        <v>82</v>
      </c>
      <c r="N20" s="45">
        <f>N19-J20</f>
        <v>1528.281771851797</v>
      </c>
    </row>
    <row r="21" spans="1:14" s="5" customFormat="1" ht="13.5" customHeight="1">
      <c r="A21" s="138" t="s">
        <v>80</v>
      </c>
      <c r="B21" s="159" t="s">
        <v>94</v>
      </c>
      <c r="C21" s="160"/>
      <c r="D21" s="37">
        <v>3</v>
      </c>
      <c r="E21" s="33" t="s">
        <v>107</v>
      </c>
      <c r="F21" s="35"/>
      <c r="G21" s="103"/>
      <c r="H21" s="104"/>
      <c r="I21" s="169">
        <v>299</v>
      </c>
      <c r="J21" s="86">
        <f>I21/'통장내역(환율표)'!$D$5</f>
        <v>41.716661350783454</v>
      </c>
      <c r="K21" s="82">
        <f t="shared" si="0"/>
        <v>62460.435986968223</v>
      </c>
      <c r="L21" s="38">
        <f t="shared" si="1"/>
        <v>10205.565110501015</v>
      </c>
      <c r="M21" s="34" t="s">
        <v>83</v>
      </c>
      <c r="N21" s="45">
        <f t="shared" ref="N21:N31" si="2">N20-J21</f>
        <v>1486.5651105010136</v>
      </c>
    </row>
    <row r="22" spans="1:14" s="5" customFormat="1" ht="13.5" customHeight="1">
      <c r="A22" s="138" t="s">
        <v>80</v>
      </c>
      <c r="B22" s="159" t="s">
        <v>95</v>
      </c>
      <c r="C22" s="160"/>
      <c r="D22" s="37">
        <v>4</v>
      </c>
      <c r="E22" s="33" t="s">
        <v>107</v>
      </c>
      <c r="F22" s="35"/>
      <c r="G22" s="38"/>
      <c r="H22" s="77"/>
      <c r="I22" s="169">
        <v>227.9</v>
      </c>
      <c r="J22" s="86">
        <f>I22/'통장내역(환율표)'!$D$5</f>
        <v>31.796746226901504</v>
      </c>
      <c r="K22" s="82">
        <f t="shared" si="0"/>
        <v>62232.535986968222</v>
      </c>
      <c r="L22" s="38">
        <f t="shared" si="1"/>
        <v>10173.768364274114</v>
      </c>
      <c r="M22" s="34" t="s">
        <v>84</v>
      </c>
      <c r="N22" s="45">
        <f t="shared" si="2"/>
        <v>1454.7683642741122</v>
      </c>
    </row>
    <row r="23" spans="1:14" s="5" customFormat="1" ht="15.6">
      <c r="A23" s="138" t="s">
        <v>80</v>
      </c>
      <c r="B23" s="159" t="s">
        <v>96</v>
      </c>
      <c r="C23" s="160"/>
      <c r="D23" s="37">
        <v>5</v>
      </c>
      <c r="E23" s="33" t="s">
        <v>107</v>
      </c>
      <c r="F23" s="35"/>
      <c r="G23" s="38"/>
      <c r="H23" s="77"/>
      <c r="I23" s="169">
        <v>212.41</v>
      </c>
      <c r="J23" s="86">
        <f>I23/'통장내역(환율표)'!$D$5</f>
        <v>29.635572031839175</v>
      </c>
      <c r="K23" s="82">
        <f t="shared" si="0"/>
        <v>62020.125986968218</v>
      </c>
      <c r="L23" s="38">
        <f t="shared" si="1"/>
        <v>10144.132792242275</v>
      </c>
      <c r="M23" s="34" t="s">
        <v>85</v>
      </c>
      <c r="N23" s="45">
        <f t="shared" si="2"/>
        <v>1425.1327922422729</v>
      </c>
    </row>
    <row r="24" spans="1:14" s="5" customFormat="1" ht="13.5" customHeight="1">
      <c r="A24" s="138" t="s">
        <v>80</v>
      </c>
      <c r="B24" s="159" t="s">
        <v>97</v>
      </c>
      <c r="C24" s="160"/>
      <c r="D24" s="37">
        <v>6</v>
      </c>
      <c r="E24" s="33" t="s">
        <v>107</v>
      </c>
      <c r="F24" s="35"/>
      <c r="G24" s="38"/>
      <c r="H24" s="77"/>
      <c r="I24" s="169">
        <v>1798.9</v>
      </c>
      <c r="J24" s="86">
        <f>I24/'통장내역(환율표)'!$D$5</f>
        <v>250.9836190766701</v>
      </c>
      <c r="K24" s="82">
        <f t="shared" si="0"/>
        <v>60221.225986968217</v>
      </c>
      <c r="L24" s="38">
        <f t="shared" si="1"/>
        <v>9893.1491731656042</v>
      </c>
      <c r="M24" s="34" t="s">
        <v>86</v>
      </c>
      <c r="N24" s="45">
        <f t="shared" si="2"/>
        <v>1174.1491731656029</v>
      </c>
    </row>
    <row r="25" spans="1:14" s="5" customFormat="1" ht="13.5" customHeight="1">
      <c r="A25" s="138" t="s">
        <v>80</v>
      </c>
      <c r="B25" s="159" t="s">
        <v>98</v>
      </c>
      <c r="C25" s="160"/>
      <c r="D25" s="37">
        <v>7</v>
      </c>
      <c r="E25" s="33" t="s">
        <v>107</v>
      </c>
      <c r="F25" s="35"/>
      <c r="G25" s="38"/>
      <c r="H25" s="77"/>
      <c r="I25" s="169">
        <v>3334</v>
      </c>
      <c r="J25" s="86">
        <f>I25/'통장내역(환율표)'!$D$5</f>
        <v>465.16170215221416</v>
      </c>
      <c r="K25" s="82">
        <f t="shared" si="0"/>
        <v>56887.225986968217</v>
      </c>
      <c r="L25" s="38">
        <f t="shared" si="1"/>
        <v>9427.9874710133899</v>
      </c>
      <c r="M25" s="34" t="s">
        <v>87</v>
      </c>
      <c r="N25" s="45">
        <f t="shared" si="2"/>
        <v>708.9874710133887</v>
      </c>
    </row>
    <row r="26" spans="1:14" s="5" customFormat="1" ht="13.5" customHeight="1">
      <c r="A26" s="149" t="s">
        <v>80</v>
      </c>
      <c r="B26" s="157" t="s">
        <v>99</v>
      </c>
      <c r="C26" s="158"/>
      <c r="D26" s="150">
        <v>8</v>
      </c>
      <c r="E26" s="151" t="s">
        <v>107</v>
      </c>
      <c r="F26" s="152"/>
      <c r="G26" s="153"/>
      <c r="H26" s="166"/>
      <c r="I26" s="168">
        <f>J26*'통장내역(환율표)'!$D$5</f>
        <v>1745.9876739737736</v>
      </c>
      <c r="J26" s="86">
        <v>243.60125925687635</v>
      </c>
      <c r="K26" s="167">
        <f t="shared" si="0"/>
        <v>55141.238312994443</v>
      </c>
      <c r="L26" s="153">
        <f t="shared" si="1"/>
        <v>9184.3862117565131</v>
      </c>
      <c r="M26" s="154" t="s">
        <v>88</v>
      </c>
      <c r="N26" s="45">
        <f t="shared" si="2"/>
        <v>465.38621175651235</v>
      </c>
    </row>
    <row r="27" spans="1:14" s="5" customFormat="1" ht="13.5" customHeight="1">
      <c r="A27" s="149" t="s">
        <v>80</v>
      </c>
      <c r="B27" s="157" t="s">
        <v>99</v>
      </c>
      <c r="C27" s="158"/>
      <c r="D27" s="150">
        <v>8</v>
      </c>
      <c r="E27" s="151" t="s">
        <v>107</v>
      </c>
      <c r="F27" s="152"/>
      <c r="G27" s="153"/>
      <c r="H27" s="166"/>
      <c r="I27" s="168">
        <f>2446-I26</f>
        <v>700.01232602622645</v>
      </c>
      <c r="J27" s="170">
        <f>I27/'통장내역(환율표)'!$D$5</f>
        <v>97.666144301706723</v>
      </c>
      <c r="K27" s="167">
        <f t="shared" ref="K27:L31" si="3">K26+G27-I27</f>
        <v>54441.225986968217</v>
      </c>
      <c r="L27" s="153">
        <f t="shared" si="3"/>
        <v>9086.7200674548058</v>
      </c>
      <c r="M27" s="154"/>
      <c r="N27" s="45">
        <f>8719-J27</f>
        <v>8621.3338556982926</v>
      </c>
    </row>
    <row r="28" spans="1:14" s="5" customFormat="1" ht="13.5" customHeight="1">
      <c r="A28" s="138" t="s">
        <v>80</v>
      </c>
      <c r="B28" s="159" t="s">
        <v>100</v>
      </c>
      <c r="C28" s="160"/>
      <c r="D28" s="37">
        <v>9</v>
      </c>
      <c r="E28" s="33" t="s">
        <v>107</v>
      </c>
      <c r="F28" s="35"/>
      <c r="G28" s="38"/>
      <c r="H28" s="77"/>
      <c r="I28" s="169">
        <v>1578</v>
      </c>
      <c r="J28" s="170">
        <f>I28/'통장내역(환율표)'!$D$5</f>
        <v>220.16351709543912</v>
      </c>
      <c r="K28" s="82">
        <f t="shared" si="3"/>
        <v>52863.225986968217</v>
      </c>
      <c r="L28" s="38">
        <f t="shared" si="3"/>
        <v>8866.5565503593662</v>
      </c>
      <c r="M28" s="34" t="s">
        <v>89</v>
      </c>
      <c r="N28" s="45">
        <f>N27-J28</f>
        <v>8401.170338602853</v>
      </c>
    </row>
    <row r="29" spans="1:14" s="5" customFormat="1" ht="13.5" customHeight="1">
      <c r="A29" s="138" t="s">
        <v>80</v>
      </c>
      <c r="B29" s="159" t="s">
        <v>101</v>
      </c>
      <c r="C29" s="160"/>
      <c r="D29" s="37">
        <v>10</v>
      </c>
      <c r="E29" s="33" t="s">
        <v>107</v>
      </c>
      <c r="F29" s="35"/>
      <c r="G29" s="103"/>
      <c r="H29" s="77"/>
      <c r="I29" s="169">
        <v>3747</v>
      </c>
      <c r="J29" s="170">
        <f>I29/'통장내역(환율표)'!$D$5</f>
        <v>522.78371264677457</v>
      </c>
      <c r="K29" s="82">
        <f t="shared" si="3"/>
        <v>49116.225986968217</v>
      </c>
      <c r="L29" s="38">
        <f t="shared" si="3"/>
        <v>8343.7728377125914</v>
      </c>
      <c r="M29" s="34" t="s">
        <v>90</v>
      </c>
      <c r="N29" s="45">
        <f t="shared" si="2"/>
        <v>7878.3866259560782</v>
      </c>
    </row>
    <row r="30" spans="1:14" s="5" customFormat="1" ht="13.5" customHeight="1">
      <c r="A30" s="138" t="s">
        <v>80</v>
      </c>
      <c r="B30" s="159" t="s">
        <v>102</v>
      </c>
      <c r="C30" s="160"/>
      <c r="D30" s="37">
        <v>11</v>
      </c>
      <c r="E30" s="33" t="s">
        <v>107</v>
      </c>
      <c r="F30" s="35"/>
      <c r="G30" s="38"/>
      <c r="H30" s="77"/>
      <c r="I30" s="169">
        <v>3200</v>
      </c>
      <c r="J30" s="170">
        <f>I30/'통장내역(환율표)'!$D$5</f>
        <v>446.46594087795</v>
      </c>
      <c r="K30" s="82">
        <f t="shared" si="3"/>
        <v>45916.225986968217</v>
      </c>
      <c r="L30" s="38">
        <f t="shared" si="3"/>
        <v>7897.3068968346415</v>
      </c>
      <c r="M30" s="34" t="s">
        <v>91</v>
      </c>
      <c r="N30" s="45">
        <f t="shared" si="2"/>
        <v>7431.9206850781284</v>
      </c>
    </row>
    <row r="31" spans="1:14" s="5" customFormat="1" ht="15.6">
      <c r="A31" s="138" t="s">
        <v>80</v>
      </c>
      <c r="B31" s="159" t="s">
        <v>103</v>
      </c>
      <c r="C31" s="160"/>
      <c r="D31" s="37">
        <v>12</v>
      </c>
      <c r="E31" s="33" t="s">
        <v>107</v>
      </c>
      <c r="F31" s="35"/>
      <c r="G31" s="35"/>
      <c r="H31" s="159"/>
      <c r="I31" s="169">
        <v>345.42</v>
      </c>
      <c r="J31" s="171">
        <f>I31/'통장내역(환율표)'!$D$5</f>
        <v>48.193207905644222</v>
      </c>
      <c r="K31" s="82">
        <f t="shared" si="3"/>
        <v>45570.805986968218</v>
      </c>
      <c r="L31" s="38">
        <f t="shared" si="3"/>
        <v>7849.1136889289974</v>
      </c>
      <c r="M31" s="34" t="s">
        <v>92</v>
      </c>
      <c r="N31" s="45">
        <f t="shared" si="2"/>
        <v>7383.7274771724842</v>
      </c>
    </row>
    <row r="32" spans="1:14">
      <c r="G32" s="63"/>
      <c r="H32" s="100"/>
      <c r="I32" s="147"/>
      <c r="J32" s="147"/>
    </row>
    <row r="33" spans="8:8">
      <c r="H33" s="100"/>
    </row>
  </sheetData>
  <autoFilter ref="A16:N31" xr:uid="{00000000-0009-0000-0000-000002000000}">
    <filterColumn colId="1" showButton="0"/>
  </autoFilter>
  <mergeCells count="12">
    <mergeCell ref="K15:L15"/>
    <mergeCell ref="M15:M16"/>
    <mergeCell ref="A12:B12"/>
    <mergeCell ref="G12:H12"/>
    <mergeCell ref="M12:N12"/>
    <mergeCell ref="A15:A16"/>
    <mergeCell ref="B15:C16"/>
    <mergeCell ref="D15:D16"/>
    <mergeCell ref="E15:E16"/>
    <mergeCell ref="F15:F16"/>
    <mergeCell ref="G15:H15"/>
    <mergeCell ref="I15:J15"/>
  </mergeCells>
  <phoneticPr fontId="3" type="noConversion"/>
  <pageMargins left="0.7" right="0.7" top="0.75" bottom="0.75" header="0.3" footer="0.3"/>
  <pageSetup paperSize="9" scale="5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showGridLines="0" topLeftCell="A13" workbookViewId="0">
      <selection activeCell="G31" sqref="G31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09765625" bestFit="1" customWidth="1"/>
    <col min="10" max="11" width="13.5" bestFit="1" customWidth="1"/>
    <col min="12" max="12" width="11.59765625" bestFit="1" customWidth="1"/>
    <col min="13" max="13" width="30.19921875" bestFit="1" customWidth="1"/>
    <col min="14" max="16" width="9.19921875" bestFit="1" customWidth="1"/>
    <col min="17" max="17" width="10.5" bestFit="1" customWidth="1"/>
  </cols>
  <sheetData>
    <row r="1" spans="1:13" ht="24">
      <c r="A1" s="1" t="s">
        <v>141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148</v>
      </c>
      <c r="B2" s="2"/>
      <c r="C2" s="2"/>
      <c r="E2" s="4">
        <v>100027949</v>
      </c>
      <c r="F2" s="7"/>
      <c r="G2" s="5" t="s">
        <v>175</v>
      </c>
      <c r="H2" s="2"/>
      <c r="I2" s="2"/>
      <c r="K2" s="4">
        <v>100027950</v>
      </c>
      <c r="L2" s="139">
        <v>1200000696</v>
      </c>
    </row>
    <row r="3" spans="1:13" s="5" customFormat="1" ht="31.2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10</v>
      </c>
      <c r="B4" s="115"/>
      <c r="C4" s="116"/>
      <c r="D4" s="116"/>
      <c r="E4" s="117"/>
      <c r="F4" s="172"/>
      <c r="G4" s="114" t="s">
        <v>10</v>
      </c>
      <c r="H4" s="115"/>
      <c r="I4" s="116"/>
      <c r="J4" s="116"/>
      <c r="K4" s="117"/>
      <c r="L4" s="119"/>
    </row>
    <row r="5" spans="1:13" s="5" customFormat="1" ht="15.6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>
        <v>1449</v>
      </c>
      <c r="J5" s="116">
        <v>216.18478284603799</v>
      </c>
      <c r="K5" s="117">
        <v>275543</v>
      </c>
      <c r="L5" s="119"/>
    </row>
    <row r="6" spans="1:13" s="5" customFormat="1" ht="15.6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7166</v>
      </c>
      <c r="J6" s="116">
        <v>1069.1374422875833</v>
      </c>
      <c r="K6" s="117">
        <v>1362726</v>
      </c>
      <c r="L6" s="119"/>
    </row>
    <row r="7" spans="1:13" s="5" customFormat="1" ht="15.6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/>
      <c r="J7" s="116"/>
      <c r="K7" s="117"/>
      <c r="L7" s="119"/>
    </row>
    <row r="8" spans="1:13" s="5" customFormat="1" ht="15.6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/>
      <c r="J8" s="116"/>
      <c r="K8" s="117"/>
      <c r="L8" s="119"/>
    </row>
    <row r="9" spans="1:13" s="5" customFormat="1" ht="15.6">
      <c r="A9" s="114" t="s">
        <v>19</v>
      </c>
      <c r="B9" s="114" t="s">
        <v>20</v>
      </c>
      <c r="C9" s="116">
        <v>1014.56</v>
      </c>
      <c r="D9" s="116">
        <v>159.85378227340289</v>
      </c>
      <c r="E9" s="117">
        <v>194745</v>
      </c>
      <c r="F9" s="121">
        <v>51071700</v>
      </c>
      <c r="G9" s="114" t="s">
        <v>19</v>
      </c>
      <c r="H9" s="114" t="s">
        <v>20</v>
      </c>
      <c r="I9" s="116"/>
      <c r="J9" s="116"/>
      <c r="K9" s="117"/>
      <c r="L9" s="119">
        <v>89500</v>
      </c>
    </row>
    <row r="10" spans="1:13" s="5" customFormat="1" ht="15.6">
      <c r="A10" s="114" t="s">
        <v>21</v>
      </c>
      <c r="B10" s="115"/>
      <c r="C10" s="116">
        <v>44556.572263543421</v>
      </c>
      <c r="D10" s="116">
        <v>7024.0081970595656</v>
      </c>
      <c r="E10" s="117">
        <v>8557351</v>
      </c>
      <c r="F10" s="121">
        <v>51321010</v>
      </c>
      <c r="G10" s="114" t="s">
        <v>21</v>
      </c>
      <c r="H10" s="115"/>
      <c r="I10" s="116">
        <v>3625.4877364565718</v>
      </c>
      <c r="J10" s="116">
        <v>568.90771498746562</v>
      </c>
      <c r="K10" s="117">
        <v>725133</v>
      </c>
      <c r="L10" s="119"/>
    </row>
    <row r="11" spans="1:13" s="5" customFormat="1" ht="15.6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5.6">
      <c r="A12" s="2045" t="s">
        <v>22</v>
      </c>
      <c r="B12" s="2046"/>
      <c r="C12" s="124">
        <f>SUM(C4:C11)</f>
        <v>45571.132263543419</v>
      </c>
      <c r="D12" s="124">
        <f>SUM(D4:D11)</f>
        <v>7183.861979332969</v>
      </c>
      <c r="E12" s="125">
        <f>SUM(E4:E11)</f>
        <v>8752096</v>
      </c>
      <c r="F12" s="121">
        <v>52981010</v>
      </c>
      <c r="G12" s="2045" t="s">
        <v>22</v>
      </c>
      <c r="H12" s="2046"/>
      <c r="I12" s="124">
        <f>SUM(I4:I10)</f>
        <v>12240.487736456573</v>
      </c>
      <c r="J12" s="124">
        <f>SUM(J4:J10)</f>
        <v>1854.2299401210869</v>
      </c>
      <c r="K12" s="125">
        <f>SUM(K4:K10)</f>
        <v>2363402</v>
      </c>
      <c r="L12" s="119"/>
    </row>
    <row r="13" spans="1:13" s="5" customFormat="1" ht="15.6">
      <c r="A13" s="126"/>
      <c r="B13" s="127"/>
      <c r="C13" s="128">
        <f>C12+I12++O12</f>
        <v>57811.619999999995</v>
      </c>
      <c r="D13" s="128">
        <f>D12+J12++P12</f>
        <v>9038.0919194540566</v>
      </c>
      <c r="E13" s="128">
        <f>E12+K12++Q12</f>
        <v>11115498</v>
      </c>
      <c r="F13" s="118"/>
      <c r="G13" s="130"/>
      <c r="H13" s="130"/>
      <c r="I13" s="131"/>
      <c r="J13" s="130"/>
      <c r="K13" s="130"/>
      <c r="L13" s="132"/>
    </row>
    <row r="14" spans="1:13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SUBTOTAL(9,H17:H47)</f>
        <v>2487.7800000000002</v>
      </c>
      <c r="I14" s="137" t="e">
        <f>SUBTOTAL(9,I17:I55)</f>
        <v>#REF!</v>
      </c>
      <c r="J14" s="137" t="e">
        <f>SUBTOTAL(9,J17:J55)</f>
        <v>#REF!</v>
      </c>
      <c r="K14" s="139"/>
      <c r="L14" s="45"/>
    </row>
    <row r="15" spans="1:13" s="5" customFormat="1" ht="15.6">
      <c r="A15" s="2047" t="s">
        <v>24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29</v>
      </c>
      <c r="H15" s="2054"/>
      <c r="I15" s="2053" t="s">
        <v>30</v>
      </c>
      <c r="J15" s="2055"/>
      <c r="K15" s="2041" t="s">
        <v>31</v>
      </c>
      <c r="L15" s="2042"/>
      <c r="M15" s="2043" t="s">
        <v>32</v>
      </c>
    </row>
    <row r="16" spans="1:13" s="5" customFormat="1" ht="15.6">
      <c r="A16" s="2048"/>
      <c r="B16" s="2050"/>
      <c r="C16" s="2050"/>
      <c r="D16" s="2050"/>
      <c r="E16" s="2050"/>
      <c r="F16" s="2052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44"/>
    </row>
    <row r="17" spans="1:14" s="5" customFormat="1" ht="13.5" customHeight="1">
      <c r="A17" s="105">
        <v>44681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45570.805986968226</v>
      </c>
      <c r="L17" s="108">
        <v>7183.8619793329735</v>
      </c>
      <c r="M17" s="106"/>
      <c r="N17" s="45">
        <v>7183.8619793329699</v>
      </c>
    </row>
    <row r="18" spans="1:14" s="5" customFormat="1" ht="13.5" customHeight="1">
      <c r="A18" s="138"/>
      <c r="B18" s="159" t="s">
        <v>112</v>
      </c>
      <c r="C18" s="160"/>
      <c r="D18" s="37"/>
      <c r="E18" s="33" t="s">
        <v>21</v>
      </c>
      <c r="F18" s="35"/>
      <c r="G18" s="103"/>
      <c r="H18" s="77"/>
      <c r="I18" s="169"/>
      <c r="J18" s="86">
        <v>3.6874654462444596</v>
      </c>
      <c r="K18" s="82">
        <f t="shared" ref="K18:K55" si="0">K17+G18-I18</f>
        <v>45570.805986968226</v>
      </c>
      <c r="L18" s="38">
        <f t="shared" ref="L18:L55" si="1">L17+H18-J18</f>
        <v>7180.1745138867291</v>
      </c>
      <c r="M18" s="34"/>
      <c r="N18" s="45">
        <f>N17-J18</f>
        <v>7180.1745138867254</v>
      </c>
    </row>
    <row r="19" spans="1:14" s="5" customFormat="1" ht="13.5" customHeight="1">
      <c r="A19" s="177"/>
      <c r="B19" s="178" t="s">
        <v>113</v>
      </c>
      <c r="C19" s="179"/>
      <c r="D19" s="180"/>
      <c r="E19" s="181"/>
      <c r="F19" s="182"/>
      <c r="G19" s="183">
        <v>16486.919999999998</v>
      </c>
      <c r="H19" s="184">
        <v>2487.7800000000002</v>
      </c>
      <c r="I19" s="185"/>
      <c r="J19" s="186"/>
      <c r="K19" s="187">
        <f t="shared" si="0"/>
        <v>62057.725986968224</v>
      </c>
      <c r="L19" s="188">
        <f t="shared" si="1"/>
        <v>9667.9545138867288</v>
      </c>
      <c r="M19" s="189"/>
      <c r="N19" s="45"/>
    </row>
    <row r="20" spans="1:14" s="5" customFormat="1" ht="13.5" customHeight="1">
      <c r="A20" s="177"/>
      <c r="B20" s="178" t="s">
        <v>114</v>
      </c>
      <c r="C20" s="179"/>
      <c r="D20" s="180"/>
      <c r="E20" s="181" t="s">
        <v>138</v>
      </c>
      <c r="F20" s="182"/>
      <c r="G20" s="183"/>
      <c r="H20" s="184"/>
      <c r="I20" s="185"/>
      <c r="J20" s="170">
        <v>28</v>
      </c>
      <c r="K20" s="187">
        <f t="shared" si="0"/>
        <v>62057.725986968224</v>
      </c>
      <c r="L20" s="188">
        <f t="shared" si="1"/>
        <v>9639.9545138867288</v>
      </c>
      <c r="M20" s="189"/>
      <c r="N20" s="45"/>
    </row>
    <row r="21" spans="1:14" s="5" customFormat="1" ht="13.5" customHeight="1">
      <c r="A21" s="36">
        <v>44692</v>
      </c>
      <c r="B21" s="159" t="s">
        <v>115</v>
      </c>
      <c r="C21" s="160"/>
      <c r="D21" s="37"/>
      <c r="E21" s="33" t="s">
        <v>138</v>
      </c>
      <c r="F21" s="35"/>
      <c r="G21" s="103"/>
      <c r="H21" s="77"/>
      <c r="I21" s="169">
        <v>17</v>
      </c>
      <c r="J21" s="86" t="e">
        <f>I21/'통장내역(환율표)'!#REF!</f>
        <v>#REF!</v>
      </c>
      <c r="K21" s="82">
        <f t="shared" si="0"/>
        <v>62040.725986968224</v>
      </c>
      <c r="L21" s="38" t="e">
        <f t="shared" si="1"/>
        <v>#REF!</v>
      </c>
      <c r="M21" s="34" t="s">
        <v>135</v>
      </c>
      <c r="N21" s="45" t="e">
        <f>N18-J21</f>
        <v>#REF!</v>
      </c>
    </row>
    <row r="22" spans="1:14" s="5" customFormat="1" ht="13.5" customHeight="1">
      <c r="A22" s="36">
        <v>44692</v>
      </c>
      <c r="B22" s="159" t="s">
        <v>115</v>
      </c>
      <c r="C22" s="160"/>
      <c r="D22" s="37"/>
      <c r="E22" s="33" t="s">
        <v>138</v>
      </c>
      <c r="F22" s="35"/>
      <c r="G22" s="103"/>
      <c r="H22" s="77"/>
      <c r="I22" s="169">
        <v>80</v>
      </c>
      <c r="J22" s="86" t="e">
        <f>I22/'통장내역(환율표)'!#REF!</f>
        <v>#REF!</v>
      </c>
      <c r="K22" s="82">
        <f t="shared" si="0"/>
        <v>61960.725986968224</v>
      </c>
      <c r="L22" s="38" t="e">
        <f t="shared" si="1"/>
        <v>#REF!</v>
      </c>
      <c r="M22" s="34" t="s">
        <v>129</v>
      </c>
      <c r="N22" s="45" t="e">
        <f>N21-J22</f>
        <v>#REF!</v>
      </c>
    </row>
    <row r="23" spans="1:14" s="5" customFormat="1" ht="13.5" customHeight="1">
      <c r="A23" s="36">
        <v>44705</v>
      </c>
      <c r="B23" s="159" t="s">
        <v>130</v>
      </c>
      <c r="C23" s="160"/>
      <c r="D23" s="37">
        <v>1</v>
      </c>
      <c r="E23" s="33" t="s">
        <v>138</v>
      </c>
      <c r="F23" s="35"/>
      <c r="G23" s="103"/>
      <c r="H23" s="77"/>
      <c r="I23" s="169">
        <v>300</v>
      </c>
      <c r="J23" s="86" t="e">
        <f>I23/'통장내역(환율표)'!#REF!</f>
        <v>#REF!</v>
      </c>
      <c r="K23" s="82">
        <f t="shared" si="0"/>
        <v>61660.725986968224</v>
      </c>
      <c r="L23" s="38" t="e">
        <f t="shared" si="1"/>
        <v>#REF!</v>
      </c>
      <c r="M23" s="34"/>
      <c r="N23" s="45" t="e">
        <f t="shared" ref="N23:N37" si="2">N22-J23</f>
        <v>#REF!</v>
      </c>
    </row>
    <row r="24" spans="1:14" s="5" customFormat="1" ht="13.5" customHeight="1">
      <c r="A24" s="36">
        <v>44705</v>
      </c>
      <c r="B24" s="159" t="s">
        <v>131</v>
      </c>
      <c r="C24" s="160"/>
      <c r="D24" s="37">
        <v>2</v>
      </c>
      <c r="E24" s="33" t="s">
        <v>138</v>
      </c>
      <c r="F24" s="35"/>
      <c r="G24" s="103"/>
      <c r="H24" s="77"/>
      <c r="I24" s="169">
        <v>7703.4</v>
      </c>
      <c r="J24" s="86" t="e">
        <f>I24/'통장내역(환율표)'!#REF!</f>
        <v>#REF!</v>
      </c>
      <c r="K24" s="82">
        <f t="shared" si="0"/>
        <v>53957.325986968222</v>
      </c>
      <c r="L24" s="38" t="e">
        <f t="shared" si="1"/>
        <v>#REF!</v>
      </c>
      <c r="M24" s="34"/>
      <c r="N24" s="45" t="e">
        <f t="shared" si="2"/>
        <v>#REF!</v>
      </c>
    </row>
    <row r="25" spans="1:14" s="5" customFormat="1" ht="13.5" customHeight="1">
      <c r="A25" s="36">
        <v>44705</v>
      </c>
      <c r="B25" s="159" t="s">
        <v>132</v>
      </c>
      <c r="C25" s="160"/>
      <c r="D25" s="37">
        <v>2</v>
      </c>
      <c r="E25" s="33" t="s">
        <v>138</v>
      </c>
      <c r="F25" s="35"/>
      <c r="G25" s="103"/>
      <c r="H25" s="77"/>
      <c r="I25" s="169">
        <v>13500</v>
      </c>
      <c r="J25" s="86" t="e">
        <f>I25/'통장내역(환율표)'!#REF!</f>
        <v>#REF!</v>
      </c>
      <c r="K25" s="82">
        <f t="shared" si="0"/>
        <v>40457.325986968222</v>
      </c>
      <c r="L25" s="38" t="e">
        <f t="shared" si="1"/>
        <v>#REF!</v>
      </c>
      <c r="M25" s="34"/>
      <c r="N25" s="45" t="e">
        <f t="shared" si="2"/>
        <v>#REF!</v>
      </c>
    </row>
    <row r="26" spans="1:14" s="5" customFormat="1" ht="13.5" customHeight="1">
      <c r="A26" s="36">
        <v>44705</v>
      </c>
      <c r="B26" s="159" t="s">
        <v>133</v>
      </c>
      <c r="C26" s="160"/>
      <c r="D26" s="37">
        <v>2</v>
      </c>
      <c r="E26" s="33" t="s">
        <v>138</v>
      </c>
      <c r="F26" s="35"/>
      <c r="G26" s="103"/>
      <c r="H26" s="77"/>
      <c r="I26" s="169">
        <v>2552.2899999999991</v>
      </c>
      <c r="J26" s="86" t="e">
        <f>I26/'통장내역(환율표)'!#REF!</f>
        <v>#REF!</v>
      </c>
      <c r="K26" s="82">
        <f t="shared" si="0"/>
        <v>37905.035986968222</v>
      </c>
      <c r="L26" s="38" t="e">
        <f t="shared" si="1"/>
        <v>#REF!</v>
      </c>
      <c r="M26" s="34"/>
      <c r="N26" s="45" t="e">
        <f t="shared" si="2"/>
        <v>#REF!</v>
      </c>
    </row>
    <row r="27" spans="1:14" s="5" customFormat="1" ht="13.5" customHeight="1">
      <c r="A27" s="36">
        <v>44705</v>
      </c>
      <c r="B27" s="159" t="s">
        <v>134</v>
      </c>
      <c r="C27" s="160"/>
      <c r="D27" s="37">
        <v>2</v>
      </c>
      <c r="E27" s="33" t="s">
        <v>138</v>
      </c>
      <c r="F27" s="35"/>
      <c r="G27" s="103"/>
      <c r="H27" s="77"/>
      <c r="I27" s="169">
        <v>20000</v>
      </c>
      <c r="J27" s="86" t="e">
        <f>I27/'통장내역(환율표)'!#REF!</f>
        <v>#REF!</v>
      </c>
      <c r="K27" s="82">
        <f t="shared" si="0"/>
        <v>17905.035986968222</v>
      </c>
      <c r="L27" s="38" t="e">
        <f t="shared" si="1"/>
        <v>#REF!</v>
      </c>
      <c r="M27" s="34"/>
      <c r="N27" s="45" t="e">
        <f t="shared" si="2"/>
        <v>#REF!</v>
      </c>
    </row>
    <row r="28" spans="1:14" s="5" customFormat="1" ht="13.5" customHeight="1">
      <c r="A28" s="36">
        <v>44706</v>
      </c>
      <c r="B28" s="159" t="s">
        <v>115</v>
      </c>
      <c r="C28" s="160"/>
      <c r="D28" s="37"/>
      <c r="E28" s="33" t="s">
        <v>138</v>
      </c>
      <c r="F28" s="35"/>
      <c r="G28" s="103"/>
      <c r="H28" s="77"/>
      <c r="I28" s="169">
        <v>7.2</v>
      </c>
      <c r="J28" s="86" t="e">
        <f>I28/'통장내역(환율표)'!#REF!</f>
        <v>#REF!</v>
      </c>
      <c r="K28" s="82">
        <f t="shared" si="0"/>
        <v>17897.835986968221</v>
      </c>
      <c r="L28" s="38" t="e">
        <f t="shared" si="1"/>
        <v>#REF!</v>
      </c>
      <c r="M28" s="34"/>
      <c r="N28" s="45" t="e">
        <f t="shared" si="2"/>
        <v>#REF!</v>
      </c>
    </row>
    <row r="29" spans="1:14" s="5" customFormat="1" ht="13.5" customHeight="1">
      <c r="A29" s="36">
        <v>44706</v>
      </c>
      <c r="B29" s="159" t="s">
        <v>116</v>
      </c>
      <c r="C29" s="160"/>
      <c r="D29" s="37">
        <v>3</v>
      </c>
      <c r="E29" s="33" t="s">
        <v>139</v>
      </c>
      <c r="F29" s="35" t="s">
        <v>140</v>
      </c>
      <c r="G29" s="103"/>
      <c r="H29" s="77"/>
      <c r="I29" s="169">
        <v>500</v>
      </c>
      <c r="J29" s="86" t="e">
        <f>I29/'통장내역(환율표)'!#REF!</f>
        <v>#REF!</v>
      </c>
      <c r="K29" s="82">
        <f t="shared" si="0"/>
        <v>17397.835986968221</v>
      </c>
      <c r="L29" s="38" t="e">
        <f t="shared" si="1"/>
        <v>#REF!</v>
      </c>
      <c r="M29" s="34"/>
      <c r="N29" s="45" t="e">
        <f t="shared" si="2"/>
        <v>#REF!</v>
      </c>
    </row>
    <row r="30" spans="1:14" s="5" customFormat="1" ht="13.5" customHeight="1">
      <c r="A30" s="36">
        <v>44706</v>
      </c>
      <c r="B30" s="159" t="s">
        <v>115</v>
      </c>
      <c r="C30" s="160"/>
      <c r="D30" s="37"/>
      <c r="E30" s="33" t="s">
        <v>138</v>
      </c>
      <c r="F30" s="35"/>
      <c r="G30" s="103"/>
      <c r="H30" s="77"/>
      <c r="I30" s="169">
        <v>3.6</v>
      </c>
      <c r="J30" s="86" t="e">
        <f>I30/'통장내역(환율표)'!#REF!</f>
        <v>#REF!</v>
      </c>
      <c r="K30" s="82">
        <f t="shared" si="0"/>
        <v>17394.235986968222</v>
      </c>
      <c r="L30" s="38" t="e">
        <f t="shared" si="1"/>
        <v>#REF!</v>
      </c>
      <c r="M30" s="34"/>
      <c r="N30" s="45" t="e">
        <f t="shared" si="2"/>
        <v>#REF!</v>
      </c>
    </row>
    <row r="31" spans="1:14" s="5" customFormat="1" ht="13.5" customHeight="1">
      <c r="A31" s="36">
        <v>44706</v>
      </c>
      <c r="B31" s="159" t="s">
        <v>117</v>
      </c>
      <c r="C31" s="160"/>
      <c r="D31" s="37">
        <v>4</v>
      </c>
      <c r="E31" s="33" t="s">
        <v>139</v>
      </c>
      <c r="F31" s="35" t="s">
        <v>140</v>
      </c>
      <c r="G31" s="103"/>
      <c r="H31" s="77"/>
      <c r="I31" s="169">
        <v>115.56</v>
      </c>
      <c r="J31" s="86" t="e">
        <f>I31/'통장내역(환율표)'!#REF!</f>
        <v>#REF!</v>
      </c>
      <c r="K31" s="82">
        <f t="shared" si="0"/>
        <v>17278.675986968221</v>
      </c>
      <c r="L31" s="38" t="e">
        <f t="shared" si="1"/>
        <v>#REF!</v>
      </c>
      <c r="M31" s="34"/>
      <c r="N31" s="45" t="e">
        <f t="shared" si="2"/>
        <v>#REF!</v>
      </c>
    </row>
    <row r="32" spans="1:14" s="5" customFormat="1" ht="13.5" customHeight="1">
      <c r="A32" s="36">
        <v>44706</v>
      </c>
      <c r="B32" s="159" t="s">
        <v>115</v>
      </c>
      <c r="C32" s="160"/>
      <c r="D32" s="37"/>
      <c r="E32" s="33" t="s">
        <v>138</v>
      </c>
      <c r="F32" s="35"/>
      <c r="G32" s="103"/>
      <c r="H32" s="77"/>
      <c r="I32" s="169">
        <v>3.6</v>
      </c>
      <c r="J32" s="86" t="e">
        <f>I32/'통장내역(환율표)'!#REF!</f>
        <v>#REF!</v>
      </c>
      <c r="K32" s="82">
        <f t="shared" si="0"/>
        <v>17275.075986968222</v>
      </c>
      <c r="L32" s="38" t="e">
        <f t="shared" si="1"/>
        <v>#REF!</v>
      </c>
      <c r="M32" s="34"/>
      <c r="N32" s="45" t="e">
        <f t="shared" si="2"/>
        <v>#REF!</v>
      </c>
    </row>
    <row r="33" spans="1:14" s="5" customFormat="1" ht="13.5" customHeight="1">
      <c r="A33" s="36">
        <v>44706</v>
      </c>
      <c r="B33" s="159" t="s">
        <v>118</v>
      </c>
      <c r="C33" s="160"/>
      <c r="D33" s="37">
        <v>5</v>
      </c>
      <c r="E33" s="33" t="s">
        <v>139</v>
      </c>
      <c r="F33" s="35" t="s">
        <v>140</v>
      </c>
      <c r="G33" s="103"/>
      <c r="H33" s="77"/>
      <c r="I33" s="169">
        <v>399</v>
      </c>
      <c r="J33" s="86" t="e">
        <f>I33/'통장내역(환율표)'!#REF!</f>
        <v>#REF!</v>
      </c>
      <c r="K33" s="82">
        <f t="shared" si="0"/>
        <v>16876.075986968222</v>
      </c>
      <c r="L33" s="38" t="e">
        <f t="shared" si="1"/>
        <v>#REF!</v>
      </c>
      <c r="M33" s="34"/>
      <c r="N33" s="45" t="e">
        <f t="shared" si="2"/>
        <v>#REF!</v>
      </c>
    </row>
    <row r="34" spans="1:14" s="5" customFormat="1" ht="13.5" customHeight="1">
      <c r="A34" s="36">
        <v>44706</v>
      </c>
      <c r="B34" s="159" t="s">
        <v>115</v>
      </c>
      <c r="C34" s="160"/>
      <c r="D34" s="37"/>
      <c r="E34" s="33" t="s">
        <v>138</v>
      </c>
      <c r="F34" s="35"/>
      <c r="G34" s="103"/>
      <c r="H34" s="77"/>
      <c r="I34" s="169">
        <v>3.6</v>
      </c>
      <c r="J34" s="86" t="e">
        <f>I34/'통장내역(환율표)'!#REF!</f>
        <v>#REF!</v>
      </c>
      <c r="K34" s="82">
        <f t="shared" si="0"/>
        <v>16872.475986968224</v>
      </c>
      <c r="L34" s="38" t="e">
        <f t="shared" si="1"/>
        <v>#REF!</v>
      </c>
      <c r="M34" s="34"/>
      <c r="N34" s="45" t="e">
        <f t="shared" si="2"/>
        <v>#REF!</v>
      </c>
    </row>
    <row r="35" spans="1:14" s="5" customFormat="1" ht="13.5" customHeight="1">
      <c r="A35" s="36">
        <v>44706</v>
      </c>
      <c r="B35" s="159" t="s">
        <v>119</v>
      </c>
      <c r="C35" s="160"/>
      <c r="D35" s="37">
        <v>6</v>
      </c>
      <c r="E35" s="33" t="s">
        <v>138</v>
      </c>
      <c r="F35" s="35"/>
      <c r="G35" s="103"/>
      <c r="H35" s="77"/>
      <c r="I35" s="169">
        <v>368.47</v>
      </c>
      <c r="J35" s="86" t="e">
        <f>I35/'통장내역(환율표)'!#REF!</f>
        <v>#REF!</v>
      </c>
      <c r="K35" s="82">
        <f t="shared" si="0"/>
        <v>16504.005986968223</v>
      </c>
      <c r="L35" s="38" t="e">
        <f t="shared" si="1"/>
        <v>#REF!</v>
      </c>
      <c r="M35" s="34"/>
      <c r="N35" s="45" t="e">
        <f t="shared" si="2"/>
        <v>#REF!</v>
      </c>
    </row>
    <row r="36" spans="1:14" s="5" customFormat="1" ht="13.5" customHeight="1">
      <c r="A36" s="36">
        <v>44706</v>
      </c>
      <c r="B36" s="159" t="s">
        <v>115</v>
      </c>
      <c r="C36" s="160"/>
      <c r="D36" s="37"/>
      <c r="E36" s="33" t="s">
        <v>138</v>
      </c>
      <c r="F36" s="35"/>
      <c r="G36" s="103"/>
      <c r="H36" s="77"/>
      <c r="I36" s="169">
        <v>3.6</v>
      </c>
      <c r="J36" s="86" t="e">
        <f>I36/'통장내역(환율표)'!#REF!</f>
        <v>#REF!</v>
      </c>
      <c r="K36" s="82">
        <f t="shared" si="0"/>
        <v>16500.405986968224</v>
      </c>
      <c r="L36" s="38" t="e">
        <f t="shared" si="1"/>
        <v>#REF!</v>
      </c>
      <c r="M36" s="34"/>
      <c r="N36" s="45" t="e">
        <f t="shared" si="2"/>
        <v>#REF!</v>
      </c>
    </row>
    <row r="37" spans="1:14" s="5" customFormat="1" ht="13.5" customHeight="1">
      <c r="A37" s="57">
        <v>44706</v>
      </c>
      <c r="B37" s="173" t="s">
        <v>136</v>
      </c>
      <c r="C37" s="174"/>
      <c r="D37" s="60">
        <v>7</v>
      </c>
      <c r="E37" s="59" t="s">
        <v>21</v>
      </c>
      <c r="F37" s="61"/>
      <c r="G37" s="175"/>
      <c r="H37" s="78"/>
      <c r="I37" s="176" t="e">
        <f>J37*'통장내역(환율표)'!#REF!</f>
        <v>#REF!</v>
      </c>
      <c r="J37" s="86">
        <v>2.1762562777695726</v>
      </c>
      <c r="K37" s="83" t="e">
        <f t="shared" si="0"/>
        <v>#REF!</v>
      </c>
      <c r="L37" s="62" t="e">
        <f t="shared" si="1"/>
        <v>#REF!</v>
      </c>
      <c r="M37" s="58"/>
      <c r="N37" s="45" t="e">
        <f t="shared" si="2"/>
        <v>#REF!</v>
      </c>
    </row>
    <row r="38" spans="1:14" s="5" customFormat="1" ht="13.5" customHeight="1">
      <c r="A38" s="57">
        <v>44706</v>
      </c>
      <c r="B38" s="173" t="s">
        <v>137</v>
      </c>
      <c r="C38" s="174"/>
      <c r="D38" s="60">
        <v>7</v>
      </c>
      <c r="E38" s="59" t="s">
        <v>21</v>
      </c>
      <c r="F38" s="61"/>
      <c r="G38" s="175"/>
      <c r="H38" s="78"/>
      <c r="I38" s="176" t="e">
        <f>300-I37</f>
        <v>#REF!</v>
      </c>
      <c r="J38" s="170" t="e">
        <f>I38/'통장내역(환율표)'!#REF!</f>
        <v>#REF!</v>
      </c>
      <c r="K38" s="83" t="e">
        <f t="shared" si="0"/>
        <v>#REF!</v>
      </c>
      <c r="L38" s="62" t="e">
        <f t="shared" si="1"/>
        <v>#REF!</v>
      </c>
      <c r="M38" s="58"/>
      <c r="N38" s="45" t="e">
        <f>2459.78-J38</f>
        <v>#REF!</v>
      </c>
    </row>
    <row r="39" spans="1:14" s="5" customFormat="1" ht="13.5" customHeight="1">
      <c r="A39" s="36">
        <v>44706</v>
      </c>
      <c r="B39" s="159" t="s">
        <v>115</v>
      </c>
      <c r="C39" s="160"/>
      <c r="D39" s="37"/>
      <c r="E39" s="33" t="s">
        <v>138</v>
      </c>
      <c r="F39" s="35"/>
      <c r="G39" s="103"/>
      <c r="H39" s="77"/>
      <c r="I39" s="169">
        <v>3.6</v>
      </c>
      <c r="J39" s="170" t="e">
        <f>I39/'통장내역(환율표)'!#REF!</f>
        <v>#REF!</v>
      </c>
      <c r="K39" s="82" t="e">
        <f t="shared" si="0"/>
        <v>#REF!</v>
      </c>
      <c r="L39" s="38" t="e">
        <f t="shared" si="1"/>
        <v>#REF!</v>
      </c>
      <c r="M39" s="34"/>
      <c r="N39" s="45" t="e">
        <f t="shared" ref="N39:N55" si="3">N38-J39</f>
        <v>#REF!</v>
      </c>
    </row>
    <row r="40" spans="1:14" s="5" customFormat="1" ht="13.5" customHeight="1">
      <c r="A40" s="36">
        <v>44706</v>
      </c>
      <c r="B40" s="159" t="s">
        <v>120</v>
      </c>
      <c r="C40" s="160"/>
      <c r="D40" s="37">
        <v>8</v>
      </c>
      <c r="E40" s="33" t="s">
        <v>138</v>
      </c>
      <c r="F40" s="35"/>
      <c r="G40" s="103"/>
      <c r="H40" s="77"/>
      <c r="I40" s="169">
        <v>1674</v>
      </c>
      <c r="J40" s="170" t="e">
        <f>I40/'통장내역(환율표)'!#REF!</f>
        <v>#REF!</v>
      </c>
      <c r="K40" s="82" t="e">
        <f t="shared" si="0"/>
        <v>#REF!</v>
      </c>
      <c r="L40" s="38" t="e">
        <f t="shared" si="1"/>
        <v>#REF!</v>
      </c>
      <c r="M40" s="34" t="s">
        <v>143</v>
      </c>
      <c r="N40" s="45" t="e">
        <f t="shared" si="3"/>
        <v>#REF!</v>
      </c>
    </row>
    <row r="41" spans="1:14" s="5" customFormat="1" ht="13.5" customHeight="1">
      <c r="A41" s="36">
        <v>44706</v>
      </c>
      <c r="B41" s="159" t="s">
        <v>115</v>
      </c>
      <c r="C41" s="160"/>
      <c r="D41" s="37"/>
      <c r="E41" s="33" t="s">
        <v>138</v>
      </c>
      <c r="F41" s="35"/>
      <c r="G41" s="103"/>
      <c r="H41" s="77"/>
      <c r="I41" s="169">
        <v>3.6</v>
      </c>
      <c r="J41" s="170" t="e">
        <f>I41/'통장내역(환율표)'!#REF!</f>
        <v>#REF!</v>
      </c>
      <c r="K41" s="82" t="e">
        <f t="shared" si="0"/>
        <v>#REF!</v>
      </c>
      <c r="L41" s="38" t="e">
        <f t="shared" si="1"/>
        <v>#REF!</v>
      </c>
      <c r="M41" s="34"/>
      <c r="N41" s="45" t="e">
        <f t="shared" si="3"/>
        <v>#REF!</v>
      </c>
    </row>
    <row r="42" spans="1:14" s="5" customFormat="1" ht="13.5" customHeight="1">
      <c r="A42" s="36">
        <v>44706</v>
      </c>
      <c r="B42" s="159" t="s">
        <v>121</v>
      </c>
      <c r="C42" s="160"/>
      <c r="D42" s="37">
        <v>9</v>
      </c>
      <c r="E42" s="33" t="s">
        <v>138</v>
      </c>
      <c r="F42" s="35"/>
      <c r="G42" s="103"/>
      <c r="H42" s="77"/>
      <c r="I42" s="169">
        <v>550</v>
      </c>
      <c r="J42" s="170" t="e">
        <f>I42/'통장내역(환율표)'!#REF!</f>
        <v>#REF!</v>
      </c>
      <c r="K42" s="82" t="e">
        <f t="shared" si="0"/>
        <v>#REF!</v>
      </c>
      <c r="L42" s="38" t="e">
        <f t="shared" si="1"/>
        <v>#REF!</v>
      </c>
      <c r="M42" s="34"/>
      <c r="N42" s="45" t="e">
        <f t="shared" si="3"/>
        <v>#REF!</v>
      </c>
    </row>
    <row r="43" spans="1:14" s="5" customFormat="1" ht="13.5" customHeight="1">
      <c r="A43" s="36">
        <v>44706</v>
      </c>
      <c r="B43" s="159" t="s">
        <v>115</v>
      </c>
      <c r="C43" s="160"/>
      <c r="D43" s="37"/>
      <c r="E43" s="33" t="s">
        <v>138</v>
      </c>
      <c r="F43" s="35"/>
      <c r="G43" s="103"/>
      <c r="H43" s="77"/>
      <c r="I43" s="169">
        <v>3.6</v>
      </c>
      <c r="J43" s="170" t="e">
        <f>I43/'통장내역(환율표)'!#REF!</f>
        <v>#REF!</v>
      </c>
      <c r="K43" s="82" t="e">
        <f t="shared" si="0"/>
        <v>#REF!</v>
      </c>
      <c r="L43" s="38" t="e">
        <f t="shared" si="1"/>
        <v>#REF!</v>
      </c>
      <c r="M43" s="34"/>
      <c r="N43" s="45" t="e">
        <f t="shared" si="3"/>
        <v>#REF!</v>
      </c>
    </row>
    <row r="44" spans="1:14" s="5" customFormat="1" ht="13.5" customHeight="1">
      <c r="A44" s="36">
        <v>44706</v>
      </c>
      <c r="B44" s="159" t="s">
        <v>122</v>
      </c>
      <c r="C44" s="160"/>
      <c r="D44" s="37">
        <v>10</v>
      </c>
      <c r="E44" s="33" t="s">
        <v>138</v>
      </c>
      <c r="F44" s="35"/>
      <c r="G44" s="103"/>
      <c r="H44" s="77"/>
      <c r="I44" s="169">
        <v>180</v>
      </c>
      <c r="J44" s="170" t="e">
        <f>I44/'통장내역(환율표)'!#REF!</f>
        <v>#REF!</v>
      </c>
      <c r="K44" s="82" t="e">
        <f t="shared" si="0"/>
        <v>#REF!</v>
      </c>
      <c r="L44" s="38" t="e">
        <f t="shared" si="1"/>
        <v>#REF!</v>
      </c>
      <c r="M44" s="34"/>
      <c r="N44" s="45" t="e">
        <f t="shared" si="3"/>
        <v>#REF!</v>
      </c>
    </row>
    <row r="45" spans="1:14" s="5" customFormat="1" ht="13.5" customHeight="1">
      <c r="A45" s="36">
        <v>44706</v>
      </c>
      <c r="B45" s="159" t="s">
        <v>115</v>
      </c>
      <c r="C45" s="160"/>
      <c r="D45" s="37"/>
      <c r="E45" s="33" t="s">
        <v>138</v>
      </c>
      <c r="F45" s="35"/>
      <c r="G45" s="103"/>
      <c r="H45" s="77"/>
      <c r="I45" s="169">
        <v>3.6</v>
      </c>
      <c r="J45" s="170" t="e">
        <f>I45/'통장내역(환율표)'!#REF!</f>
        <v>#REF!</v>
      </c>
      <c r="K45" s="82" t="e">
        <f t="shared" si="0"/>
        <v>#REF!</v>
      </c>
      <c r="L45" s="38" t="e">
        <f t="shared" si="1"/>
        <v>#REF!</v>
      </c>
      <c r="M45" s="34"/>
      <c r="N45" s="45" t="e">
        <f t="shared" si="3"/>
        <v>#REF!</v>
      </c>
    </row>
    <row r="46" spans="1:14" s="5" customFormat="1" ht="13.5" customHeight="1">
      <c r="A46" s="36">
        <v>44706</v>
      </c>
      <c r="B46" s="159" t="s">
        <v>123</v>
      </c>
      <c r="C46" s="160"/>
      <c r="D46" s="37">
        <v>11</v>
      </c>
      <c r="E46" s="33" t="s">
        <v>138</v>
      </c>
      <c r="F46" s="35"/>
      <c r="G46" s="103"/>
      <c r="H46" s="77"/>
      <c r="I46" s="169">
        <v>270</v>
      </c>
      <c r="J46" s="170" t="e">
        <f>I46/'통장내역(환율표)'!#REF!</f>
        <v>#REF!</v>
      </c>
      <c r="K46" s="82" t="e">
        <f t="shared" si="0"/>
        <v>#REF!</v>
      </c>
      <c r="L46" s="38" t="e">
        <f t="shared" si="1"/>
        <v>#REF!</v>
      </c>
      <c r="M46" s="34"/>
      <c r="N46" s="45" t="e">
        <f t="shared" si="3"/>
        <v>#REF!</v>
      </c>
    </row>
    <row r="47" spans="1:14" s="5" customFormat="1" ht="13.5" customHeight="1">
      <c r="A47" s="36">
        <v>44706</v>
      </c>
      <c r="B47" s="159" t="s">
        <v>115</v>
      </c>
      <c r="C47" s="160"/>
      <c r="D47" s="37"/>
      <c r="E47" s="33" t="s">
        <v>138</v>
      </c>
      <c r="F47" s="35"/>
      <c r="G47" s="103"/>
      <c r="H47" s="77"/>
      <c r="I47" s="169">
        <v>3.6</v>
      </c>
      <c r="J47" s="170" t="e">
        <f>I47/'통장내역(환율표)'!#REF!</f>
        <v>#REF!</v>
      </c>
      <c r="K47" s="82" t="e">
        <f t="shared" si="0"/>
        <v>#REF!</v>
      </c>
      <c r="L47" s="38" t="e">
        <f t="shared" si="1"/>
        <v>#REF!</v>
      </c>
      <c r="M47" s="34"/>
      <c r="N47" s="45" t="e">
        <f t="shared" si="3"/>
        <v>#REF!</v>
      </c>
    </row>
    <row r="48" spans="1:14" s="5" customFormat="1" ht="13.5" customHeight="1">
      <c r="A48" s="36">
        <v>44706</v>
      </c>
      <c r="B48" s="159" t="s">
        <v>124</v>
      </c>
      <c r="C48" s="160"/>
      <c r="D48" s="37">
        <v>12</v>
      </c>
      <c r="E48" s="33" t="s">
        <v>138</v>
      </c>
      <c r="F48" s="35"/>
      <c r="G48" s="103"/>
      <c r="H48" s="77"/>
      <c r="I48" s="169">
        <v>632.9</v>
      </c>
      <c r="J48" s="170" t="e">
        <f>I48/'통장내역(환율표)'!#REF!</f>
        <v>#REF!</v>
      </c>
      <c r="K48" s="82" t="e">
        <f t="shared" si="0"/>
        <v>#REF!</v>
      </c>
      <c r="L48" s="38" t="e">
        <f t="shared" si="1"/>
        <v>#REF!</v>
      </c>
      <c r="M48" s="34"/>
      <c r="N48" s="45" t="e">
        <f t="shared" si="3"/>
        <v>#REF!</v>
      </c>
    </row>
    <row r="49" spans="1:14" s="5" customFormat="1" ht="13.5" customHeight="1">
      <c r="A49" s="36">
        <v>44706</v>
      </c>
      <c r="B49" s="159" t="s">
        <v>115</v>
      </c>
      <c r="C49" s="160"/>
      <c r="D49" s="37"/>
      <c r="E49" s="33" t="s">
        <v>138</v>
      </c>
      <c r="F49" s="35"/>
      <c r="G49" s="103"/>
      <c r="H49" s="77"/>
      <c r="I49" s="169">
        <v>3.6</v>
      </c>
      <c r="J49" s="170" t="e">
        <f>I49/'통장내역(환율표)'!#REF!</f>
        <v>#REF!</v>
      </c>
      <c r="K49" s="82" t="e">
        <f t="shared" si="0"/>
        <v>#REF!</v>
      </c>
      <c r="L49" s="38" t="e">
        <f t="shared" si="1"/>
        <v>#REF!</v>
      </c>
      <c r="M49" s="34"/>
      <c r="N49" s="45" t="e">
        <f t="shared" si="3"/>
        <v>#REF!</v>
      </c>
    </row>
    <row r="50" spans="1:14" s="5" customFormat="1" ht="13.5" customHeight="1">
      <c r="A50" s="36">
        <v>44706</v>
      </c>
      <c r="B50" s="159" t="s">
        <v>125</v>
      </c>
      <c r="C50" s="160"/>
      <c r="D50" s="37">
        <v>13</v>
      </c>
      <c r="E50" s="33" t="s">
        <v>144</v>
      </c>
      <c r="F50" s="35" t="s">
        <v>145</v>
      </c>
      <c r="G50" s="103"/>
      <c r="H50" s="77"/>
      <c r="I50" s="169">
        <v>1270</v>
      </c>
      <c r="J50" s="170" t="e">
        <f>I50/'통장내역(환율표)'!#REF!</f>
        <v>#REF!</v>
      </c>
      <c r="K50" s="82" t="e">
        <f t="shared" si="0"/>
        <v>#REF!</v>
      </c>
      <c r="L50" s="38" t="e">
        <f t="shared" si="1"/>
        <v>#REF!</v>
      </c>
      <c r="M50" s="34"/>
      <c r="N50" s="45" t="e">
        <f t="shared" si="3"/>
        <v>#REF!</v>
      </c>
    </row>
    <row r="51" spans="1:14" s="5" customFormat="1" ht="13.5" customHeight="1">
      <c r="A51" s="36">
        <v>44706</v>
      </c>
      <c r="B51" s="159" t="s">
        <v>126</v>
      </c>
      <c r="C51" s="160"/>
      <c r="D51" s="37"/>
      <c r="E51" s="33" t="s">
        <v>138</v>
      </c>
      <c r="F51" s="35"/>
      <c r="G51" s="103"/>
      <c r="H51" s="77"/>
      <c r="I51" s="169">
        <v>3.6</v>
      </c>
      <c r="J51" s="170" t="e">
        <f>I51/'통장내역(환율표)'!#REF!</f>
        <v>#REF!</v>
      </c>
      <c r="K51" s="82" t="e">
        <f t="shared" si="0"/>
        <v>#REF!</v>
      </c>
      <c r="L51" s="38" t="e">
        <f t="shared" si="1"/>
        <v>#REF!</v>
      </c>
      <c r="M51" s="34"/>
      <c r="N51" s="45" t="e">
        <f t="shared" si="3"/>
        <v>#REF!</v>
      </c>
    </row>
    <row r="52" spans="1:14" s="5" customFormat="1" ht="13.5" customHeight="1">
      <c r="A52" s="36">
        <v>44706</v>
      </c>
      <c r="B52" s="159" t="s">
        <v>127</v>
      </c>
      <c r="C52" s="160"/>
      <c r="D52" s="37">
        <v>14</v>
      </c>
      <c r="E52" s="33" t="s">
        <v>146</v>
      </c>
      <c r="F52" s="35" t="s">
        <v>147</v>
      </c>
      <c r="G52" s="103"/>
      <c r="H52" s="77"/>
      <c r="I52" s="169">
        <v>7166</v>
      </c>
      <c r="J52" s="170" t="e">
        <f>I52/'통장내역(환율표)'!#REF!</f>
        <v>#REF!</v>
      </c>
      <c r="K52" s="82" t="e">
        <f t="shared" si="0"/>
        <v>#REF!</v>
      </c>
      <c r="L52" s="38" t="e">
        <f t="shared" si="1"/>
        <v>#REF!</v>
      </c>
      <c r="M52" s="34"/>
      <c r="N52" s="45" t="e">
        <f t="shared" si="3"/>
        <v>#REF!</v>
      </c>
    </row>
    <row r="53" spans="1:14" s="5" customFormat="1" ht="13.5" customHeight="1">
      <c r="A53" s="36">
        <v>44706</v>
      </c>
      <c r="B53" s="159" t="s">
        <v>126</v>
      </c>
      <c r="C53" s="160"/>
      <c r="D53" s="37"/>
      <c r="E53" s="33" t="s">
        <v>138</v>
      </c>
      <c r="F53" s="35"/>
      <c r="G53" s="103"/>
      <c r="H53" s="77"/>
      <c r="I53" s="169">
        <v>3.6</v>
      </c>
      <c r="J53" s="170" t="e">
        <f>I53/'통장내역(환율표)'!#REF!</f>
        <v>#REF!</v>
      </c>
      <c r="K53" s="82" t="e">
        <f t="shared" si="0"/>
        <v>#REF!</v>
      </c>
      <c r="L53" s="38" t="e">
        <f t="shared" si="1"/>
        <v>#REF!</v>
      </c>
      <c r="M53" s="34"/>
      <c r="N53" s="45" t="e">
        <f t="shared" si="3"/>
        <v>#REF!</v>
      </c>
    </row>
    <row r="54" spans="1:14" s="5" customFormat="1" ht="13.5" customHeight="1">
      <c r="A54" s="36">
        <v>44706</v>
      </c>
      <c r="B54" s="159" t="s">
        <v>128</v>
      </c>
      <c r="C54" s="160"/>
      <c r="D54" s="37">
        <v>15</v>
      </c>
      <c r="E54" s="33" t="s">
        <v>144</v>
      </c>
      <c r="F54" s="35" t="s">
        <v>145</v>
      </c>
      <c r="G54" s="103"/>
      <c r="H54" s="77"/>
      <c r="I54" s="169">
        <v>179</v>
      </c>
      <c r="J54" s="170" t="e">
        <f>I54/'통장내역(환율표)'!#REF!</f>
        <v>#REF!</v>
      </c>
      <c r="K54" s="82" t="e">
        <f t="shared" si="0"/>
        <v>#REF!</v>
      </c>
      <c r="L54" s="38" t="e">
        <f t="shared" si="1"/>
        <v>#REF!</v>
      </c>
      <c r="M54" s="34"/>
      <c r="N54" s="45" t="e">
        <f t="shared" si="3"/>
        <v>#REF!</v>
      </c>
    </row>
    <row r="55" spans="1:14" s="5" customFormat="1" ht="13.5" customHeight="1">
      <c r="A55" s="36">
        <v>44706</v>
      </c>
      <c r="B55" s="159" t="s">
        <v>126</v>
      </c>
      <c r="C55" s="160"/>
      <c r="D55" s="37"/>
      <c r="E55" s="33" t="s">
        <v>138</v>
      </c>
      <c r="F55" s="35"/>
      <c r="G55" s="103"/>
      <c r="H55" s="77"/>
      <c r="I55" s="169">
        <v>3.6</v>
      </c>
      <c r="J55" s="170" t="e">
        <f>I55/'통장내역(환율표)'!#REF!</f>
        <v>#REF!</v>
      </c>
      <c r="K55" s="82" t="e">
        <f t="shared" si="0"/>
        <v>#REF!</v>
      </c>
      <c r="L55" s="38" t="e">
        <f t="shared" si="1"/>
        <v>#REF!</v>
      </c>
      <c r="M55" s="34"/>
      <c r="N55" s="45" t="e">
        <f t="shared" si="3"/>
        <v>#REF!</v>
      </c>
    </row>
    <row r="56" spans="1:14">
      <c r="I56" s="197">
        <v>4741.1000000000004</v>
      </c>
      <c r="J56" s="170" t="e">
        <f>I56/'통장내역(환율표)'!#REF!</f>
        <v>#REF!</v>
      </c>
    </row>
    <row r="57" spans="1:14">
      <c r="I57" s="210">
        <v>19440</v>
      </c>
      <c r="J57" s="170" t="e">
        <f>I57/'통장내역(환율표)'!#REF!</f>
        <v>#REF!</v>
      </c>
    </row>
  </sheetData>
  <autoFilter ref="A16:N55" xr:uid="{00000000-0009-0000-0000-000003000000}">
    <filterColumn colId="1" showButton="0"/>
  </autoFilter>
  <mergeCells count="11"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  <mergeCell ref="I15:J15"/>
  </mergeCells>
  <phoneticPr fontId="3" type="noConversion"/>
  <pageMargins left="0.7" right="0.7" top="0.75" bottom="0.75" header="0.3" footer="0.3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62"/>
  <sheetViews>
    <sheetView showGridLines="0" topLeftCell="A28" workbookViewId="0">
      <selection activeCell="G31" sqref="G31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09765625" bestFit="1" customWidth="1"/>
    <col min="10" max="11" width="13.5" bestFit="1" customWidth="1"/>
    <col min="12" max="12" width="11.59765625" bestFit="1" customWidth="1"/>
    <col min="13" max="13" width="37.796875" bestFit="1" customWidth="1"/>
    <col min="14" max="14" width="9.59765625" bestFit="1" customWidth="1"/>
    <col min="15" max="16" width="9.19921875" bestFit="1" customWidth="1"/>
    <col min="17" max="17" width="10.5" bestFit="1" customWidth="1"/>
  </cols>
  <sheetData>
    <row r="1" spans="1:13" ht="24">
      <c r="A1" s="1" t="s">
        <v>231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229</v>
      </c>
      <c r="B2" s="2"/>
      <c r="C2" s="2"/>
      <c r="E2" s="4">
        <v>100034688</v>
      </c>
      <c r="F2" s="7"/>
      <c r="G2" s="5" t="s">
        <v>230</v>
      </c>
      <c r="H2" s="2"/>
      <c r="I2" s="2"/>
      <c r="K2" s="4">
        <v>100034689</v>
      </c>
      <c r="L2" s="139">
        <v>1200000696</v>
      </c>
    </row>
    <row r="3" spans="1:13" s="5" customFormat="1" ht="31.2">
      <c r="A3" s="140" t="s">
        <v>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10</v>
      </c>
      <c r="B4" s="115"/>
      <c r="C4" s="116"/>
      <c r="D4" s="116"/>
      <c r="E4" s="117"/>
      <c r="F4" s="118"/>
      <c r="G4" s="114" t="s">
        <v>10</v>
      </c>
      <c r="H4" s="115"/>
      <c r="I4" s="116"/>
      <c r="J4" s="116"/>
      <c r="K4" s="117"/>
      <c r="L4" s="119"/>
    </row>
    <row r="5" spans="1:13" s="5" customFormat="1" ht="15.6">
      <c r="A5" s="114" t="s">
        <v>11</v>
      </c>
      <c r="B5" s="115" t="s">
        <v>12</v>
      </c>
      <c r="C5" s="120"/>
      <c r="D5" s="116"/>
      <c r="E5" s="117"/>
      <c r="F5" s="121">
        <v>51131050</v>
      </c>
      <c r="G5" s="114" t="s">
        <v>11</v>
      </c>
      <c r="H5" s="115" t="s">
        <v>12</v>
      </c>
      <c r="I5" s="120"/>
      <c r="J5" s="116"/>
      <c r="K5" s="117"/>
      <c r="L5" s="119"/>
    </row>
    <row r="6" spans="1:13" s="5" customFormat="1" ht="15.6">
      <c r="A6" s="114" t="s">
        <v>13</v>
      </c>
      <c r="B6" s="115" t="s">
        <v>14</v>
      </c>
      <c r="C6" s="116"/>
      <c r="D6" s="116"/>
      <c r="E6" s="117"/>
      <c r="F6" s="121">
        <v>51061030</v>
      </c>
      <c r="G6" s="114" t="s">
        <v>13</v>
      </c>
      <c r="H6" s="115" t="s">
        <v>14</v>
      </c>
      <c r="I6" s="116">
        <v>7533</v>
      </c>
      <c r="J6" s="116">
        <v>1121.1664408317965</v>
      </c>
      <c r="K6" s="117">
        <v>1409983</v>
      </c>
      <c r="L6" s="119"/>
    </row>
    <row r="7" spans="1:13" s="5" customFormat="1" ht="15.6">
      <c r="A7" s="114" t="s">
        <v>15</v>
      </c>
      <c r="B7" s="115" t="s">
        <v>16</v>
      </c>
      <c r="C7" s="116"/>
      <c r="D7" s="116"/>
      <c r="E7" s="117"/>
      <c r="F7" s="121">
        <v>51201020</v>
      </c>
      <c r="G7" s="114" t="s">
        <v>15</v>
      </c>
      <c r="H7" s="115" t="s">
        <v>16</v>
      </c>
      <c r="I7" s="116">
        <v>38880</v>
      </c>
      <c r="J7" s="116">
        <v>5786.6655010673367</v>
      </c>
      <c r="K7" s="117">
        <v>7277316</v>
      </c>
      <c r="L7" s="119"/>
    </row>
    <row r="8" spans="1:13" s="5" customFormat="1" ht="15.6">
      <c r="A8" s="114" t="s">
        <v>15</v>
      </c>
      <c r="B8" s="114" t="s">
        <v>17</v>
      </c>
      <c r="C8" s="116"/>
      <c r="D8" s="116"/>
      <c r="E8" s="117"/>
      <c r="F8" s="121">
        <v>51201030</v>
      </c>
      <c r="G8" s="114" t="s">
        <v>15</v>
      </c>
      <c r="H8" s="114" t="s">
        <v>17</v>
      </c>
      <c r="I8" s="116">
        <v>16500</v>
      </c>
      <c r="J8" s="116">
        <v>2455.7608222122185</v>
      </c>
      <c r="K8" s="117">
        <v>3088364</v>
      </c>
      <c r="L8" s="119"/>
    </row>
    <row r="9" spans="1:13" s="5" customFormat="1" ht="15.6">
      <c r="A9" s="114" t="s">
        <v>19</v>
      </c>
      <c r="B9" s="114" t="s">
        <v>20</v>
      </c>
      <c r="C9" s="116"/>
      <c r="D9" s="116"/>
      <c r="E9" s="117"/>
      <c r="F9" s="121">
        <v>51071700</v>
      </c>
      <c r="G9" s="114" t="s">
        <v>19</v>
      </c>
      <c r="H9" s="114" t="s">
        <v>20</v>
      </c>
      <c r="I9" s="116">
        <v>899</v>
      </c>
      <c r="J9" s="116">
        <v>133.80175631325966</v>
      </c>
      <c r="K9" s="117">
        <v>168267</v>
      </c>
      <c r="L9" s="119">
        <v>89500</v>
      </c>
    </row>
    <row r="10" spans="1:13" s="5" customFormat="1" ht="15.6">
      <c r="A10" s="114" t="s">
        <v>21</v>
      </c>
      <c r="B10" s="115"/>
      <c r="C10" s="116">
        <v>4266.26226354343</v>
      </c>
      <c r="D10" s="116">
        <v>636.5086135323553</v>
      </c>
      <c r="E10" s="117">
        <v>811296</v>
      </c>
      <c r="F10" s="121">
        <v>51321010</v>
      </c>
      <c r="G10" s="114" t="s">
        <v>21</v>
      </c>
      <c r="H10" s="115"/>
      <c r="I10" s="116">
        <v>73193.057736456598</v>
      </c>
      <c r="J10" s="116">
        <v>10919.614766491326</v>
      </c>
      <c r="K10" s="117">
        <v>13732502</v>
      </c>
      <c r="L10" s="119"/>
    </row>
    <row r="11" spans="1:13" s="5" customFormat="1" ht="15.6">
      <c r="A11" s="122" t="s">
        <v>69</v>
      </c>
      <c r="B11" s="123"/>
      <c r="C11" s="116"/>
      <c r="D11" s="116"/>
      <c r="E11" s="117"/>
      <c r="F11" s="121"/>
      <c r="G11" s="114"/>
      <c r="H11" s="123"/>
      <c r="I11" s="116"/>
      <c r="J11" s="116"/>
      <c r="K11" s="117"/>
      <c r="L11" s="119"/>
    </row>
    <row r="12" spans="1:13" s="5" customFormat="1" ht="15.6">
      <c r="A12" s="2045" t="s">
        <v>22</v>
      </c>
      <c r="B12" s="2046"/>
      <c r="C12" s="124">
        <f>SUM(C4:C11)</f>
        <v>4266.26226354343</v>
      </c>
      <c r="D12" s="124">
        <f>SUM(D4:D11)</f>
        <v>636.5086135323553</v>
      </c>
      <c r="E12" s="125">
        <f>SUM(E4:E11)</f>
        <v>811296</v>
      </c>
      <c r="F12" s="121">
        <v>52981010</v>
      </c>
      <c r="G12" s="2045" t="s">
        <v>22</v>
      </c>
      <c r="H12" s="2046"/>
      <c r="I12" s="124">
        <f>SUM(I4:I10)</f>
        <v>137005.0577364566</v>
      </c>
      <c r="J12" s="124">
        <f>SUM(J4:J10)</f>
        <v>20417.009286915938</v>
      </c>
      <c r="K12" s="125">
        <f>SUM(K4:K10)</f>
        <v>25676432</v>
      </c>
      <c r="L12" s="119"/>
    </row>
    <row r="13" spans="1:13" s="5" customFormat="1" ht="15.6">
      <c r="A13" s="126"/>
      <c r="B13" s="127"/>
      <c r="C13" s="128">
        <f>C12+I12++O12</f>
        <v>141271.32000000004</v>
      </c>
      <c r="D13" s="128">
        <f>D12+J12++P12</f>
        <v>21053.517900448292</v>
      </c>
      <c r="E13" s="128">
        <f>E12+K12++Q12</f>
        <v>26487728</v>
      </c>
      <c r="F13" s="118"/>
      <c r="G13" s="130"/>
      <c r="H13" s="130"/>
      <c r="I13" s="131"/>
      <c r="J13" s="130"/>
      <c r="K13" s="130"/>
      <c r="L13" s="132"/>
    </row>
    <row r="14" spans="1:13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 t="e">
        <f>SUBTOTAL(9,H17:H62)</f>
        <v>#REF!</v>
      </c>
      <c r="I14" s="137" t="e">
        <f>SUBTOTAL(9,I17:I62)</f>
        <v>#REF!</v>
      </c>
      <c r="J14" s="137" t="e">
        <f>SUBTOTAL(9,J17:J62)</f>
        <v>#REF!</v>
      </c>
      <c r="K14" s="139"/>
      <c r="L14" s="45"/>
    </row>
    <row r="15" spans="1:13" s="5" customFormat="1" ht="15.6">
      <c r="A15" s="2047" t="s">
        <v>24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29</v>
      </c>
      <c r="H15" s="2054"/>
      <c r="I15" s="2053" t="s">
        <v>30</v>
      </c>
      <c r="J15" s="2055"/>
      <c r="K15" s="2041" t="s">
        <v>31</v>
      </c>
      <c r="L15" s="2042"/>
      <c r="M15" s="2043" t="s">
        <v>32</v>
      </c>
    </row>
    <row r="16" spans="1:13" s="5" customFormat="1" ht="15.6">
      <c r="A16" s="2048"/>
      <c r="B16" s="2050"/>
      <c r="C16" s="2050"/>
      <c r="D16" s="2050"/>
      <c r="E16" s="2050"/>
      <c r="F16" s="2052"/>
      <c r="G16" s="142" t="s">
        <v>33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44"/>
    </row>
    <row r="17" spans="1:14" s="5" customFormat="1" ht="13.5" customHeight="1">
      <c r="A17" s="105">
        <v>44712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4246.1059869682213</v>
      </c>
      <c r="L17" s="108">
        <v>633.55005987891639</v>
      </c>
      <c r="M17" s="106"/>
      <c r="N17" s="45">
        <v>633.55005987891366</v>
      </c>
    </row>
    <row r="18" spans="1:14" s="5" customFormat="1" ht="13.5" customHeight="1">
      <c r="A18" s="36">
        <v>44725</v>
      </c>
      <c r="B18" s="173" t="s">
        <v>192</v>
      </c>
      <c r="C18" s="174"/>
      <c r="D18" s="60">
        <v>1</v>
      </c>
      <c r="E18" s="59"/>
      <c r="F18" s="61"/>
      <c r="G18" s="175">
        <v>137726</v>
      </c>
      <c r="H18" s="78">
        <v>20524.310000000001</v>
      </c>
      <c r="I18" s="176"/>
      <c r="J18" s="102"/>
      <c r="K18" s="83">
        <f t="shared" ref="K18:L18" si="0">K17+G18-I18</f>
        <v>141972.10598696821</v>
      </c>
      <c r="L18" s="62">
        <f t="shared" si="0"/>
        <v>21157.860059878916</v>
      </c>
      <c r="M18" s="58"/>
      <c r="N18" s="45"/>
    </row>
    <row r="19" spans="1:14" s="5" customFormat="1" ht="13.5" customHeight="1">
      <c r="A19" s="36">
        <v>44725</v>
      </c>
      <c r="B19" s="173" t="s">
        <v>214</v>
      </c>
      <c r="C19" s="174"/>
      <c r="D19" s="60"/>
      <c r="E19" s="59" t="s">
        <v>215</v>
      </c>
      <c r="F19" s="61"/>
      <c r="G19" s="175"/>
      <c r="H19" s="78"/>
      <c r="I19" s="176"/>
      <c r="J19" s="212">
        <v>26</v>
      </c>
      <c r="K19" s="83">
        <f t="shared" ref="K19:K22" si="1">K18+G19-I19</f>
        <v>141972.10598696821</v>
      </c>
      <c r="L19" s="62">
        <f t="shared" ref="L19:L22" si="2">L18+H19-J19</f>
        <v>21131.860059878916</v>
      </c>
      <c r="M19" s="58"/>
      <c r="N19" s="45"/>
    </row>
    <row r="20" spans="1:14" s="5" customFormat="1" ht="13.5" customHeight="1">
      <c r="A20" s="36">
        <v>44733</v>
      </c>
      <c r="B20" s="159" t="s">
        <v>193</v>
      </c>
      <c r="C20" s="160"/>
      <c r="D20" s="37">
        <v>2</v>
      </c>
      <c r="E20" s="33" t="s">
        <v>60</v>
      </c>
      <c r="F20" s="35"/>
      <c r="G20" s="103">
        <v>19.829999999999998</v>
      </c>
      <c r="H20" s="77" t="e">
        <f>G20/'통장내역(환율표)'!#REF!</f>
        <v>#REF!</v>
      </c>
      <c r="I20" s="169"/>
      <c r="J20" s="170" t="e">
        <f>I20/'통장내역(환율표)'!#REF!</f>
        <v>#REF!</v>
      </c>
      <c r="K20" s="82">
        <f t="shared" si="1"/>
        <v>141991.93598696819</v>
      </c>
      <c r="L20" s="38" t="e">
        <f t="shared" si="2"/>
        <v>#REF!</v>
      </c>
      <c r="M20" s="34"/>
      <c r="N20" s="45" t="e">
        <f>N17-J20+H20</f>
        <v>#REF!</v>
      </c>
    </row>
    <row r="21" spans="1:14" s="5" customFormat="1" ht="13.5" customHeight="1">
      <c r="A21" s="36">
        <v>44737</v>
      </c>
      <c r="B21" s="159" t="s">
        <v>205</v>
      </c>
      <c r="C21" s="160"/>
      <c r="D21" s="37">
        <v>3</v>
      </c>
      <c r="E21" s="33" t="s">
        <v>21</v>
      </c>
      <c r="F21" s="35"/>
      <c r="G21" s="103"/>
      <c r="H21" s="77"/>
      <c r="I21" s="169">
        <v>300</v>
      </c>
      <c r="J21" s="170" t="e">
        <f>I21/'통장내역(환율표)'!#REF!</f>
        <v>#REF!</v>
      </c>
      <c r="K21" s="82">
        <f t="shared" si="1"/>
        <v>141691.93598696819</v>
      </c>
      <c r="L21" s="38" t="e">
        <f t="shared" si="2"/>
        <v>#REF!</v>
      </c>
      <c r="M21" s="34" t="s">
        <v>210</v>
      </c>
      <c r="N21" s="45" t="e">
        <f>N20-J21+H21</f>
        <v>#REF!</v>
      </c>
    </row>
    <row r="22" spans="1:14" s="5" customFormat="1" ht="13.5" customHeight="1">
      <c r="A22" s="215">
        <v>44737</v>
      </c>
      <c r="B22" s="216" t="s">
        <v>212</v>
      </c>
      <c r="C22" s="217"/>
      <c r="D22" s="218">
        <v>3</v>
      </c>
      <c r="E22" s="219" t="s">
        <v>21</v>
      </c>
      <c r="F22" s="220"/>
      <c r="G22" s="221"/>
      <c r="H22" s="222"/>
      <c r="I22" s="223" t="e">
        <f>J22*'통장내역(환율표)'!#REF!</f>
        <v>#REF!</v>
      </c>
      <c r="J22" s="170">
        <v>591.74985931992512</v>
      </c>
      <c r="K22" s="224" t="e">
        <f t="shared" si="1"/>
        <v>#REF!</v>
      </c>
      <c r="L22" s="225" t="e">
        <f t="shared" si="2"/>
        <v>#REF!</v>
      </c>
      <c r="M22" s="226" t="s">
        <v>210</v>
      </c>
      <c r="N22" s="45" t="e">
        <f t="shared" ref="N22:N62" si="3">N21-J22+H22</f>
        <v>#REF!</v>
      </c>
    </row>
    <row r="23" spans="1:14" s="5" customFormat="1" ht="13.5" customHeight="1">
      <c r="A23" s="215">
        <v>44737</v>
      </c>
      <c r="B23" s="216" t="s">
        <v>213</v>
      </c>
      <c r="C23" s="217"/>
      <c r="D23" s="218">
        <v>3</v>
      </c>
      <c r="E23" s="219" t="s">
        <v>21</v>
      </c>
      <c r="F23" s="220"/>
      <c r="G23" s="221"/>
      <c r="H23" s="222"/>
      <c r="I23" s="223" t="e">
        <f>7703.4-I22</f>
        <v>#REF!</v>
      </c>
      <c r="J23" s="212" t="e">
        <f>I23/'통장내역(환율표)'!#REF!</f>
        <v>#REF!</v>
      </c>
      <c r="K23" s="224" t="e">
        <f t="shared" ref="K23:K38" si="4">K22+G23-I23</f>
        <v>#REF!</v>
      </c>
      <c r="L23" s="225" t="e">
        <f t="shared" ref="L23:L38" si="5">L22+H23-J23</f>
        <v>#REF!</v>
      </c>
      <c r="M23" s="226"/>
      <c r="N23" s="45" t="e">
        <f>20498.31-J23</f>
        <v>#REF!</v>
      </c>
    </row>
    <row r="24" spans="1:14" s="5" customFormat="1" ht="13.5" customHeight="1">
      <c r="A24" s="36">
        <v>44737</v>
      </c>
      <c r="B24" s="159" t="s">
        <v>206</v>
      </c>
      <c r="C24" s="160"/>
      <c r="D24" s="37">
        <v>3</v>
      </c>
      <c r="E24" s="33" t="s">
        <v>21</v>
      </c>
      <c r="F24" s="35"/>
      <c r="G24" s="103"/>
      <c r="H24" s="77"/>
      <c r="I24" s="169">
        <v>13500</v>
      </c>
      <c r="J24" s="212" t="e">
        <f>I24/'통장내역(환율표)'!#REF!</f>
        <v>#REF!</v>
      </c>
      <c r="K24" s="82" t="e">
        <f t="shared" si="4"/>
        <v>#REF!</v>
      </c>
      <c r="L24" s="38" t="e">
        <f t="shared" si="5"/>
        <v>#REF!</v>
      </c>
      <c r="M24" s="34" t="s">
        <v>210</v>
      </c>
      <c r="N24" s="45" t="e">
        <f>N23-J24+H24</f>
        <v>#REF!</v>
      </c>
    </row>
    <row r="25" spans="1:14" s="5" customFormat="1" ht="13.5" customHeight="1">
      <c r="A25" s="36">
        <v>44737</v>
      </c>
      <c r="B25" s="159" t="s">
        <v>207</v>
      </c>
      <c r="C25" s="160"/>
      <c r="D25" s="37">
        <v>3</v>
      </c>
      <c r="E25" s="33" t="s">
        <v>21</v>
      </c>
      <c r="F25" s="35"/>
      <c r="G25" s="103"/>
      <c r="H25" s="77"/>
      <c r="I25" s="169">
        <v>2552.2900000000009</v>
      </c>
      <c r="J25" s="212" t="e">
        <f>I25/'통장내역(환율표)'!#REF!</f>
        <v>#REF!</v>
      </c>
      <c r="K25" s="82" t="e">
        <f t="shared" si="4"/>
        <v>#REF!</v>
      </c>
      <c r="L25" s="38" t="e">
        <f t="shared" si="5"/>
        <v>#REF!</v>
      </c>
      <c r="M25" s="34" t="s">
        <v>210</v>
      </c>
      <c r="N25" s="45" t="e">
        <f t="shared" si="3"/>
        <v>#REF!</v>
      </c>
    </row>
    <row r="26" spans="1:14" s="5" customFormat="1" ht="13.5" customHeight="1">
      <c r="A26" s="36">
        <v>44737</v>
      </c>
      <c r="B26" s="159" t="s">
        <v>208</v>
      </c>
      <c r="C26" s="160"/>
      <c r="D26" s="37">
        <v>3</v>
      </c>
      <c r="E26" s="33" t="s">
        <v>21</v>
      </c>
      <c r="F26" s="35"/>
      <c r="G26" s="103"/>
      <c r="H26" s="77"/>
      <c r="I26" s="169">
        <v>20000</v>
      </c>
      <c r="J26" s="212" t="e">
        <f>I26/'통장내역(환율표)'!#REF!</f>
        <v>#REF!</v>
      </c>
      <c r="K26" s="82" t="e">
        <f t="shared" si="4"/>
        <v>#REF!</v>
      </c>
      <c r="L26" s="38" t="e">
        <f t="shared" si="5"/>
        <v>#REF!</v>
      </c>
      <c r="M26" s="34" t="s">
        <v>210</v>
      </c>
      <c r="N26" s="45" t="e">
        <f t="shared" si="3"/>
        <v>#REF!</v>
      </c>
    </row>
    <row r="27" spans="1:14" s="5" customFormat="1" ht="13.5" customHeight="1">
      <c r="A27" s="36">
        <v>44737</v>
      </c>
      <c r="B27" s="159" t="s">
        <v>209</v>
      </c>
      <c r="C27" s="160"/>
      <c r="D27" s="37">
        <v>3</v>
      </c>
      <c r="E27" s="33" t="s">
        <v>21</v>
      </c>
      <c r="F27" s="35"/>
      <c r="G27" s="103"/>
      <c r="H27" s="77"/>
      <c r="I27" s="169">
        <v>7.2</v>
      </c>
      <c r="J27" s="212" t="e">
        <f>I27/'통장내역(환율표)'!#REF!</f>
        <v>#REF!</v>
      </c>
      <c r="K27" s="82" t="e">
        <f t="shared" si="4"/>
        <v>#REF!</v>
      </c>
      <c r="L27" s="38" t="e">
        <f t="shared" si="5"/>
        <v>#REF!</v>
      </c>
      <c r="M27" s="34"/>
      <c r="N27" s="45" t="e">
        <f t="shared" si="3"/>
        <v>#REF!</v>
      </c>
    </row>
    <row r="28" spans="1:14" s="5" customFormat="1" ht="13.5" customHeight="1">
      <c r="A28" s="36">
        <v>44737</v>
      </c>
      <c r="B28" s="159" t="s">
        <v>205</v>
      </c>
      <c r="C28" s="160"/>
      <c r="D28" s="37">
        <v>4</v>
      </c>
      <c r="E28" s="33" t="s">
        <v>21</v>
      </c>
      <c r="F28" s="35"/>
      <c r="G28" s="103"/>
      <c r="H28" s="77"/>
      <c r="I28" s="169">
        <v>300</v>
      </c>
      <c r="J28" s="212" t="e">
        <f>I28/'통장내역(환율표)'!#REF!</f>
        <v>#REF!</v>
      </c>
      <c r="K28" s="82" t="e">
        <f t="shared" si="4"/>
        <v>#REF!</v>
      </c>
      <c r="L28" s="38" t="e">
        <f t="shared" si="5"/>
        <v>#REF!</v>
      </c>
      <c r="M28" s="34" t="s">
        <v>211</v>
      </c>
      <c r="N28" s="45" t="e">
        <f t="shared" si="3"/>
        <v>#REF!</v>
      </c>
    </row>
    <row r="29" spans="1:14" s="5" customFormat="1" ht="13.5" customHeight="1">
      <c r="A29" s="36">
        <v>44737</v>
      </c>
      <c r="B29" s="159" t="s">
        <v>207</v>
      </c>
      <c r="C29" s="160"/>
      <c r="D29" s="37">
        <v>4</v>
      </c>
      <c r="E29" s="33" t="s">
        <v>21</v>
      </c>
      <c r="F29" s="35"/>
      <c r="G29" s="103"/>
      <c r="H29" s="77"/>
      <c r="I29" s="169">
        <v>427.5</v>
      </c>
      <c r="J29" s="212" t="e">
        <f>I29/'통장내역(환율표)'!#REF!</f>
        <v>#REF!</v>
      </c>
      <c r="K29" s="82" t="e">
        <f t="shared" si="4"/>
        <v>#REF!</v>
      </c>
      <c r="L29" s="38" t="e">
        <f t="shared" si="5"/>
        <v>#REF!</v>
      </c>
      <c r="M29" s="34" t="s">
        <v>211</v>
      </c>
      <c r="N29" s="45" t="e">
        <f t="shared" si="3"/>
        <v>#REF!</v>
      </c>
    </row>
    <row r="30" spans="1:14" s="5" customFormat="1" ht="13.5" customHeight="1">
      <c r="A30" s="36">
        <v>44737</v>
      </c>
      <c r="B30" s="159" t="s">
        <v>206</v>
      </c>
      <c r="C30" s="160"/>
      <c r="D30" s="37">
        <v>4</v>
      </c>
      <c r="E30" s="33" t="s">
        <v>21</v>
      </c>
      <c r="F30" s="35"/>
      <c r="G30" s="103"/>
      <c r="H30" s="77"/>
      <c r="I30" s="169">
        <v>9450</v>
      </c>
      <c r="J30" s="212" t="e">
        <f>I30/'통장내역(환율표)'!#REF!</f>
        <v>#REF!</v>
      </c>
      <c r="K30" s="82" t="e">
        <f t="shared" si="4"/>
        <v>#REF!</v>
      </c>
      <c r="L30" s="38" t="e">
        <f t="shared" si="5"/>
        <v>#REF!</v>
      </c>
      <c r="M30" s="34" t="s">
        <v>211</v>
      </c>
      <c r="N30" s="45" t="e">
        <f t="shared" si="3"/>
        <v>#REF!</v>
      </c>
    </row>
    <row r="31" spans="1:14" s="5" customFormat="1" ht="13.5" customHeight="1">
      <c r="A31" s="36">
        <v>44737</v>
      </c>
      <c r="B31" s="159" t="s">
        <v>208</v>
      </c>
      <c r="C31" s="160"/>
      <c r="D31" s="37">
        <v>4</v>
      </c>
      <c r="E31" s="33" t="s">
        <v>21</v>
      </c>
      <c r="F31" s="35"/>
      <c r="G31" s="103"/>
      <c r="H31" s="77"/>
      <c r="I31" s="169">
        <v>9800</v>
      </c>
      <c r="J31" s="212" t="e">
        <f>I31/'통장내역(환율표)'!#REF!</f>
        <v>#REF!</v>
      </c>
      <c r="K31" s="82" t="e">
        <f t="shared" si="4"/>
        <v>#REF!</v>
      </c>
      <c r="L31" s="38" t="e">
        <f t="shared" si="5"/>
        <v>#REF!</v>
      </c>
      <c r="M31" s="34" t="s">
        <v>211</v>
      </c>
      <c r="N31" s="45" t="e">
        <f t="shared" si="3"/>
        <v>#REF!</v>
      </c>
    </row>
    <row r="32" spans="1:14" s="5" customFormat="1" ht="13.5" customHeight="1">
      <c r="A32" s="36">
        <v>44737</v>
      </c>
      <c r="B32" s="159" t="s">
        <v>194</v>
      </c>
      <c r="C32" s="160"/>
      <c r="D32" s="37">
        <v>4</v>
      </c>
      <c r="E32" s="33" t="s">
        <v>21</v>
      </c>
      <c r="F32" s="35"/>
      <c r="G32" s="103"/>
      <c r="H32" s="77"/>
      <c r="I32" s="169">
        <v>7.2</v>
      </c>
      <c r="J32" s="212" t="e">
        <f>I32/'통장내역(환율표)'!#REF!</f>
        <v>#REF!</v>
      </c>
      <c r="K32" s="82" t="e">
        <f t="shared" si="4"/>
        <v>#REF!</v>
      </c>
      <c r="L32" s="38" t="e">
        <f t="shared" si="5"/>
        <v>#REF!</v>
      </c>
      <c r="M32" s="34"/>
      <c r="N32" s="45" t="e">
        <f t="shared" si="3"/>
        <v>#REF!</v>
      </c>
    </row>
    <row r="33" spans="1:14" s="5" customFormat="1" ht="13.5" customHeight="1">
      <c r="A33" s="36">
        <v>44737</v>
      </c>
      <c r="B33" s="159" t="s">
        <v>195</v>
      </c>
      <c r="C33" s="160"/>
      <c r="D33" s="37">
        <v>5</v>
      </c>
      <c r="E33" s="33" t="s">
        <v>216</v>
      </c>
      <c r="F33" s="35" t="s">
        <v>217</v>
      </c>
      <c r="G33" s="103"/>
      <c r="H33" s="77"/>
      <c r="I33" s="169">
        <v>19440</v>
      </c>
      <c r="J33" s="212" t="e">
        <f>I33/'통장내역(환율표)'!#REF!</f>
        <v>#REF!</v>
      </c>
      <c r="K33" s="82" t="e">
        <f t="shared" si="4"/>
        <v>#REF!</v>
      </c>
      <c r="L33" s="38" t="e">
        <f t="shared" si="5"/>
        <v>#REF!</v>
      </c>
      <c r="M33" s="34"/>
      <c r="N33" s="45" t="e">
        <f t="shared" si="3"/>
        <v>#REF!</v>
      </c>
    </row>
    <row r="34" spans="1:14" s="5" customFormat="1" ht="13.5" customHeight="1">
      <c r="A34" s="36">
        <v>44737</v>
      </c>
      <c r="B34" s="159" t="s">
        <v>194</v>
      </c>
      <c r="C34" s="160"/>
      <c r="D34" s="37">
        <v>5</v>
      </c>
      <c r="E34" s="33" t="s">
        <v>21</v>
      </c>
      <c r="F34" s="35"/>
      <c r="G34" s="103"/>
      <c r="H34" s="77"/>
      <c r="I34" s="169">
        <v>7.2</v>
      </c>
      <c r="J34" s="212" t="e">
        <f>I34/'통장내역(환율표)'!#REF!</f>
        <v>#REF!</v>
      </c>
      <c r="K34" s="82" t="e">
        <f t="shared" si="4"/>
        <v>#REF!</v>
      </c>
      <c r="L34" s="38" t="e">
        <f t="shared" si="5"/>
        <v>#REF!</v>
      </c>
      <c r="M34" s="34"/>
      <c r="N34" s="45" t="e">
        <f t="shared" si="3"/>
        <v>#REF!</v>
      </c>
    </row>
    <row r="35" spans="1:14" s="5" customFormat="1" ht="13.5" customHeight="1">
      <c r="A35" s="36">
        <v>44737</v>
      </c>
      <c r="B35" s="159" t="s">
        <v>196</v>
      </c>
      <c r="C35" s="160"/>
      <c r="D35" s="37">
        <v>6</v>
      </c>
      <c r="E35" s="33" t="s">
        <v>216</v>
      </c>
      <c r="F35" s="35" t="s">
        <v>217</v>
      </c>
      <c r="G35" s="103"/>
      <c r="H35" s="77"/>
      <c r="I35" s="169">
        <v>19440</v>
      </c>
      <c r="J35" s="212" t="e">
        <f>I35/'통장내역(환율표)'!#REF!</f>
        <v>#REF!</v>
      </c>
      <c r="K35" s="82" t="e">
        <f t="shared" si="4"/>
        <v>#REF!</v>
      </c>
      <c r="L35" s="38" t="e">
        <f t="shared" si="5"/>
        <v>#REF!</v>
      </c>
      <c r="M35" s="34"/>
      <c r="N35" s="45" t="e">
        <f t="shared" si="3"/>
        <v>#REF!</v>
      </c>
    </row>
    <row r="36" spans="1:14" s="5" customFormat="1" ht="13.5" customHeight="1">
      <c r="A36" s="36">
        <v>44737</v>
      </c>
      <c r="B36" s="159" t="s">
        <v>194</v>
      </c>
      <c r="C36" s="160"/>
      <c r="D36" s="37">
        <v>6</v>
      </c>
      <c r="E36" s="33" t="s">
        <v>21</v>
      </c>
      <c r="F36" s="35"/>
      <c r="G36" s="103"/>
      <c r="H36" s="77"/>
      <c r="I36" s="169">
        <v>7.2</v>
      </c>
      <c r="J36" s="212" t="e">
        <f>I36/'통장내역(환율표)'!#REF!</f>
        <v>#REF!</v>
      </c>
      <c r="K36" s="82" t="e">
        <f t="shared" si="4"/>
        <v>#REF!</v>
      </c>
      <c r="L36" s="38" t="e">
        <f t="shared" si="5"/>
        <v>#REF!</v>
      </c>
      <c r="M36" s="34"/>
      <c r="N36" s="45" t="e">
        <f t="shared" si="3"/>
        <v>#REF!</v>
      </c>
    </row>
    <row r="37" spans="1:14" s="5" customFormat="1" ht="13.5" customHeight="1">
      <c r="A37" s="36">
        <v>44737</v>
      </c>
      <c r="B37" s="159" t="s">
        <v>197</v>
      </c>
      <c r="C37" s="160"/>
      <c r="D37" s="37">
        <v>7</v>
      </c>
      <c r="E37" s="33" t="s">
        <v>21</v>
      </c>
      <c r="F37" s="35"/>
      <c r="G37" s="103"/>
      <c r="H37" s="77"/>
      <c r="I37" s="169">
        <v>422.63</v>
      </c>
      <c r="J37" s="212" t="e">
        <f>I37/'통장내역(환율표)'!#REF!</f>
        <v>#REF!</v>
      </c>
      <c r="K37" s="82" t="e">
        <f t="shared" si="4"/>
        <v>#REF!</v>
      </c>
      <c r="L37" s="38" t="e">
        <f t="shared" si="5"/>
        <v>#REF!</v>
      </c>
      <c r="M37" s="34"/>
      <c r="N37" s="45" t="e">
        <f t="shared" si="3"/>
        <v>#REF!</v>
      </c>
    </row>
    <row r="38" spans="1:14" s="5" customFormat="1" ht="13.5" customHeight="1">
      <c r="A38" s="36">
        <v>44737</v>
      </c>
      <c r="B38" s="159" t="s">
        <v>194</v>
      </c>
      <c r="C38" s="160"/>
      <c r="D38" s="37">
        <v>7</v>
      </c>
      <c r="E38" s="33" t="s">
        <v>21</v>
      </c>
      <c r="F38" s="35"/>
      <c r="G38" s="103"/>
      <c r="H38" s="77"/>
      <c r="I38" s="169">
        <v>3.6</v>
      </c>
      <c r="J38" s="212" t="e">
        <f>I38/'통장내역(환율표)'!#REF!</f>
        <v>#REF!</v>
      </c>
      <c r="K38" s="82" t="e">
        <f t="shared" si="4"/>
        <v>#REF!</v>
      </c>
      <c r="L38" s="38" t="e">
        <f t="shared" si="5"/>
        <v>#REF!</v>
      </c>
      <c r="M38" s="34"/>
      <c r="N38" s="45" t="e">
        <f t="shared" si="3"/>
        <v>#REF!</v>
      </c>
    </row>
    <row r="39" spans="1:14" s="5" customFormat="1" ht="13.5" customHeight="1">
      <c r="A39" s="36">
        <v>44737</v>
      </c>
      <c r="B39" s="159" t="s">
        <v>218</v>
      </c>
      <c r="C39" s="160"/>
      <c r="D39" s="37">
        <v>8</v>
      </c>
      <c r="E39" s="33" t="s">
        <v>21</v>
      </c>
      <c r="F39" s="35"/>
      <c r="G39" s="103"/>
      <c r="H39" s="77"/>
      <c r="I39" s="169">
        <v>2000</v>
      </c>
      <c r="J39" s="212" t="e">
        <f>I39/'통장내역(환율표)'!#REF!</f>
        <v>#REF!</v>
      </c>
      <c r="K39" s="82" t="e">
        <f t="shared" ref="K39:K62" si="6">K38+G39-I39</f>
        <v>#REF!</v>
      </c>
      <c r="L39" s="38" t="e">
        <f t="shared" ref="L39:L62" si="7">L38+H39-J39</f>
        <v>#REF!</v>
      </c>
      <c r="M39" s="34"/>
      <c r="N39" s="45" t="e">
        <f t="shared" si="3"/>
        <v>#REF!</v>
      </c>
    </row>
    <row r="40" spans="1:14" s="5" customFormat="1" ht="13.5" customHeight="1">
      <c r="A40" s="36">
        <v>44737</v>
      </c>
      <c r="B40" s="159" t="s">
        <v>219</v>
      </c>
      <c r="C40" s="160"/>
      <c r="D40" s="37">
        <v>8</v>
      </c>
      <c r="E40" s="33" t="s">
        <v>21</v>
      </c>
      <c r="F40" s="35"/>
      <c r="G40" s="103"/>
      <c r="H40" s="77"/>
      <c r="I40" s="169">
        <v>300</v>
      </c>
      <c r="J40" s="212" t="e">
        <f>I40/'통장내역(환율표)'!#REF!</f>
        <v>#REF!</v>
      </c>
      <c r="K40" s="82" t="e">
        <f t="shared" si="6"/>
        <v>#REF!</v>
      </c>
      <c r="L40" s="38" t="e">
        <f t="shared" si="7"/>
        <v>#REF!</v>
      </c>
      <c r="M40" s="34"/>
      <c r="N40" s="45" t="e">
        <f t="shared" si="3"/>
        <v>#REF!</v>
      </c>
    </row>
    <row r="41" spans="1:14" s="5" customFormat="1" ht="13.5" customHeight="1">
      <c r="A41" s="36">
        <v>44737</v>
      </c>
      <c r="B41" s="159" t="s">
        <v>220</v>
      </c>
      <c r="C41" s="160"/>
      <c r="D41" s="37">
        <v>8</v>
      </c>
      <c r="E41" s="33" t="s">
        <v>21</v>
      </c>
      <c r="F41" s="35"/>
      <c r="G41" s="103"/>
      <c r="H41" s="77"/>
      <c r="I41" s="169">
        <v>4000</v>
      </c>
      <c r="J41" s="212" t="e">
        <f>I41/'통장내역(환율표)'!#REF!</f>
        <v>#REF!</v>
      </c>
      <c r="K41" s="82" t="e">
        <f t="shared" si="6"/>
        <v>#REF!</v>
      </c>
      <c r="L41" s="38" t="e">
        <f t="shared" si="7"/>
        <v>#REF!</v>
      </c>
      <c r="M41" s="34"/>
      <c r="N41" s="45" t="e">
        <f t="shared" si="3"/>
        <v>#REF!</v>
      </c>
    </row>
    <row r="42" spans="1:14" s="5" customFormat="1" ht="13.5" customHeight="1">
      <c r="A42" s="36">
        <v>44737</v>
      </c>
      <c r="B42" s="159" t="s">
        <v>221</v>
      </c>
      <c r="C42" s="160"/>
      <c r="D42" s="37">
        <v>8</v>
      </c>
      <c r="E42" s="33" t="s">
        <v>21</v>
      </c>
      <c r="F42" s="35"/>
      <c r="G42" s="103"/>
      <c r="H42" s="77"/>
      <c r="I42" s="169">
        <v>1000</v>
      </c>
      <c r="J42" s="212" t="e">
        <f>I42/'통장내역(환율표)'!#REF!</f>
        <v>#REF!</v>
      </c>
      <c r="K42" s="82" t="e">
        <f t="shared" si="6"/>
        <v>#REF!</v>
      </c>
      <c r="L42" s="38" t="e">
        <f t="shared" si="7"/>
        <v>#REF!</v>
      </c>
      <c r="M42" s="34"/>
      <c r="N42" s="45" t="e">
        <f t="shared" si="3"/>
        <v>#REF!</v>
      </c>
    </row>
    <row r="43" spans="1:14" s="5" customFormat="1" ht="13.5" customHeight="1">
      <c r="A43" s="36">
        <v>44737</v>
      </c>
      <c r="B43" s="159" t="s">
        <v>222</v>
      </c>
      <c r="C43" s="160"/>
      <c r="D43" s="37">
        <v>8</v>
      </c>
      <c r="E43" s="33" t="s">
        <v>21</v>
      </c>
      <c r="F43" s="35"/>
      <c r="G43" s="103"/>
      <c r="H43" s="77"/>
      <c r="I43" s="169">
        <v>80</v>
      </c>
      <c r="J43" s="212" t="e">
        <f>I43/'통장내역(환율표)'!#REF!</f>
        <v>#REF!</v>
      </c>
      <c r="K43" s="82" t="e">
        <f t="shared" si="6"/>
        <v>#REF!</v>
      </c>
      <c r="L43" s="38" t="e">
        <f t="shared" si="7"/>
        <v>#REF!</v>
      </c>
      <c r="M43" s="34"/>
      <c r="N43" s="45" t="e">
        <f t="shared" si="3"/>
        <v>#REF!</v>
      </c>
    </row>
    <row r="44" spans="1:14" s="5" customFormat="1" ht="13.5" customHeight="1">
      <c r="A44" s="36">
        <v>44737</v>
      </c>
      <c r="B44" s="159" t="s">
        <v>194</v>
      </c>
      <c r="C44" s="160"/>
      <c r="D44" s="37">
        <v>8</v>
      </c>
      <c r="E44" s="33" t="s">
        <v>21</v>
      </c>
      <c r="F44" s="35"/>
      <c r="G44" s="103"/>
      <c r="H44" s="77"/>
      <c r="I44" s="169">
        <v>3.6</v>
      </c>
      <c r="J44" s="212" t="e">
        <f>I44/'통장내역(환율표)'!#REF!</f>
        <v>#REF!</v>
      </c>
      <c r="K44" s="82" t="e">
        <f t="shared" si="6"/>
        <v>#REF!</v>
      </c>
      <c r="L44" s="38" t="e">
        <f t="shared" si="7"/>
        <v>#REF!</v>
      </c>
      <c r="M44" s="34"/>
      <c r="N44" s="45" t="e">
        <f t="shared" si="3"/>
        <v>#REF!</v>
      </c>
    </row>
    <row r="45" spans="1:14" s="5" customFormat="1" ht="13.5" customHeight="1">
      <c r="A45" s="36">
        <v>44737</v>
      </c>
      <c r="B45" s="159" t="s">
        <v>198</v>
      </c>
      <c r="C45" s="160"/>
      <c r="D45" s="37">
        <v>9</v>
      </c>
      <c r="E45" s="33" t="s">
        <v>21</v>
      </c>
      <c r="F45" s="35"/>
      <c r="G45" s="103"/>
      <c r="H45" s="77"/>
      <c r="I45" s="169">
        <v>4741.1000000000004</v>
      </c>
      <c r="J45" s="212" t="e">
        <f>I45/'통장내역(환율표)'!#REF!</f>
        <v>#REF!</v>
      </c>
      <c r="K45" s="82" t="e">
        <f t="shared" si="6"/>
        <v>#REF!</v>
      </c>
      <c r="L45" s="38" t="e">
        <f t="shared" si="7"/>
        <v>#REF!</v>
      </c>
      <c r="M45" s="34"/>
      <c r="N45" s="45" t="e">
        <f t="shared" si="3"/>
        <v>#REF!</v>
      </c>
    </row>
    <row r="46" spans="1:14" s="5" customFormat="1" ht="13.5" customHeight="1">
      <c r="A46" s="36">
        <v>44737</v>
      </c>
      <c r="B46" s="159" t="s">
        <v>194</v>
      </c>
      <c r="C46" s="160"/>
      <c r="D46" s="37">
        <v>9</v>
      </c>
      <c r="E46" s="33" t="s">
        <v>21</v>
      </c>
      <c r="F46" s="35"/>
      <c r="G46" s="103"/>
      <c r="H46" s="77"/>
      <c r="I46" s="169">
        <v>3.6</v>
      </c>
      <c r="J46" s="212" t="e">
        <f>I46/'통장내역(환율표)'!#REF!</f>
        <v>#REF!</v>
      </c>
      <c r="K46" s="82" t="e">
        <f t="shared" si="6"/>
        <v>#REF!</v>
      </c>
      <c r="L46" s="38" t="e">
        <f t="shared" si="7"/>
        <v>#REF!</v>
      </c>
      <c r="M46" s="34"/>
      <c r="N46" s="45" t="e">
        <f t="shared" si="3"/>
        <v>#REF!</v>
      </c>
    </row>
    <row r="47" spans="1:14" s="5" customFormat="1" ht="13.5" customHeight="1">
      <c r="A47" s="40">
        <v>44739</v>
      </c>
      <c r="B47" s="213" t="s">
        <v>199</v>
      </c>
      <c r="C47" s="214"/>
      <c r="D47" s="42" t="s">
        <v>183</v>
      </c>
      <c r="E47" s="41"/>
      <c r="F47" s="43"/>
      <c r="G47" s="53"/>
      <c r="H47" s="76"/>
      <c r="I47" s="87"/>
      <c r="J47" s="86" t="e">
        <f>I47/'통장내역(환율표)'!#REF!</f>
        <v>#REF!</v>
      </c>
      <c r="K47" s="81" t="e">
        <f t="shared" si="6"/>
        <v>#REF!</v>
      </c>
      <c r="L47" s="44" t="e">
        <f t="shared" si="7"/>
        <v>#REF!</v>
      </c>
      <c r="M47" s="51" t="s">
        <v>228</v>
      </c>
      <c r="N47" s="45"/>
    </row>
    <row r="48" spans="1:14" s="5" customFormat="1" ht="13.5" customHeight="1">
      <c r="A48" s="36">
        <v>44739</v>
      </c>
      <c r="B48" s="159" t="s">
        <v>194</v>
      </c>
      <c r="C48" s="160"/>
      <c r="D48" s="37" t="s">
        <v>183</v>
      </c>
      <c r="E48" s="33" t="s">
        <v>21</v>
      </c>
      <c r="F48" s="35"/>
      <c r="G48" s="103"/>
      <c r="H48" s="77"/>
      <c r="I48" s="169">
        <v>7.2</v>
      </c>
      <c r="J48" s="212" t="e">
        <f>I48/'통장내역(환율표)'!#REF!</f>
        <v>#REF!</v>
      </c>
      <c r="K48" s="82" t="e">
        <f t="shared" si="6"/>
        <v>#REF!</v>
      </c>
      <c r="L48" s="38" t="e">
        <f t="shared" si="7"/>
        <v>#REF!</v>
      </c>
      <c r="M48" s="34"/>
      <c r="N48" s="45" t="e">
        <f>N46-J48+H48</f>
        <v>#REF!</v>
      </c>
    </row>
    <row r="49" spans="1:14" s="5" customFormat="1" ht="13.5" customHeight="1">
      <c r="A49" s="36">
        <v>44739</v>
      </c>
      <c r="B49" s="159" t="s">
        <v>200</v>
      </c>
      <c r="C49" s="160"/>
      <c r="D49" s="37">
        <v>10</v>
      </c>
      <c r="E49" s="33" t="s">
        <v>223</v>
      </c>
      <c r="F49" s="35" t="s">
        <v>224</v>
      </c>
      <c r="G49" s="103"/>
      <c r="H49" s="77"/>
      <c r="I49" s="169">
        <v>7533</v>
      </c>
      <c r="J49" s="212" t="e">
        <f>I49/'통장내역(환율표)'!#REF!</f>
        <v>#REF!</v>
      </c>
      <c r="K49" s="82" t="e">
        <f t="shared" si="6"/>
        <v>#REF!</v>
      </c>
      <c r="L49" s="38" t="e">
        <f t="shared" si="7"/>
        <v>#REF!</v>
      </c>
      <c r="M49" s="34"/>
      <c r="N49" s="45" t="e">
        <f t="shared" si="3"/>
        <v>#REF!</v>
      </c>
    </row>
    <row r="50" spans="1:14" s="5" customFormat="1" ht="13.5" customHeight="1">
      <c r="A50" s="36">
        <v>44739</v>
      </c>
      <c r="B50" s="159" t="s">
        <v>194</v>
      </c>
      <c r="C50" s="160"/>
      <c r="D50" s="37">
        <v>10</v>
      </c>
      <c r="E50" s="33" t="s">
        <v>21</v>
      </c>
      <c r="F50" s="35"/>
      <c r="G50" s="103"/>
      <c r="H50" s="77"/>
      <c r="I50" s="169">
        <v>3.6</v>
      </c>
      <c r="J50" s="212" t="e">
        <f>I50/'통장내역(환율표)'!#REF!</f>
        <v>#REF!</v>
      </c>
      <c r="K50" s="82" t="e">
        <f t="shared" si="6"/>
        <v>#REF!</v>
      </c>
      <c r="L50" s="38" t="e">
        <f t="shared" si="7"/>
        <v>#REF!</v>
      </c>
      <c r="M50" s="34"/>
      <c r="N50" s="45" t="e">
        <f t="shared" si="3"/>
        <v>#REF!</v>
      </c>
    </row>
    <row r="51" spans="1:14" s="5" customFormat="1" ht="13.5" customHeight="1">
      <c r="A51" s="36">
        <v>44739</v>
      </c>
      <c r="B51" s="159" t="s">
        <v>184</v>
      </c>
      <c r="C51" s="160"/>
      <c r="D51" s="37">
        <v>11</v>
      </c>
      <c r="E51" s="33" t="s">
        <v>21</v>
      </c>
      <c r="F51" s="35"/>
      <c r="G51" s="103"/>
      <c r="H51" s="77"/>
      <c r="I51" s="169">
        <v>114</v>
      </c>
      <c r="J51" s="212" t="e">
        <f>I51/'통장내역(환율표)'!#REF!</f>
        <v>#REF!</v>
      </c>
      <c r="K51" s="82" t="e">
        <f t="shared" si="6"/>
        <v>#REF!</v>
      </c>
      <c r="L51" s="38" t="e">
        <f t="shared" si="7"/>
        <v>#REF!</v>
      </c>
      <c r="M51" s="34" t="s">
        <v>185</v>
      </c>
      <c r="N51" s="45" t="e">
        <f t="shared" si="3"/>
        <v>#REF!</v>
      </c>
    </row>
    <row r="52" spans="1:14" s="5" customFormat="1" ht="13.5" customHeight="1">
      <c r="A52" s="36">
        <v>44739</v>
      </c>
      <c r="B52" s="159" t="s">
        <v>184</v>
      </c>
      <c r="C52" s="160"/>
      <c r="D52" s="37">
        <v>11</v>
      </c>
      <c r="E52" s="33" t="s">
        <v>21</v>
      </c>
      <c r="F52" s="35"/>
      <c r="G52" s="103"/>
      <c r="H52" s="77"/>
      <c r="I52" s="169">
        <v>400</v>
      </c>
      <c r="J52" s="212" t="e">
        <f>I52/'통장내역(환율표)'!#REF!</f>
        <v>#REF!</v>
      </c>
      <c r="K52" s="82" t="e">
        <f t="shared" si="6"/>
        <v>#REF!</v>
      </c>
      <c r="L52" s="38" t="e">
        <f t="shared" si="7"/>
        <v>#REF!</v>
      </c>
      <c r="M52" s="34" t="s">
        <v>186</v>
      </c>
      <c r="N52" s="45" t="e">
        <f t="shared" si="3"/>
        <v>#REF!</v>
      </c>
    </row>
    <row r="53" spans="1:14" s="5" customFormat="1" ht="13.5" customHeight="1">
      <c r="A53" s="36">
        <v>44739</v>
      </c>
      <c r="B53" s="159" t="s">
        <v>184</v>
      </c>
      <c r="C53" s="160"/>
      <c r="D53" s="37">
        <v>11</v>
      </c>
      <c r="E53" s="33" t="s">
        <v>21</v>
      </c>
      <c r="F53" s="35"/>
      <c r="G53" s="103"/>
      <c r="H53" s="77"/>
      <c r="I53" s="169">
        <v>300</v>
      </c>
      <c r="J53" s="212" t="e">
        <f>I53/'통장내역(환율표)'!#REF!</f>
        <v>#REF!</v>
      </c>
      <c r="K53" s="82" t="e">
        <f t="shared" si="6"/>
        <v>#REF!</v>
      </c>
      <c r="L53" s="38" t="e">
        <f t="shared" si="7"/>
        <v>#REF!</v>
      </c>
      <c r="M53" s="34" t="s">
        <v>187</v>
      </c>
      <c r="N53" s="45" t="e">
        <f t="shared" si="3"/>
        <v>#REF!</v>
      </c>
    </row>
    <row r="54" spans="1:14" s="5" customFormat="1" ht="13.5" customHeight="1">
      <c r="A54" s="36">
        <v>44739</v>
      </c>
      <c r="B54" s="159" t="s">
        <v>194</v>
      </c>
      <c r="C54" s="160"/>
      <c r="D54" s="37">
        <v>11</v>
      </c>
      <c r="E54" s="33" t="s">
        <v>21</v>
      </c>
      <c r="F54" s="35"/>
      <c r="G54" s="103"/>
      <c r="H54" s="77"/>
      <c r="I54" s="169">
        <v>3.6</v>
      </c>
      <c r="J54" s="212" t="e">
        <f>I54/'통장내역(환율표)'!#REF!</f>
        <v>#REF!</v>
      </c>
      <c r="K54" s="82" t="e">
        <f t="shared" si="6"/>
        <v>#REF!</v>
      </c>
      <c r="L54" s="38" t="e">
        <f t="shared" si="7"/>
        <v>#REF!</v>
      </c>
      <c r="M54" s="34"/>
      <c r="N54" s="45" t="e">
        <f t="shared" si="3"/>
        <v>#REF!</v>
      </c>
    </row>
    <row r="55" spans="1:14" s="5" customFormat="1" ht="13.5" customHeight="1">
      <c r="A55" s="36">
        <v>44739</v>
      </c>
      <c r="B55" s="159" t="s">
        <v>201</v>
      </c>
      <c r="C55" s="160"/>
      <c r="D55" s="37">
        <v>12</v>
      </c>
      <c r="E55" s="33" t="s">
        <v>225</v>
      </c>
      <c r="F55" s="35"/>
      <c r="G55" s="103"/>
      <c r="H55" s="77"/>
      <c r="I55" s="169">
        <v>500</v>
      </c>
      <c r="J55" s="212" t="e">
        <f>I55/'통장내역(환율표)'!#REF!</f>
        <v>#REF!</v>
      </c>
      <c r="K55" s="82" t="e">
        <f t="shared" si="6"/>
        <v>#REF!</v>
      </c>
      <c r="L55" s="38" t="e">
        <f t="shared" si="7"/>
        <v>#REF!</v>
      </c>
      <c r="M55" s="34" t="s">
        <v>188</v>
      </c>
      <c r="N55" s="45" t="e">
        <f t="shared" si="3"/>
        <v>#REF!</v>
      </c>
    </row>
    <row r="56" spans="1:14" s="5" customFormat="1" ht="13.5" customHeight="1">
      <c r="A56" s="36">
        <v>44739</v>
      </c>
      <c r="B56" s="159" t="s">
        <v>201</v>
      </c>
      <c r="C56" s="160"/>
      <c r="D56" s="37">
        <v>12</v>
      </c>
      <c r="E56" s="33" t="s">
        <v>225</v>
      </c>
      <c r="F56" s="35"/>
      <c r="G56" s="103"/>
      <c r="H56" s="77"/>
      <c r="I56" s="169">
        <v>399</v>
      </c>
      <c r="J56" s="212" t="e">
        <f>I56/'통장내역(환율표)'!#REF!</f>
        <v>#REF!</v>
      </c>
      <c r="K56" s="82" t="e">
        <f t="shared" si="6"/>
        <v>#REF!</v>
      </c>
      <c r="L56" s="38" t="e">
        <f t="shared" si="7"/>
        <v>#REF!</v>
      </c>
      <c r="M56" s="34" t="s">
        <v>189</v>
      </c>
      <c r="N56" s="45" t="e">
        <f t="shared" si="3"/>
        <v>#REF!</v>
      </c>
    </row>
    <row r="57" spans="1:14" s="5" customFormat="1" ht="13.5" customHeight="1">
      <c r="A57" s="36">
        <v>44739</v>
      </c>
      <c r="B57" s="159" t="s">
        <v>194</v>
      </c>
      <c r="C57" s="160"/>
      <c r="D57" s="37">
        <v>12</v>
      </c>
      <c r="E57" s="33" t="s">
        <v>21</v>
      </c>
      <c r="F57" s="35"/>
      <c r="G57" s="103"/>
      <c r="H57" s="77"/>
      <c r="I57" s="169">
        <v>3.6</v>
      </c>
      <c r="J57" s="212" t="e">
        <f>I57/'통장내역(환율표)'!#REF!</f>
        <v>#REF!</v>
      </c>
      <c r="K57" s="82" t="e">
        <f t="shared" si="6"/>
        <v>#REF!</v>
      </c>
      <c r="L57" s="38" t="e">
        <f t="shared" si="7"/>
        <v>#REF!</v>
      </c>
      <c r="M57" s="34"/>
      <c r="N57" s="45" t="e">
        <f t="shared" si="3"/>
        <v>#REF!</v>
      </c>
    </row>
    <row r="58" spans="1:14" s="5" customFormat="1" ht="13.5" customHeight="1">
      <c r="A58" s="40">
        <v>44739</v>
      </c>
      <c r="B58" s="213" t="s">
        <v>202</v>
      </c>
      <c r="C58" s="214"/>
      <c r="D58" s="42" t="s">
        <v>183</v>
      </c>
      <c r="E58" s="41" t="s">
        <v>216</v>
      </c>
      <c r="F58" s="43" t="s">
        <v>227</v>
      </c>
      <c r="G58" s="53"/>
      <c r="H58" s="76" t="e">
        <f>G58/'통장내역(환율표)'!#REF!</f>
        <v>#REF!</v>
      </c>
      <c r="I58" s="87"/>
      <c r="J58" s="86" t="e">
        <f>I58/'통장내역(환율표)'!#REF!</f>
        <v>#REF!</v>
      </c>
      <c r="K58" s="81" t="e">
        <f t="shared" si="6"/>
        <v>#REF!</v>
      </c>
      <c r="L58" s="44" t="e">
        <f t="shared" si="7"/>
        <v>#REF!</v>
      </c>
      <c r="M58" s="51" t="s">
        <v>190</v>
      </c>
      <c r="N58" s="45"/>
    </row>
    <row r="59" spans="1:14" s="5" customFormat="1" ht="13.5" customHeight="1">
      <c r="A59" s="36">
        <v>44739</v>
      </c>
      <c r="B59" s="159" t="s">
        <v>203</v>
      </c>
      <c r="C59" s="160"/>
      <c r="D59" s="37">
        <v>13</v>
      </c>
      <c r="E59" s="33" t="s">
        <v>15</v>
      </c>
      <c r="F59" s="35" t="s">
        <v>226</v>
      </c>
      <c r="G59" s="103"/>
      <c r="H59" s="77"/>
      <c r="I59" s="169">
        <v>16000</v>
      </c>
      <c r="J59" s="212" t="e">
        <f>I59/'통장내역(환율표)'!#REF!</f>
        <v>#REF!</v>
      </c>
      <c r="K59" s="82" t="e">
        <f t="shared" si="6"/>
        <v>#REF!</v>
      </c>
      <c r="L59" s="38" t="e">
        <f t="shared" si="7"/>
        <v>#REF!</v>
      </c>
      <c r="M59" s="34"/>
      <c r="N59" s="45" t="e">
        <f>N57-J59+H59</f>
        <v>#REF!</v>
      </c>
    </row>
    <row r="60" spans="1:14" s="5" customFormat="1" ht="13.5" customHeight="1">
      <c r="A60" s="36">
        <v>44739</v>
      </c>
      <c r="B60" s="159" t="s">
        <v>194</v>
      </c>
      <c r="C60" s="160"/>
      <c r="D60" s="37">
        <v>13</v>
      </c>
      <c r="E60" s="33" t="s">
        <v>21</v>
      </c>
      <c r="F60" s="35"/>
      <c r="G60" s="103"/>
      <c r="H60" s="77"/>
      <c r="I60" s="169">
        <v>7.2</v>
      </c>
      <c r="J60" s="212" t="e">
        <f>I60/'통장내역(환율표)'!#REF!</f>
        <v>#REF!</v>
      </c>
      <c r="K60" s="82" t="e">
        <f t="shared" si="6"/>
        <v>#REF!</v>
      </c>
      <c r="L60" s="38" t="e">
        <f t="shared" si="7"/>
        <v>#REF!</v>
      </c>
      <c r="M60" s="34"/>
      <c r="N60" s="45" t="e">
        <f t="shared" si="3"/>
        <v>#REF!</v>
      </c>
    </row>
    <row r="61" spans="1:14" s="5" customFormat="1" ht="13.5" customHeight="1">
      <c r="A61" s="36">
        <v>44740</v>
      </c>
      <c r="B61" s="159" t="s">
        <v>204</v>
      </c>
      <c r="C61" s="160"/>
      <c r="D61" s="37">
        <v>14</v>
      </c>
      <c r="E61" s="33" t="s">
        <v>15</v>
      </c>
      <c r="F61" s="35" t="s">
        <v>226</v>
      </c>
      <c r="G61" s="103"/>
      <c r="H61" s="77"/>
      <c r="I61" s="169">
        <v>500</v>
      </c>
      <c r="J61" s="212" t="e">
        <f>I61/'통장내역(환율표)'!#REF!</f>
        <v>#REF!</v>
      </c>
      <c r="K61" s="82" t="e">
        <f t="shared" si="6"/>
        <v>#REF!</v>
      </c>
      <c r="L61" s="38" t="e">
        <f t="shared" si="7"/>
        <v>#REF!</v>
      </c>
      <c r="M61" s="34" t="s">
        <v>191</v>
      </c>
      <c r="N61" s="45" t="e">
        <f t="shared" si="3"/>
        <v>#REF!</v>
      </c>
    </row>
    <row r="62" spans="1:14" s="5" customFormat="1" ht="13.5" customHeight="1">
      <c r="A62" s="36">
        <v>44740</v>
      </c>
      <c r="B62" s="159" t="s">
        <v>194</v>
      </c>
      <c r="C62" s="160"/>
      <c r="D62" s="37">
        <v>14</v>
      </c>
      <c r="E62" s="33" t="s">
        <v>21</v>
      </c>
      <c r="F62" s="35"/>
      <c r="G62" s="103"/>
      <c r="H62" s="77"/>
      <c r="I62" s="169">
        <v>3.6</v>
      </c>
      <c r="J62" s="212" t="e">
        <f>I62/'통장내역(환율표)'!#REF!</f>
        <v>#REF!</v>
      </c>
      <c r="K62" s="82" t="e">
        <f t="shared" si="6"/>
        <v>#REF!</v>
      </c>
      <c r="L62" s="38" t="e">
        <f t="shared" si="7"/>
        <v>#REF!</v>
      </c>
      <c r="M62" s="34"/>
      <c r="N62" s="45" t="e">
        <f t="shared" si="3"/>
        <v>#REF!</v>
      </c>
    </row>
  </sheetData>
  <autoFilter ref="A16:N62" xr:uid="{00000000-0009-0000-0000-000004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5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5"/>
  <sheetViews>
    <sheetView showGridLines="0" topLeftCell="A10" zoomScaleNormal="100" workbookViewId="0">
      <selection activeCell="D14" sqref="D14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41.59765625" customWidth="1"/>
    <col min="14" max="14" width="9.59765625" bestFit="1" customWidth="1"/>
  </cols>
  <sheetData>
    <row r="1" spans="1:13" ht="24">
      <c r="A1" s="1" t="s">
        <v>303</v>
      </c>
      <c r="B1" s="2"/>
      <c r="C1" s="2"/>
      <c r="D1" s="3"/>
      <c r="F1" s="5"/>
      <c r="G1" s="6"/>
      <c r="H1" s="6"/>
      <c r="I1" s="6"/>
      <c r="J1" s="6"/>
      <c r="K1" s="311">
        <v>100066029</v>
      </c>
      <c r="L1" s="5"/>
      <c r="M1" s="5"/>
    </row>
    <row r="2" spans="1:13" s="5" customFormat="1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311">
        <v>100041589</v>
      </c>
      <c r="L2" s="139">
        <v>1200000696</v>
      </c>
    </row>
    <row r="3" spans="1:13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5.6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0">
        <f>K5+E5</f>
        <v>911381</v>
      </c>
    </row>
    <row r="6" spans="1:13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0">
        <f t="shared" ref="L6:L10" si="0">K6+E6</f>
        <v>5479759</v>
      </c>
    </row>
    <row r="7" spans="1:13" s="5" customFormat="1" ht="15.6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0">
        <f t="shared" si="0"/>
        <v>3763448</v>
      </c>
    </row>
    <row r="8" spans="1:13" s="5" customFormat="1" ht="15.6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0">
        <f t="shared" si="0"/>
        <v>3194290</v>
      </c>
    </row>
    <row r="9" spans="1:13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0">
        <f t="shared" si="0"/>
        <v>348277</v>
      </c>
    </row>
    <row r="10" spans="1:13" s="5" customFormat="1" ht="15.6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0">
        <f t="shared" si="0"/>
        <v>24363247</v>
      </c>
    </row>
    <row r="11" spans="1:13" s="5" customFormat="1" ht="15.6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>
        <v>7653455</v>
      </c>
      <c r="L11" s="119"/>
    </row>
    <row r="12" spans="1:13" s="5" customFormat="1" ht="15.6">
      <c r="A12" s="2045" t="s">
        <v>299</v>
      </c>
      <c r="B12" s="2046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2045" t="s">
        <v>299</v>
      </c>
      <c r="H12" s="2046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5.6">
      <c r="A13" s="126"/>
      <c r="B13" s="127"/>
      <c r="C13" s="128">
        <f>C12+I12</f>
        <v>224447.77000000008</v>
      </c>
      <c r="D13" s="128">
        <f t="shared" ref="D13:E13" si="1">D12+J12</f>
        <v>33468.388498427688</v>
      </c>
      <c r="E13" s="242">
        <f t="shared" si="1"/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5.6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 t="e">
        <f>SUBTOTAL(9,I17:I75)</f>
        <v>#REF!</v>
      </c>
      <c r="J14" s="137" t="e">
        <f>SUBTOTAL(9,J17:J75)</f>
        <v>#REF!</v>
      </c>
      <c r="K14" s="139"/>
      <c r="L14" s="45"/>
    </row>
    <row r="15" spans="1:13" s="5" customFormat="1" ht="15.6">
      <c r="A15" s="2047" t="s">
        <v>300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301</v>
      </c>
      <c r="H15" s="2055"/>
      <c r="I15" s="2053" t="s">
        <v>30</v>
      </c>
      <c r="J15" s="2055"/>
      <c r="K15" s="2056" t="s">
        <v>31</v>
      </c>
      <c r="L15" s="2042"/>
      <c r="M15" s="2043" t="s">
        <v>32</v>
      </c>
    </row>
    <row r="16" spans="1:13" s="5" customFormat="1" ht="14.25" customHeight="1">
      <c r="A16" s="2058"/>
      <c r="B16" s="2059"/>
      <c r="C16" s="2059"/>
      <c r="D16" s="2059"/>
      <c r="E16" s="2059"/>
      <c r="F16" s="2060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57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73" t="s">
        <v>232</v>
      </c>
      <c r="C18" s="174"/>
      <c r="D18" s="60">
        <v>1</v>
      </c>
      <c r="E18" s="59"/>
      <c r="F18" s="61"/>
      <c r="G18" s="175">
        <v>240007.24</v>
      </c>
      <c r="H18" s="78">
        <v>35786.57</v>
      </c>
      <c r="I18" s="176"/>
      <c r="J18" s="102"/>
      <c r="K18" s="83">
        <f t="shared" ref="K18:K49" si="2">K17+G18-I18</f>
        <v>240727.85598696821</v>
      </c>
      <c r="L18" s="62">
        <f t="shared" ref="L18:L49" si="3">L17+H18-J18</f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73" t="s">
        <v>288</v>
      </c>
      <c r="C19" s="174"/>
      <c r="D19" s="60"/>
      <c r="E19" s="59" t="s">
        <v>276</v>
      </c>
      <c r="F19" s="61"/>
      <c r="G19" s="175"/>
      <c r="H19" s="78"/>
      <c r="I19" s="176"/>
      <c r="J19" s="186">
        <v>26</v>
      </c>
      <c r="K19" s="83">
        <f t="shared" si="2"/>
        <v>240727.85598696821</v>
      </c>
      <c r="L19" s="62">
        <f t="shared" si="3"/>
        <v>35867.870713084063</v>
      </c>
      <c r="M19" s="58"/>
      <c r="N19" s="45"/>
    </row>
    <row r="20" spans="1:14" s="5" customFormat="1" ht="13.5" customHeight="1">
      <c r="A20" s="229">
        <v>44756</v>
      </c>
      <c r="B20" s="155" t="s">
        <v>275</v>
      </c>
      <c r="C20" s="156"/>
      <c r="D20" s="230">
        <v>2</v>
      </c>
      <c r="E20" s="231" t="s">
        <v>276</v>
      </c>
      <c r="F20" s="232"/>
      <c r="G20" s="233"/>
      <c r="H20" s="234"/>
      <c r="I20" s="235" t="e">
        <f>J20*'통장내역(환율표)'!#REF!</f>
        <v>#REF!</v>
      </c>
      <c r="J20" s="212">
        <v>107.30071308405988</v>
      </c>
      <c r="K20" s="236" t="e">
        <f t="shared" si="2"/>
        <v>#REF!</v>
      </c>
      <c r="L20" s="237">
        <f t="shared" si="3"/>
        <v>35760.57</v>
      </c>
      <c r="M20" s="238" t="s">
        <v>233</v>
      </c>
      <c r="N20" s="45"/>
    </row>
    <row r="21" spans="1:14" s="5" customFormat="1" ht="13.5" customHeight="1">
      <c r="A21" s="229">
        <v>44756</v>
      </c>
      <c r="B21" s="155" t="s">
        <v>273</v>
      </c>
      <c r="C21" s="156"/>
      <c r="D21" s="230">
        <v>2</v>
      </c>
      <c r="E21" s="231" t="s">
        <v>276</v>
      </c>
      <c r="F21" s="232"/>
      <c r="G21" s="233"/>
      <c r="H21" s="234"/>
      <c r="I21" s="235" t="e">
        <f>11384.02-I20</f>
        <v>#REF!</v>
      </c>
      <c r="J21" s="186" t="e">
        <f>I21/'통장내역(환율표)'!#REF!</f>
        <v>#REF!</v>
      </c>
      <c r="K21" s="236" t="e">
        <f t="shared" si="2"/>
        <v>#REF!</v>
      </c>
      <c r="L21" s="237" t="e">
        <f t="shared" si="3"/>
        <v>#REF!</v>
      </c>
      <c r="M21" s="238"/>
      <c r="N21" s="45" t="e">
        <f>35760.57-J21</f>
        <v>#REF!</v>
      </c>
    </row>
    <row r="22" spans="1:14" s="5" customFormat="1" ht="13.5" customHeight="1">
      <c r="A22" s="36">
        <v>44757</v>
      </c>
      <c r="B22" s="239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69">
        <v>300</v>
      </c>
      <c r="J22" s="186" t="e">
        <f>I22/'통장내역(환율표)'!#REF!</f>
        <v>#REF!</v>
      </c>
      <c r="K22" s="82" t="e">
        <f t="shared" si="2"/>
        <v>#REF!</v>
      </c>
      <c r="L22" s="38" t="e">
        <f t="shared" si="3"/>
        <v>#REF!</v>
      </c>
      <c r="M22" s="34" t="s">
        <v>247</v>
      </c>
      <c r="N22" s="45" t="e">
        <f t="shared" ref="N22:N53" si="4">N21-J22+H22</f>
        <v>#REF!</v>
      </c>
    </row>
    <row r="23" spans="1:14" s="5" customFormat="1" ht="13.5" customHeight="1">
      <c r="A23" s="36">
        <v>44757</v>
      </c>
      <c r="B23" s="239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69">
        <v>7707.43</v>
      </c>
      <c r="J23" s="186" t="e">
        <f>I23/'통장내역(환율표)'!#REF!</f>
        <v>#REF!</v>
      </c>
      <c r="K23" s="82" t="e">
        <f t="shared" si="2"/>
        <v>#REF!</v>
      </c>
      <c r="L23" s="38" t="e">
        <f t="shared" si="3"/>
        <v>#REF!</v>
      </c>
      <c r="M23" s="34" t="s">
        <v>247</v>
      </c>
      <c r="N23" s="45" t="e">
        <f t="shared" si="4"/>
        <v>#REF!</v>
      </c>
    </row>
    <row r="24" spans="1:14" s="5" customFormat="1" ht="13.5" customHeight="1">
      <c r="A24" s="36">
        <v>44757</v>
      </c>
      <c r="B24" s="239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69">
        <v>4778.34</v>
      </c>
      <c r="J24" s="186" t="e">
        <f>I24/'통장내역(환율표)'!#REF!</f>
        <v>#REF!</v>
      </c>
      <c r="K24" s="82" t="e">
        <f t="shared" si="2"/>
        <v>#REF!</v>
      </c>
      <c r="L24" s="38" t="e">
        <f t="shared" si="3"/>
        <v>#REF!</v>
      </c>
      <c r="M24" s="34" t="s">
        <v>247</v>
      </c>
      <c r="N24" s="45" t="e">
        <f t="shared" si="4"/>
        <v>#REF!</v>
      </c>
    </row>
    <row r="25" spans="1:14" s="5" customFormat="1" ht="13.5" customHeight="1">
      <c r="A25" s="36">
        <v>44757</v>
      </c>
      <c r="B25" s="239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69">
        <v>13500</v>
      </c>
      <c r="J25" s="186" t="e">
        <f>I25/'통장내역(환율표)'!#REF!</f>
        <v>#REF!</v>
      </c>
      <c r="K25" s="82" t="e">
        <f t="shared" si="2"/>
        <v>#REF!</v>
      </c>
      <c r="L25" s="38" t="e">
        <f t="shared" si="3"/>
        <v>#REF!</v>
      </c>
      <c r="M25" s="34" t="s">
        <v>247</v>
      </c>
      <c r="N25" s="45" t="e">
        <f t="shared" si="4"/>
        <v>#REF!</v>
      </c>
    </row>
    <row r="26" spans="1:14" s="5" customFormat="1" ht="13.5" customHeight="1">
      <c r="A26" s="36">
        <v>44757</v>
      </c>
      <c r="B26" s="239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69">
        <v>20000</v>
      </c>
      <c r="J26" s="186" t="e">
        <f>I26/'통장내역(환율표)'!#REF!</f>
        <v>#REF!</v>
      </c>
      <c r="K26" s="82" t="e">
        <f t="shared" si="2"/>
        <v>#REF!</v>
      </c>
      <c r="L26" s="38" t="e">
        <f t="shared" si="3"/>
        <v>#REF!</v>
      </c>
      <c r="M26" s="34" t="s">
        <v>247</v>
      </c>
      <c r="N26" s="45" t="e">
        <f t="shared" si="4"/>
        <v>#REF!</v>
      </c>
    </row>
    <row r="27" spans="1:14" s="5" customFormat="1" ht="13.5" customHeight="1">
      <c r="A27" s="36">
        <v>44757</v>
      </c>
      <c r="B27" s="239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69">
        <v>300</v>
      </c>
      <c r="J27" s="186" t="e">
        <f>I27/'통장내역(환율표)'!#REF!</f>
        <v>#REF!</v>
      </c>
      <c r="K27" s="82" t="e">
        <f t="shared" si="2"/>
        <v>#REF!</v>
      </c>
      <c r="L27" s="38" t="e">
        <f t="shared" si="3"/>
        <v>#REF!</v>
      </c>
      <c r="M27" s="34" t="s">
        <v>286</v>
      </c>
      <c r="N27" s="45" t="e">
        <f t="shared" si="4"/>
        <v>#REF!</v>
      </c>
    </row>
    <row r="28" spans="1:14" s="5" customFormat="1" ht="13.5" customHeight="1">
      <c r="A28" s="36">
        <v>44757</v>
      </c>
      <c r="B28" s="239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69">
        <v>634.29</v>
      </c>
      <c r="J28" s="186" t="e">
        <f>I28/'통장내역(환율표)'!#REF!</f>
        <v>#REF!</v>
      </c>
      <c r="K28" s="82" t="e">
        <f t="shared" si="2"/>
        <v>#REF!</v>
      </c>
      <c r="L28" s="38" t="e">
        <f t="shared" si="3"/>
        <v>#REF!</v>
      </c>
      <c r="M28" s="34" t="s">
        <v>286</v>
      </c>
      <c r="N28" s="45" t="e">
        <f t="shared" si="4"/>
        <v>#REF!</v>
      </c>
    </row>
    <row r="29" spans="1:14" s="5" customFormat="1" ht="13.5" customHeight="1">
      <c r="A29" s="36">
        <v>44757</v>
      </c>
      <c r="B29" s="239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69">
        <v>4332.43</v>
      </c>
      <c r="J29" s="186" t="e">
        <f>I29/'통장내역(환율표)'!#REF!</f>
        <v>#REF!</v>
      </c>
      <c r="K29" s="82" t="e">
        <f t="shared" si="2"/>
        <v>#REF!</v>
      </c>
      <c r="L29" s="38" t="e">
        <f t="shared" si="3"/>
        <v>#REF!</v>
      </c>
      <c r="M29" s="34" t="s">
        <v>286</v>
      </c>
      <c r="N29" s="45" t="e">
        <f t="shared" si="4"/>
        <v>#REF!</v>
      </c>
    </row>
    <row r="30" spans="1:14" s="5" customFormat="1" ht="13.5" customHeight="1">
      <c r="A30" s="36">
        <v>44757</v>
      </c>
      <c r="B30" s="239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69">
        <v>13500</v>
      </c>
      <c r="J30" s="186" t="e">
        <f>I30/'통장내역(환율표)'!#REF!</f>
        <v>#REF!</v>
      </c>
      <c r="K30" s="82" t="e">
        <f t="shared" si="2"/>
        <v>#REF!</v>
      </c>
      <c r="L30" s="38" t="e">
        <f t="shared" si="3"/>
        <v>#REF!</v>
      </c>
      <c r="M30" s="34" t="s">
        <v>286</v>
      </c>
      <c r="N30" s="45" t="e">
        <f t="shared" si="4"/>
        <v>#REF!</v>
      </c>
    </row>
    <row r="31" spans="1:14" s="5" customFormat="1" ht="13.5" customHeight="1">
      <c r="A31" s="36">
        <v>44757</v>
      </c>
      <c r="B31" s="239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69">
        <v>14000</v>
      </c>
      <c r="J31" s="186" t="e">
        <f>I31/'통장내역(환율표)'!#REF!</f>
        <v>#REF!</v>
      </c>
      <c r="K31" s="82" t="e">
        <f t="shared" si="2"/>
        <v>#REF!</v>
      </c>
      <c r="L31" s="38" t="e">
        <f t="shared" si="3"/>
        <v>#REF!</v>
      </c>
      <c r="M31" s="34" t="s">
        <v>286</v>
      </c>
      <c r="N31" s="45" t="e">
        <f t="shared" si="4"/>
        <v>#REF!</v>
      </c>
    </row>
    <row r="32" spans="1:14" s="5" customFormat="1" ht="13.5" customHeight="1">
      <c r="A32" s="36">
        <v>44757</v>
      </c>
      <c r="B32" s="239" t="s">
        <v>130</v>
      </c>
      <c r="C32" s="160"/>
      <c r="D32" s="37">
        <v>3</v>
      </c>
      <c r="E32" s="33" t="s">
        <v>276</v>
      </c>
      <c r="F32" s="35"/>
      <c r="G32" s="103"/>
      <c r="H32" s="77"/>
      <c r="I32" s="243">
        <v>300</v>
      </c>
      <c r="J32" s="186" t="e">
        <f>I32/'통장내역(환율표)'!#REF!</f>
        <v>#REF!</v>
      </c>
      <c r="K32" s="82" t="e">
        <f t="shared" si="2"/>
        <v>#REF!</v>
      </c>
      <c r="L32" s="38" t="e">
        <f t="shared" si="3"/>
        <v>#REF!</v>
      </c>
      <c r="M32" s="34" t="s">
        <v>287</v>
      </c>
      <c r="N32" s="45" t="e">
        <f t="shared" si="4"/>
        <v>#REF!</v>
      </c>
    </row>
    <row r="33" spans="1:14" s="5" customFormat="1" ht="13.5" customHeight="1">
      <c r="A33" s="36">
        <v>44757</v>
      </c>
      <c r="B33" s="239" t="s">
        <v>246</v>
      </c>
      <c r="C33" s="160"/>
      <c r="D33" s="37">
        <v>3</v>
      </c>
      <c r="E33" s="33" t="s">
        <v>276</v>
      </c>
      <c r="F33" s="35"/>
      <c r="G33" s="103"/>
      <c r="H33" s="77"/>
      <c r="I33" s="243">
        <v>501.68</v>
      </c>
      <c r="J33" s="186" t="e">
        <f>I33/'통장내역(환율표)'!#REF!</f>
        <v>#REF!</v>
      </c>
      <c r="K33" s="82" t="e">
        <f t="shared" si="2"/>
        <v>#REF!</v>
      </c>
      <c r="L33" s="38" t="e">
        <f t="shared" si="3"/>
        <v>#REF!</v>
      </c>
      <c r="M33" s="34" t="s">
        <v>287</v>
      </c>
      <c r="N33" s="45" t="e">
        <f t="shared" si="4"/>
        <v>#REF!</v>
      </c>
    </row>
    <row r="34" spans="1:14" s="5" customFormat="1" ht="13.5" customHeight="1">
      <c r="A34" s="36">
        <v>44757</v>
      </c>
      <c r="B34" s="239" t="s">
        <v>133</v>
      </c>
      <c r="C34" s="160"/>
      <c r="D34" s="37">
        <v>3</v>
      </c>
      <c r="E34" s="33" t="s">
        <v>276</v>
      </c>
      <c r="F34" s="35"/>
      <c r="G34" s="103"/>
      <c r="H34" s="77"/>
      <c r="I34" s="243">
        <v>8544.44</v>
      </c>
      <c r="J34" s="186" t="e">
        <f>I34/'통장내역(환율표)'!#REF!</f>
        <v>#REF!</v>
      </c>
      <c r="K34" s="82" t="e">
        <f t="shared" si="2"/>
        <v>#REF!</v>
      </c>
      <c r="L34" s="38" t="e">
        <f t="shared" si="3"/>
        <v>#REF!</v>
      </c>
      <c r="M34" s="34" t="s">
        <v>287</v>
      </c>
      <c r="N34" s="45" t="e">
        <f t="shared" si="4"/>
        <v>#REF!</v>
      </c>
    </row>
    <row r="35" spans="1:14" s="5" customFormat="1" ht="13.5" customHeight="1">
      <c r="A35" s="36">
        <v>44757</v>
      </c>
      <c r="B35" s="239" t="s">
        <v>132</v>
      </c>
      <c r="C35" s="160"/>
      <c r="D35" s="37">
        <v>3</v>
      </c>
      <c r="E35" s="33" t="s">
        <v>276</v>
      </c>
      <c r="F35" s="35"/>
      <c r="G35" s="103"/>
      <c r="H35" s="77"/>
      <c r="I35" s="243">
        <v>21220.91</v>
      </c>
      <c r="J35" s="186" t="e">
        <f>I35/'통장내역(환율표)'!#REF!</f>
        <v>#REF!</v>
      </c>
      <c r="K35" s="82" t="e">
        <f t="shared" si="2"/>
        <v>#REF!</v>
      </c>
      <c r="L35" s="38" t="e">
        <f t="shared" si="3"/>
        <v>#REF!</v>
      </c>
      <c r="M35" s="34" t="s">
        <v>287</v>
      </c>
      <c r="N35" s="45" t="e">
        <f t="shared" si="4"/>
        <v>#REF!</v>
      </c>
    </row>
    <row r="36" spans="1:14" s="5" customFormat="1" ht="13.5" customHeight="1">
      <c r="A36" s="36">
        <v>44757</v>
      </c>
      <c r="B36" s="239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69">
        <v>12</v>
      </c>
      <c r="J36" s="186" t="e">
        <f>I36/'통장내역(환율표)'!#REF!</f>
        <v>#REF!</v>
      </c>
      <c r="K36" s="82" t="e">
        <f t="shared" si="2"/>
        <v>#REF!</v>
      </c>
      <c r="L36" s="38" t="e">
        <f t="shared" si="3"/>
        <v>#REF!</v>
      </c>
      <c r="M36" s="34"/>
      <c r="N36" s="45" t="e">
        <f t="shared" si="4"/>
        <v>#REF!</v>
      </c>
    </row>
    <row r="37" spans="1:14" s="5" customFormat="1" ht="31.5" customHeight="1">
      <c r="A37" s="36">
        <v>44757</v>
      </c>
      <c r="B37" s="239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69">
        <v>28000</v>
      </c>
      <c r="J37" s="186" t="e">
        <f>I37/'통장내역(환율표)'!#REF!</f>
        <v>#REF!</v>
      </c>
      <c r="K37" s="82" t="e">
        <f t="shared" si="2"/>
        <v>#REF!</v>
      </c>
      <c r="L37" s="38" t="e">
        <f t="shared" si="3"/>
        <v>#REF!</v>
      </c>
      <c r="M37" s="241" t="s">
        <v>290</v>
      </c>
      <c r="N37" s="45" t="e">
        <f t="shared" si="4"/>
        <v>#REF!</v>
      </c>
    </row>
    <row r="38" spans="1:14" s="5" customFormat="1" ht="13.5" customHeight="1">
      <c r="A38" s="36">
        <v>44757</v>
      </c>
      <c r="B38" s="239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69">
        <v>7.2</v>
      </c>
      <c r="J38" s="186" t="e">
        <f>I38/'통장내역(환율표)'!#REF!</f>
        <v>#REF!</v>
      </c>
      <c r="K38" s="82" t="e">
        <f t="shared" si="2"/>
        <v>#REF!</v>
      </c>
      <c r="L38" s="38" t="e">
        <f t="shared" si="3"/>
        <v>#REF!</v>
      </c>
      <c r="M38" s="34"/>
      <c r="N38" s="45" t="e">
        <f t="shared" si="4"/>
        <v>#REF!</v>
      </c>
    </row>
    <row r="39" spans="1:14" s="5" customFormat="1" ht="13.5" customHeight="1">
      <c r="A39" s="36">
        <v>44760</v>
      </c>
      <c r="B39" s="239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69">
        <v>548.35</v>
      </c>
      <c r="J39" s="186" t="e">
        <f>I39/'통장내역(환율표)'!#REF!</f>
        <v>#REF!</v>
      </c>
      <c r="K39" s="82" t="e">
        <f t="shared" si="2"/>
        <v>#REF!</v>
      </c>
      <c r="L39" s="38" t="e">
        <f t="shared" si="3"/>
        <v>#REF!</v>
      </c>
      <c r="M39" s="34" t="s">
        <v>235</v>
      </c>
      <c r="N39" s="45" t="e">
        <f t="shared" si="4"/>
        <v>#REF!</v>
      </c>
    </row>
    <row r="40" spans="1:14" s="5" customFormat="1" ht="13.5" customHeight="1">
      <c r="A40" s="36">
        <v>44760</v>
      </c>
      <c r="B40" s="239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69">
        <v>3.6</v>
      </c>
      <c r="J40" s="186" t="e">
        <f>I40/'통장내역(환율표)'!#REF!</f>
        <v>#REF!</v>
      </c>
      <c r="K40" s="82" t="e">
        <f t="shared" si="2"/>
        <v>#REF!</v>
      </c>
      <c r="L40" s="38" t="e">
        <f t="shared" si="3"/>
        <v>#REF!</v>
      </c>
      <c r="M40" s="34"/>
      <c r="N40" s="45" t="e">
        <f t="shared" si="4"/>
        <v>#REF!</v>
      </c>
    </row>
    <row r="41" spans="1:14" s="5" customFormat="1" ht="13.5" customHeight="1">
      <c r="A41" s="36">
        <v>44760</v>
      </c>
      <c r="B41" s="239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69">
        <v>717.1</v>
      </c>
      <c r="J41" s="186" t="e">
        <f>I41/'통장내역(환율표)'!#REF!</f>
        <v>#REF!</v>
      </c>
      <c r="K41" s="82" t="e">
        <f t="shared" si="2"/>
        <v>#REF!</v>
      </c>
      <c r="L41" s="38" t="e">
        <f t="shared" si="3"/>
        <v>#REF!</v>
      </c>
      <c r="M41" s="34"/>
      <c r="N41" s="45" t="e">
        <f t="shared" si="4"/>
        <v>#REF!</v>
      </c>
    </row>
    <row r="42" spans="1:14" s="5" customFormat="1" ht="13.5" customHeight="1">
      <c r="A42" s="36">
        <v>44760</v>
      </c>
      <c r="B42" s="239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69">
        <v>800</v>
      </c>
      <c r="J42" s="186" t="e">
        <f>I42/'통장내역(환율표)'!#REF!</f>
        <v>#REF!</v>
      </c>
      <c r="K42" s="82" t="e">
        <f t="shared" si="2"/>
        <v>#REF!</v>
      </c>
      <c r="L42" s="38" t="e">
        <f t="shared" si="3"/>
        <v>#REF!</v>
      </c>
      <c r="M42" s="34"/>
      <c r="N42" s="45" t="e">
        <f t="shared" si="4"/>
        <v>#REF!</v>
      </c>
    </row>
    <row r="43" spans="1:14" s="5" customFormat="1" ht="13.5" customHeight="1">
      <c r="A43" s="36">
        <v>44760</v>
      </c>
      <c r="B43" s="239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69">
        <v>3.6</v>
      </c>
      <c r="J43" s="186" t="e">
        <f>I43/'통장내역(환율표)'!#REF!</f>
        <v>#REF!</v>
      </c>
      <c r="K43" s="82" t="e">
        <f t="shared" si="2"/>
        <v>#REF!</v>
      </c>
      <c r="L43" s="38" t="e">
        <f t="shared" si="3"/>
        <v>#REF!</v>
      </c>
      <c r="M43" s="34"/>
      <c r="N43" s="45" t="e">
        <f t="shared" si="4"/>
        <v>#REF!</v>
      </c>
    </row>
    <row r="44" spans="1:14" s="5" customFormat="1" ht="13.5" customHeight="1">
      <c r="A44" s="36">
        <v>44760</v>
      </c>
      <c r="B44" s="239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69">
        <v>930</v>
      </c>
      <c r="J44" s="186" t="e">
        <f>I44/'통장내역(환율표)'!#REF!</f>
        <v>#REF!</v>
      </c>
      <c r="K44" s="82" t="e">
        <f t="shared" si="2"/>
        <v>#REF!</v>
      </c>
      <c r="L44" s="38" t="e">
        <f t="shared" si="3"/>
        <v>#REF!</v>
      </c>
      <c r="M44" s="34"/>
      <c r="N44" s="45" t="e">
        <f t="shared" si="4"/>
        <v>#REF!</v>
      </c>
    </row>
    <row r="45" spans="1:14" s="5" customFormat="1" ht="13.5" customHeight="1">
      <c r="A45" s="36">
        <v>44760</v>
      </c>
      <c r="B45" s="239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69">
        <v>1531.19</v>
      </c>
      <c r="J45" s="186" t="e">
        <f>I45/'통장내역(환율표)'!#REF!</f>
        <v>#REF!</v>
      </c>
      <c r="K45" s="82" t="e">
        <f t="shared" si="2"/>
        <v>#REF!</v>
      </c>
      <c r="L45" s="38" t="e">
        <f t="shared" si="3"/>
        <v>#REF!</v>
      </c>
      <c r="M45" s="34"/>
      <c r="N45" s="45" t="e">
        <f t="shared" si="4"/>
        <v>#REF!</v>
      </c>
    </row>
    <row r="46" spans="1:14" s="5" customFormat="1" ht="13.5" customHeight="1">
      <c r="A46" s="36">
        <v>44760</v>
      </c>
      <c r="B46" s="239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69">
        <v>19</v>
      </c>
      <c r="J46" s="186" t="e">
        <f>I46/'통장내역(환율표)'!#REF!</f>
        <v>#REF!</v>
      </c>
      <c r="K46" s="82" t="e">
        <f t="shared" si="2"/>
        <v>#REF!</v>
      </c>
      <c r="L46" s="38" t="e">
        <f t="shared" si="3"/>
        <v>#REF!</v>
      </c>
      <c r="M46" s="34"/>
      <c r="N46" s="45" t="e">
        <f t="shared" si="4"/>
        <v>#REF!</v>
      </c>
    </row>
    <row r="47" spans="1:14" s="5" customFormat="1" ht="13.5" customHeight="1">
      <c r="A47" s="36">
        <v>44760</v>
      </c>
      <c r="B47" s="239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69">
        <v>3.6</v>
      </c>
      <c r="J47" s="186" t="e">
        <f>I47/'통장내역(환율표)'!#REF!</f>
        <v>#REF!</v>
      </c>
      <c r="K47" s="82" t="e">
        <f t="shared" si="2"/>
        <v>#REF!</v>
      </c>
      <c r="L47" s="38" t="e">
        <f t="shared" si="3"/>
        <v>#REF!</v>
      </c>
      <c r="M47" s="34"/>
      <c r="N47" s="45" t="e">
        <f t="shared" si="4"/>
        <v>#REF!</v>
      </c>
    </row>
    <row r="48" spans="1:14" s="5" customFormat="1" ht="13.5" customHeight="1">
      <c r="A48" s="36">
        <v>44760</v>
      </c>
      <c r="B48" s="239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69">
        <v>641.49</v>
      </c>
      <c r="J48" s="186" t="e">
        <f>I48/'통장내역(환율표)'!#REF!</f>
        <v>#REF!</v>
      </c>
      <c r="K48" s="82" t="e">
        <f t="shared" si="2"/>
        <v>#REF!</v>
      </c>
      <c r="L48" s="38" t="e">
        <f t="shared" si="3"/>
        <v>#REF!</v>
      </c>
      <c r="M48" s="34" t="s">
        <v>236</v>
      </c>
      <c r="N48" s="45" t="e">
        <f t="shared" si="4"/>
        <v>#REF!</v>
      </c>
    </row>
    <row r="49" spans="1:14" s="5" customFormat="1" ht="13.5" customHeight="1">
      <c r="A49" s="36">
        <v>44760</v>
      </c>
      <c r="B49" s="239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69">
        <v>3.6</v>
      </c>
      <c r="J49" s="186" t="e">
        <f>I49/'통장내역(환율표)'!#REF!</f>
        <v>#REF!</v>
      </c>
      <c r="K49" s="82" t="e">
        <f t="shared" si="2"/>
        <v>#REF!</v>
      </c>
      <c r="L49" s="38" t="e">
        <f t="shared" si="3"/>
        <v>#REF!</v>
      </c>
      <c r="M49" s="34"/>
      <c r="N49" s="45" t="e">
        <f t="shared" si="4"/>
        <v>#REF!</v>
      </c>
    </row>
    <row r="50" spans="1:14" s="5" customFormat="1" ht="13.5" customHeight="1">
      <c r="A50" s="36">
        <v>44760</v>
      </c>
      <c r="B50" s="239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69">
        <v>415.08</v>
      </c>
      <c r="J50" s="186" t="e">
        <f>I50/'통장내역(환율표)'!#REF!</f>
        <v>#REF!</v>
      </c>
      <c r="K50" s="82" t="e">
        <f t="shared" ref="K50:K75" si="5">K49+G50-I50</f>
        <v>#REF!</v>
      </c>
      <c r="L50" s="38" t="e">
        <f t="shared" ref="L50:L75" si="6">L49+H50-J50</f>
        <v>#REF!</v>
      </c>
      <c r="M50" s="34" t="s">
        <v>237</v>
      </c>
      <c r="N50" s="45" t="e">
        <f t="shared" si="4"/>
        <v>#REF!</v>
      </c>
    </row>
    <row r="51" spans="1:14" s="5" customFormat="1" ht="13.5" customHeight="1">
      <c r="A51" s="36">
        <v>44760</v>
      </c>
      <c r="B51" s="239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69">
        <v>3.6</v>
      </c>
      <c r="J51" s="186" t="e">
        <f>I51/'통장내역(환율표)'!#REF!</f>
        <v>#REF!</v>
      </c>
      <c r="K51" s="82" t="e">
        <f t="shared" si="5"/>
        <v>#REF!</v>
      </c>
      <c r="L51" s="38" t="e">
        <f t="shared" si="6"/>
        <v>#REF!</v>
      </c>
      <c r="M51" s="34"/>
      <c r="N51" s="45" t="e">
        <f t="shared" si="4"/>
        <v>#REF!</v>
      </c>
    </row>
    <row r="52" spans="1:14" s="5" customFormat="1" ht="13.5" customHeight="1">
      <c r="A52" s="36">
        <v>44760</v>
      </c>
      <c r="B52" s="239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69">
        <v>320</v>
      </c>
      <c r="J52" s="186" t="e">
        <f>I52/'통장내역(환율표)'!#REF!</f>
        <v>#REF!</v>
      </c>
      <c r="K52" s="82" t="e">
        <f t="shared" si="5"/>
        <v>#REF!</v>
      </c>
      <c r="L52" s="38" t="e">
        <f t="shared" si="6"/>
        <v>#REF!</v>
      </c>
      <c r="M52" s="34"/>
      <c r="N52" s="45" t="e">
        <f t="shared" si="4"/>
        <v>#REF!</v>
      </c>
    </row>
    <row r="53" spans="1:14" s="5" customFormat="1" ht="13.5" customHeight="1">
      <c r="A53" s="36">
        <v>44760</v>
      </c>
      <c r="B53" s="239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69">
        <v>131</v>
      </c>
      <c r="J53" s="186" t="e">
        <f>I53/'통장내역(환율표)'!#REF!</f>
        <v>#REF!</v>
      </c>
      <c r="K53" s="82" t="e">
        <f t="shared" si="5"/>
        <v>#REF!</v>
      </c>
      <c r="L53" s="38" t="e">
        <f t="shared" si="6"/>
        <v>#REF!</v>
      </c>
      <c r="M53" s="34"/>
      <c r="N53" s="45" t="e">
        <f t="shared" si="4"/>
        <v>#REF!</v>
      </c>
    </row>
    <row r="54" spans="1:14" s="5" customFormat="1" ht="13.5" customHeight="1">
      <c r="A54" s="36">
        <v>44760</v>
      </c>
      <c r="B54" s="239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69">
        <v>300</v>
      </c>
      <c r="J54" s="186" t="e">
        <f>I54/'통장내역(환율표)'!#REF!</f>
        <v>#REF!</v>
      </c>
      <c r="K54" s="82" t="e">
        <f t="shared" si="5"/>
        <v>#REF!</v>
      </c>
      <c r="L54" s="38" t="e">
        <f t="shared" si="6"/>
        <v>#REF!</v>
      </c>
      <c r="M54" s="34"/>
      <c r="N54" s="45" t="e">
        <f t="shared" ref="N54:N75" si="7">N53-J54+H54</f>
        <v>#REF!</v>
      </c>
    </row>
    <row r="55" spans="1:14" s="5" customFormat="1" ht="13.5" customHeight="1">
      <c r="A55" s="36">
        <v>44760</v>
      </c>
      <c r="B55" s="239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69">
        <v>150</v>
      </c>
      <c r="J55" s="186" t="e">
        <f>I55/'통장내역(환율표)'!#REF!</f>
        <v>#REF!</v>
      </c>
      <c r="K55" s="82" t="e">
        <f t="shared" si="5"/>
        <v>#REF!</v>
      </c>
      <c r="L55" s="38" t="e">
        <f t="shared" si="6"/>
        <v>#REF!</v>
      </c>
      <c r="M55" s="34"/>
      <c r="N55" s="45" t="e">
        <f t="shared" si="7"/>
        <v>#REF!</v>
      </c>
    </row>
    <row r="56" spans="1:14" s="5" customFormat="1" ht="13.5" customHeight="1">
      <c r="A56" s="36">
        <v>44760</v>
      </c>
      <c r="B56" s="239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69">
        <v>3.6</v>
      </c>
      <c r="J56" s="186" t="e">
        <f>I56/'통장내역(환율표)'!#REF!</f>
        <v>#REF!</v>
      </c>
      <c r="K56" s="82" t="e">
        <f t="shared" si="5"/>
        <v>#REF!</v>
      </c>
      <c r="L56" s="38" t="e">
        <f t="shared" si="6"/>
        <v>#REF!</v>
      </c>
      <c r="M56" s="34"/>
      <c r="N56" s="45" t="e">
        <f t="shared" si="7"/>
        <v>#REF!</v>
      </c>
    </row>
    <row r="57" spans="1:14" s="5" customFormat="1" ht="13.5" customHeight="1">
      <c r="A57" s="36">
        <v>44760</v>
      </c>
      <c r="B57" s="239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69">
        <v>500</v>
      </c>
      <c r="J57" s="186" t="e">
        <f>I57/'통장내역(환율표)'!#REF!</f>
        <v>#REF!</v>
      </c>
      <c r="K57" s="82" t="e">
        <f t="shared" si="5"/>
        <v>#REF!</v>
      </c>
      <c r="L57" s="38" t="e">
        <f t="shared" si="6"/>
        <v>#REF!</v>
      </c>
      <c r="M57" s="34"/>
      <c r="N57" s="45" t="e">
        <f t="shared" si="7"/>
        <v>#REF!</v>
      </c>
    </row>
    <row r="58" spans="1:14" s="5" customFormat="1" ht="13.5" customHeight="1">
      <c r="A58" s="36">
        <v>44760</v>
      </c>
      <c r="B58" s="239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69">
        <v>399</v>
      </c>
      <c r="J58" s="186" t="e">
        <f>I58/'통장내역(환율표)'!#REF!</f>
        <v>#REF!</v>
      </c>
      <c r="K58" s="82" t="e">
        <f t="shared" si="5"/>
        <v>#REF!</v>
      </c>
      <c r="L58" s="38" t="e">
        <f t="shared" si="6"/>
        <v>#REF!</v>
      </c>
      <c r="M58" s="34"/>
      <c r="N58" s="45" t="e">
        <f t="shared" si="7"/>
        <v>#REF!</v>
      </c>
    </row>
    <row r="59" spans="1:14" s="5" customFormat="1" ht="13.5" customHeight="1">
      <c r="A59" s="36">
        <v>44760</v>
      </c>
      <c r="B59" s="239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69">
        <v>3.6</v>
      </c>
      <c r="J59" s="186" t="e">
        <f>I59/'통장내역(환율표)'!#REF!</f>
        <v>#REF!</v>
      </c>
      <c r="K59" s="82" t="e">
        <f t="shared" si="5"/>
        <v>#REF!</v>
      </c>
      <c r="L59" s="38" t="e">
        <f t="shared" si="6"/>
        <v>#REF!</v>
      </c>
      <c r="M59" s="34"/>
      <c r="N59" s="45" t="e">
        <f t="shared" si="7"/>
        <v>#REF!</v>
      </c>
    </row>
    <row r="60" spans="1:14" s="5" customFormat="1" ht="13.5" customHeight="1">
      <c r="A60" s="36">
        <v>44760</v>
      </c>
      <c r="B60" s="239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69">
        <v>983</v>
      </c>
      <c r="J60" s="186">
        <v>146.47</v>
      </c>
      <c r="K60" s="82" t="e">
        <f t="shared" si="5"/>
        <v>#REF!</v>
      </c>
      <c r="L60" s="38" t="e">
        <f t="shared" si="6"/>
        <v>#REF!</v>
      </c>
      <c r="M60" s="34" t="s">
        <v>238</v>
      </c>
      <c r="N60" s="45" t="e">
        <f t="shared" si="7"/>
        <v>#REF!</v>
      </c>
    </row>
    <row r="61" spans="1:14" s="5" customFormat="1" ht="13.5" customHeight="1">
      <c r="A61" s="36">
        <v>44760</v>
      </c>
      <c r="B61" s="239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69">
        <v>3.6</v>
      </c>
      <c r="J61" s="186" t="e">
        <f>I61/'통장내역(환율표)'!#REF!</f>
        <v>#REF!</v>
      </c>
      <c r="K61" s="82" t="e">
        <f t="shared" si="5"/>
        <v>#REF!</v>
      </c>
      <c r="L61" s="38" t="e">
        <f t="shared" si="6"/>
        <v>#REF!</v>
      </c>
      <c r="M61" s="34"/>
      <c r="N61" s="45" t="e">
        <f t="shared" si="7"/>
        <v>#REF!</v>
      </c>
    </row>
    <row r="62" spans="1:14" s="5" customFormat="1" ht="13.5" customHeight="1">
      <c r="A62" s="36">
        <v>44760</v>
      </c>
      <c r="B62" s="239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69">
        <v>1260.42</v>
      </c>
      <c r="J62" s="186" t="e">
        <f>I62/'통장내역(환율표)'!#REF!</f>
        <v>#REF!</v>
      </c>
      <c r="K62" s="82" t="e">
        <f t="shared" si="5"/>
        <v>#REF!</v>
      </c>
      <c r="L62" s="38" t="e">
        <f t="shared" si="6"/>
        <v>#REF!</v>
      </c>
      <c r="M62" s="34" t="s">
        <v>239</v>
      </c>
      <c r="N62" s="45" t="e">
        <f t="shared" si="7"/>
        <v>#REF!</v>
      </c>
    </row>
    <row r="63" spans="1:14" s="5" customFormat="1" ht="13.5" customHeight="1">
      <c r="A63" s="36">
        <v>44760</v>
      </c>
      <c r="B63" s="239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69">
        <v>3.6</v>
      </c>
      <c r="J63" s="186" t="e">
        <f>I63/'통장내역(환율표)'!#REF!</f>
        <v>#REF!</v>
      </c>
      <c r="K63" s="82" t="e">
        <f t="shared" si="5"/>
        <v>#REF!</v>
      </c>
      <c r="L63" s="38" t="e">
        <f t="shared" si="6"/>
        <v>#REF!</v>
      </c>
      <c r="M63" s="34"/>
      <c r="N63" s="45" t="e">
        <f t="shared" si="7"/>
        <v>#REF!</v>
      </c>
    </row>
    <row r="64" spans="1:14" s="5" customFormat="1" ht="13.5" customHeight="1">
      <c r="A64" s="36">
        <v>44760</v>
      </c>
      <c r="B64" s="239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69">
        <v>19440</v>
      </c>
      <c r="J64" s="186" t="e">
        <f>I64/'통장내역(환율표)'!#REF!</f>
        <v>#REF!</v>
      </c>
      <c r="K64" s="82" t="e">
        <f t="shared" si="5"/>
        <v>#REF!</v>
      </c>
      <c r="L64" s="38" t="e">
        <f t="shared" si="6"/>
        <v>#REF!</v>
      </c>
      <c r="M64" s="34" t="s">
        <v>240</v>
      </c>
      <c r="N64" s="45" t="e">
        <f t="shared" si="7"/>
        <v>#REF!</v>
      </c>
    </row>
    <row r="65" spans="1:14" s="5" customFormat="1" ht="13.5" customHeight="1">
      <c r="A65" s="36">
        <v>44760</v>
      </c>
      <c r="B65" s="239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69">
        <v>7.2</v>
      </c>
      <c r="J65" s="186" t="e">
        <f>I65/'통장내역(환율표)'!#REF!</f>
        <v>#REF!</v>
      </c>
      <c r="K65" s="82" t="e">
        <f t="shared" si="5"/>
        <v>#REF!</v>
      </c>
      <c r="L65" s="38" t="e">
        <f t="shared" si="6"/>
        <v>#REF!</v>
      </c>
      <c r="M65" s="34"/>
      <c r="N65" s="45" t="e">
        <f t="shared" si="7"/>
        <v>#REF!</v>
      </c>
    </row>
    <row r="66" spans="1:14" s="5" customFormat="1" ht="13.5" customHeight="1">
      <c r="A66" s="36">
        <v>44760</v>
      </c>
      <c r="B66" s="239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69">
        <v>16500</v>
      </c>
      <c r="J66" s="186" t="e">
        <f>I66/'통장내역(환율표)'!#REF!</f>
        <v>#REF!</v>
      </c>
      <c r="K66" s="82" t="e">
        <f t="shared" si="5"/>
        <v>#REF!</v>
      </c>
      <c r="L66" s="38" t="e">
        <f t="shared" si="6"/>
        <v>#REF!</v>
      </c>
      <c r="M66" s="34" t="s">
        <v>241</v>
      </c>
      <c r="N66" s="45" t="e">
        <f t="shared" si="7"/>
        <v>#REF!</v>
      </c>
    </row>
    <row r="67" spans="1:14" s="5" customFormat="1" ht="13.5" customHeight="1">
      <c r="A67" s="36">
        <v>44760</v>
      </c>
      <c r="B67" s="239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69">
        <v>7.2</v>
      </c>
      <c r="J67" s="186" t="e">
        <f>I67/'통장내역(환율표)'!#REF!</f>
        <v>#REF!</v>
      </c>
      <c r="K67" s="82" t="e">
        <f t="shared" si="5"/>
        <v>#REF!</v>
      </c>
      <c r="L67" s="38" t="e">
        <f t="shared" si="6"/>
        <v>#REF!</v>
      </c>
      <c r="M67" s="34"/>
      <c r="N67" s="45" t="e">
        <f t="shared" si="7"/>
        <v>#REF!</v>
      </c>
    </row>
    <row r="68" spans="1:14" s="5" customFormat="1" ht="13.5" customHeight="1">
      <c r="A68" s="36">
        <v>44760</v>
      </c>
      <c r="B68" s="239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69">
        <v>1000</v>
      </c>
      <c r="J68" s="186" t="e">
        <f>I68/'통장내역(환율표)'!#REF!</f>
        <v>#REF!</v>
      </c>
      <c r="K68" s="82" t="e">
        <f t="shared" si="5"/>
        <v>#REF!</v>
      </c>
      <c r="L68" s="38" t="e">
        <f t="shared" si="6"/>
        <v>#REF!</v>
      </c>
      <c r="M68" s="34" t="s">
        <v>242</v>
      </c>
      <c r="N68" s="45" t="e">
        <f t="shared" si="7"/>
        <v>#REF!</v>
      </c>
    </row>
    <row r="69" spans="1:14" s="5" customFormat="1" ht="13.5" customHeight="1">
      <c r="A69" s="36">
        <v>44760</v>
      </c>
      <c r="B69" s="239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69">
        <v>3.6</v>
      </c>
      <c r="J69" s="186" t="e">
        <f>I69/'통장내역(환율표)'!#REF!</f>
        <v>#REF!</v>
      </c>
      <c r="K69" s="82" t="e">
        <f t="shared" si="5"/>
        <v>#REF!</v>
      </c>
      <c r="L69" s="38" t="e">
        <f t="shared" si="6"/>
        <v>#REF!</v>
      </c>
      <c r="M69" s="34"/>
      <c r="N69" s="45" t="e">
        <f t="shared" si="7"/>
        <v>#REF!</v>
      </c>
    </row>
    <row r="70" spans="1:14" s="5" customFormat="1" ht="13.5" customHeight="1">
      <c r="A70" s="36">
        <v>44760</v>
      </c>
      <c r="B70" s="239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69">
        <v>900</v>
      </c>
      <c r="J70" s="186" t="e">
        <f>I70/'통장내역(환율표)'!#REF!</f>
        <v>#REF!</v>
      </c>
      <c r="K70" s="82" t="e">
        <f t="shared" si="5"/>
        <v>#REF!</v>
      </c>
      <c r="L70" s="38" t="e">
        <f t="shared" si="6"/>
        <v>#REF!</v>
      </c>
      <c r="M70" s="34" t="s">
        <v>243</v>
      </c>
      <c r="N70" s="45" t="e">
        <f t="shared" si="7"/>
        <v>#REF!</v>
      </c>
    </row>
    <row r="71" spans="1:14" s="5" customFormat="1" ht="13.5" customHeight="1">
      <c r="A71" s="36">
        <v>44760</v>
      </c>
      <c r="B71" s="239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69">
        <v>3.6</v>
      </c>
      <c r="J71" s="186" t="e">
        <f>I71/'통장내역(환율표)'!#REF!</f>
        <v>#REF!</v>
      </c>
      <c r="K71" s="82" t="e">
        <f t="shared" si="5"/>
        <v>#REF!</v>
      </c>
      <c r="L71" s="38" t="e">
        <f t="shared" si="6"/>
        <v>#REF!</v>
      </c>
      <c r="M71" s="34"/>
      <c r="N71" s="45" t="e">
        <f t="shared" si="7"/>
        <v>#REF!</v>
      </c>
    </row>
    <row r="72" spans="1:14" s="5" customFormat="1" ht="13.5" customHeight="1">
      <c r="A72" s="36">
        <v>44760</v>
      </c>
      <c r="B72" s="239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69">
        <v>3724.69</v>
      </c>
      <c r="J72" s="186" t="e">
        <f>I72/'통장내역(환율표)'!#REF!</f>
        <v>#REF!</v>
      </c>
      <c r="K72" s="82" t="e">
        <f t="shared" si="5"/>
        <v>#REF!</v>
      </c>
      <c r="L72" s="38" t="e">
        <f t="shared" si="6"/>
        <v>#REF!</v>
      </c>
      <c r="M72" s="34" t="s">
        <v>244</v>
      </c>
      <c r="N72" s="45" t="e">
        <f t="shared" si="7"/>
        <v>#REF!</v>
      </c>
    </row>
    <row r="73" spans="1:14" s="5" customFormat="1" ht="13.5" customHeight="1">
      <c r="A73" s="36">
        <v>44760</v>
      </c>
      <c r="B73" s="239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69">
        <v>3.6</v>
      </c>
      <c r="J73" s="186" t="e">
        <f>I73/'통장내역(환율표)'!#REF!</f>
        <v>#REF!</v>
      </c>
      <c r="K73" s="82" t="e">
        <f t="shared" si="5"/>
        <v>#REF!</v>
      </c>
      <c r="L73" s="38" t="e">
        <f t="shared" si="6"/>
        <v>#REF!</v>
      </c>
      <c r="M73" s="34"/>
      <c r="N73" s="45" t="e">
        <f t="shared" si="7"/>
        <v>#REF!</v>
      </c>
    </row>
    <row r="74" spans="1:14" s="5" customFormat="1" ht="13.5" customHeight="1">
      <c r="A74" s="36">
        <v>44763</v>
      </c>
      <c r="B74" s="239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69">
        <v>24149.91</v>
      </c>
      <c r="J74" s="186" t="e">
        <f>I74/'통장내역(환율표)'!#REF!</f>
        <v>#REF!</v>
      </c>
      <c r="K74" s="82" t="e">
        <f t="shared" si="5"/>
        <v>#REF!</v>
      </c>
      <c r="L74" s="38" t="e">
        <f t="shared" si="6"/>
        <v>#REF!</v>
      </c>
      <c r="M74" s="34" t="s">
        <v>245</v>
      </c>
      <c r="N74" s="45" t="e">
        <f t="shared" si="7"/>
        <v>#REF!</v>
      </c>
    </row>
    <row r="75" spans="1:14" s="5" customFormat="1" ht="13.5" customHeight="1">
      <c r="A75" s="36">
        <v>44763</v>
      </c>
      <c r="B75" s="239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69">
        <v>7.2</v>
      </c>
      <c r="J75" s="186" t="e">
        <f>I75/'통장내역(환율표)'!#REF!</f>
        <v>#REF!</v>
      </c>
      <c r="K75" s="82" t="e">
        <f t="shared" si="5"/>
        <v>#REF!</v>
      </c>
      <c r="L75" s="38" t="e">
        <f t="shared" si="6"/>
        <v>#REF!</v>
      </c>
      <c r="M75" s="34"/>
      <c r="N75" s="45" t="e">
        <f t="shared" si="7"/>
        <v>#REF!</v>
      </c>
    </row>
  </sheetData>
  <autoFilter ref="A16:N75" xr:uid="{00000000-0009-0000-0000-000005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8" type="noConversion"/>
  <pageMargins left="0.7" right="0.7" top="0.75" bottom="0.75" header="0.3" footer="0.3"/>
  <pageSetup paperSize="9"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75"/>
  <sheetViews>
    <sheetView showGridLines="0" topLeftCell="A34" zoomScaleNormal="100" workbookViewId="0">
      <selection activeCell="B57" sqref="B57:K58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41.59765625" customWidth="1"/>
    <col min="14" max="14" width="9.59765625" bestFit="1" customWidth="1"/>
  </cols>
  <sheetData>
    <row r="1" spans="1:13" ht="24">
      <c r="A1" s="1" t="s">
        <v>303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289</v>
      </c>
      <c r="B2" s="2"/>
      <c r="C2" s="2"/>
      <c r="E2" s="4">
        <v>100041588</v>
      </c>
      <c r="F2" s="7"/>
      <c r="G2" s="5" t="s">
        <v>274</v>
      </c>
      <c r="H2" s="2"/>
      <c r="I2" s="2"/>
      <c r="K2" s="4">
        <v>100041589</v>
      </c>
      <c r="L2" s="139">
        <v>1200000696</v>
      </c>
    </row>
    <row r="3" spans="1:13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5.6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4707.6900000000005</v>
      </c>
      <c r="J5" s="116">
        <v>701.44</v>
      </c>
      <c r="K5" s="117">
        <v>911381</v>
      </c>
      <c r="L5" s="240">
        <f>K5+E5</f>
        <v>911381</v>
      </c>
    </row>
    <row r="6" spans="1:13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28305.599999999999</v>
      </c>
      <c r="J6" s="116">
        <v>4217.4743986556405</v>
      </c>
      <c r="K6" s="117">
        <v>5479759</v>
      </c>
      <c r="L6" s="240">
        <f t="shared" ref="L6:L10" si="0">K6+E6</f>
        <v>5479759</v>
      </c>
    </row>
    <row r="7" spans="1:13" s="5" customFormat="1" ht="15.6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2896.5187916831173</v>
      </c>
      <c r="K7" s="117">
        <v>3763448</v>
      </c>
      <c r="L7" s="240">
        <f t="shared" si="0"/>
        <v>3763448</v>
      </c>
    </row>
    <row r="8" spans="1:13" s="5" customFormat="1" ht="15.6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2458.4650238051154</v>
      </c>
      <c r="K8" s="117">
        <v>3194290</v>
      </c>
      <c r="L8" s="240">
        <f t="shared" si="0"/>
        <v>3194290</v>
      </c>
    </row>
    <row r="9" spans="1:13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1799</v>
      </c>
      <c r="J9" s="116">
        <v>268.04718653487282</v>
      </c>
      <c r="K9" s="117">
        <v>348277</v>
      </c>
      <c r="L9" s="240">
        <f t="shared" si="0"/>
        <v>348277</v>
      </c>
    </row>
    <row r="10" spans="1:13" s="5" customFormat="1" ht="15.6">
      <c r="A10" s="114" t="s">
        <v>297</v>
      </c>
      <c r="B10" s="115"/>
      <c r="C10" s="116">
        <v>719.1936972248933</v>
      </c>
      <c r="D10" s="116">
        <v>107.30071308405988</v>
      </c>
      <c r="E10" s="117">
        <v>134940</v>
      </c>
      <c r="F10" s="121">
        <v>51321010</v>
      </c>
      <c r="G10" s="114" t="s">
        <v>297</v>
      </c>
      <c r="H10" s="115"/>
      <c r="I10" s="116">
        <v>124976.28630277519</v>
      </c>
      <c r="J10" s="116">
        <v>18647.20173820771</v>
      </c>
      <c r="K10" s="117">
        <v>24228307</v>
      </c>
      <c r="L10" s="240">
        <f t="shared" si="0"/>
        <v>24363247</v>
      </c>
    </row>
    <row r="11" spans="1:13" s="5" customFormat="1" ht="15.6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>
        <v>28000</v>
      </c>
      <c r="J11" s="116">
        <v>4171.9406464571648</v>
      </c>
      <c r="K11" s="117"/>
      <c r="L11" s="119"/>
    </row>
    <row r="12" spans="1:13" s="5" customFormat="1" ht="15.6">
      <c r="A12" s="2045" t="s">
        <v>299</v>
      </c>
      <c r="B12" s="2046"/>
      <c r="C12" s="124">
        <f>SUM(C4:C11)</f>
        <v>719.1936972248933</v>
      </c>
      <c r="D12" s="124">
        <f>SUM(D4:D11)</f>
        <v>107.30071308405988</v>
      </c>
      <c r="E12" s="125">
        <f>SUM(E4:E11)</f>
        <v>134940</v>
      </c>
      <c r="F12" s="121">
        <v>52981010</v>
      </c>
      <c r="G12" s="2045" t="s">
        <v>299</v>
      </c>
      <c r="H12" s="2046"/>
      <c r="I12" s="124">
        <f>SUM(I4:I11)</f>
        <v>223728.57630277518</v>
      </c>
      <c r="J12" s="124">
        <f>SUM(J4:J11)</f>
        <v>33361.087785343625</v>
      </c>
      <c r="K12" s="125">
        <f>SUM(K4:K10)</f>
        <v>37925462</v>
      </c>
      <c r="L12" s="119"/>
    </row>
    <row r="13" spans="1:13" s="5" customFormat="1" ht="15.6">
      <c r="A13" s="126"/>
      <c r="B13" s="127"/>
      <c r="C13" s="128">
        <f>C12+I12</f>
        <v>224447.77000000008</v>
      </c>
      <c r="D13" s="128">
        <f t="shared" ref="D13:E13" si="1">D12+J12</f>
        <v>33468.388498427688</v>
      </c>
      <c r="E13" s="242">
        <f t="shared" si="1"/>
        <v>38060402</v>
      </c>
      <c r="F13" s="118"/>
      <c r="G13" s="130"/>
      <c r="H13" s="130"/>
      <c r="I13" s="131"/>
      <c r="J13" s="130"/>
      <c r="K13" s="130"/>
      <c r="L13" s="132"/>
    </row>
    <row r="14" spans="1:13" s="5" customFormat="1" ht="15.6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SUBTOTAL(9,H17:H74)</f>
        <v>35786.57</v>
      </c>
      <c r="I14" s="137" t="e">
        <f>SUBTOTAL(9,I17:I75)</f>
        <v>#REF!</v>
      </c>
      <c r="J14" s="137" t="e">
        <f>SUBTOTAL(9,J17:J75)</f>
        <v>#REF!</v>
      </c>
      <c r="K14" s="139"/>
      <c r="L14" s="45"/>
    </row>
    <row r="15" spans="1:13" s="5" customFormat="1" ht="15.6">
      <c r="A15" s="2047" t="s">
        <v>300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301</v>
      </c>
      <c r="H15" s="2055"/>
      <c r="I15" s="2053" t="s">
        <v>30</v>
      </c>
      <c r="J15" s="2055"/>
      <c r="K15" s="2056" t="s">
        <v>31</v>
      </c>
      <c r="L15" s="2042"/>
      <c r="M15" s="2043" t="s">
        <v>32</v>
      </c>
    </row>
    <row r="16" spans="1:13" s="5" customFormat="1" ht="14.25" customHeight="1">
      <c r="A16" s="2058"/>
      <c r="B16" s="2059"/>
      <c r="C16" s="2059"/>
      <c r="D16" s="2059"/>
      <c r="E16" s="2059"/>
      <c r="F16" s="2060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57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720.61598696821522</v>
      </c>
      <c r="L17" s="108">
        <v>107.30071308406352</v>
      </c>
      <c r="M17" s="106"/>
      <c r="N17" s="45">
        <v>107.30071308405988</v>
      </c>
    </row>
    <row r="18" spans="1:14" s="5" customFormat="1" ht="13.5" customHeight="1">
      <c r="A18" s="57">
        <v>44754</v>
      </c>
      <c r="B18" s="173" t="s">
        <v>232</v>
      </c>
      <c r="C18" s="174"/>
      <c r="D18" s="60">
        <v>1</v>
      </c>
      <c r="E18" s="59"/>
      <c r="F18" s="61"/>
      <c r="G18" s="175">
        <v>240007.24</v>
      </c>
      <c r="H18" s="78">
        <v>35786.57</v>
      </c>
      <c r="I18" s="176"/>
      <c r="J18" s="102"/>
      <c r="K18" s="83">
        <f t="shared" ref="K18:L33" si="2">K17+G18-I18</f>
        <v>240727.85598696821</v>
      </c>
      <c r="L18" s="62">
        <f t="shared" si="2"/>
        <v>35893.870713084063</v>
      </c>
      <c r="M18" s="58" t="s">
        <v>232</v>
      </c>
      <c r="N18" s="45"/>
    </row>
    <row r="19" spans="1:14" s="5" customFormat="1" ht="13.5" customHeight="1">
      <c r="A19" s="57">
        <v>44754</v>
      </c>
      <c r="B19" s="173" t="s">
        <v>288</v>
      </c>
      <c r="C19" s="174"/>
      <c r="D19" s="60"/>
      <c r="E19" s="59" t="s">
        <v>276</v>
      </c>
      <c r="F19" s="61"/>
      <c r="G19" s="175"/>
      <c r="H19" s="78"/>
      <c r="I19" s="176"/>
      <c r="J19" s="186">
        <v>26</v>
      </c>
      <c r="K19" s="83">
        <f t="shared" si="2"/>
        <v>240727.85598696821</v>
      </c>
      <c r="L19" s="62">
        <f t="shared" si="2"/>
        <v>35867.870713084063</v>
      </c>
      <c r="M19" s="58"/>
      <c r="N19" s="45"/>
    </row>
    <row r="20" spans="1:14" s="5" customFormat="1" ht="13.5" customHeight="1">
      <c r="A20" s="229">
        <v>44756</v>
      </c>
      <c r="B20" s="155" t="s">
        <v>275</v>
      </c>
      <c r="C20" s="156"/>
      <c r="D20" s="230">
        <v>2</v>
      </c>
      <c r="E20" s="231" t="s">
        <v>276</v>
      </c>
      <c r="F20" s="232"/>
      <c r="G20" s="233"/>
      <c r="H20" s="234"/>
      <c r="I20" s="235" t="e">
        <f>J20*'통장내역(환율표)'!#REF!</f>
        <v>#REF!</v>
      </c>
      <c r="J20" s="212">
        <v>107.30071308405988</v>
      </c>
      <c r="K20" s="236" t="e">
        <f t="shared" si="2"/>
        <v>#REF!</v>
      </c>
      <c r="L20" s="237">
        <f t="shared" si="2"/>
        <v>35760.57</v>
      </c>
      <c r="M20" s="238" t="s">
        <v>233</v>
      </c>
      <c r="N20" s="45"/>
    </row>
    <row r="21" spans="1:14" s="5" customFormat="1" ht="13.5" customHeight="1">
      <c r="A21" s="229">
        <v>44756</v>
      </c>
      <c r="B21" s="155" t="s">
        <v>273</v>
      </c>
      <c r="C21" s="156"/>
      <c r="D21" s="230">
        <v>2</v>
      </c>
      <c r="E21" s="231" t="s">
        <v>276</v>
      </c>
      <c r="F21" s="232"/>
      <c r="G21" s="233"/>
      <c r="H21" s="234"/>
      <c r="I21" s="235" t="e">
        <f>11384.02-I20</f>
        <v>#REF!</v>
      </c>
      <c r="J21" s="186" t="e">
        <f>I21/'통장내역(환율표)'!#REF!</f>
        <v>#REF!</v>
      </c>
      <c r="K21" s="236" t="e">
        <f t="shared" si="2"/>
        <v>#REF!</v>
      </c>
      <c r="L21" s="237" t="e">
        <f t="shared" si="2"/>
        <v>#REF!</v>
      </c>
      <c r="M21" s="238"/>
      <c r="N21" s="45" t="e">
        <f>35760.57-J21</f>
        <v>#REF!</v>
      </c>
    </row>
    <row r="22" spans="1:14" s="5" customFormat="1" ht="13.5" customHeight="1">
      <c r="A22" s="36">
        <v>44757</v>
      </c>
      <c r="B22" s="239" t="s">
        <v>130</v>
      </c>
      <c r="C22" s="160"/>
      <c r="D22" s="37">
        <v>3</v>
      </c>
      <c r="E22" s="33" t="s">
        <v>276</v>
      </c>
      <c r="F22" s="35"/>
      <c r="G22" s="103"/>
      <c r="H22" s="77"/>
      <c r="I22" s="169">
        <v>300</v>
      </c>
      <c r="J22" s="186" t="e">
        <f>I22/'통장내역(환율표)'!#REF!</f>
        <v>#REF!</v>
      </c>
      <c r="K22" s="82" t="e">
        <f t="shared" si="2"/>
        <v>#REF!</v>
      </c>
      <c r="L22" s="38" t="e">
        <f t="shared" si="2"/>
        <v>#REF!</v>
      </c>
      <c r="M22" s="34" t="s">
        <v>247</v>
      </c>
      <c r="N22" s="45" t="e">
        <f t="shared" ref="N22:N75" si="3">N21-J22+H22</f>
        <v>#REF!</v>
      </c>
    </row>
    <row r="23" spans="1:14" s="5" customFormat="1" ht="13.5" customHeight="1">
      <c r="A23" s="36">
        <v>44757</v>
      </c>
      <c r="B23" s="239" t="s">
        <v>246</v>
      </c>
      <c r="C23" s="160"/>
      <c r="D23" s="37">
        <v>3</v>
      </c>
      <c r="E23" s="33" t="s">
        <v>276</v>
      </c>
      <c r="F23" s="35"/>
      <c r="G23" s="103"/>
      <c r="H23" s="77"/>
      <c r="I23" s="169">
        <v>7707.43</v>
      </c>
      <c r="J23" s="186" t="e">
        <f>I23/'통장내역(환율표)'!#REF!</f>
        <v>#REF!</v>
      </c>
      <c r="K23" s="82" t="e">
        <f t="shared" si="2"/>
        <v>#REF!</v>
      </c>
      <c r="L23" s="38" t="e">
        <f t="shared" si="2"/>
        <v>#REF!</v>
      </c>
      <c r="M23" s="34" t="s">
        <v>247</v>
      </c>
      <c r="N23" s="45" t="e">
        <f t="shared" si="3"/>
        <v>#REF!</v>
      </c>
    </row>
    <row r="24" spans="1:14" s="5" customFormat="1" ht="13.5" customHeight="1">
      <c r="A24" s="36">
        <v>44757</v>
      </c>
      <c r="B24" s="239" t="s">
        <v>133</v>
      </c>
      <c r="C24" s="160"/>
      <c r="D24" s="37">
        <v>3</v>
      </c>
      <c r="E24" s="33" t="s">
        <v>276</v>
      </c>
      <c r="F24" s="35"/>
      <c r="G24" s="103"/>
      <c r="H24" s="77"/>
      <c r="I24" s="169">
        <v>4778.34</v>
      </c>
      <c r="J24" s="186" t="e">
        <f>I24/'통장내역(환율표)'!#REF!</f>
        <v>#REF!</v>
      </c>
      <c r="K24" s="82" t="e">
        <f t="shared" si="2"/>
        <v>#REF!</v>
      </c>
      <c r="L24" s="38" t="e">
        <f t="shared" si="2"/>
        <v>#REF!</v>
      </c>
      <c r="M24" s="34" t="s">
        <v>247</v>
      </c>
      <c r="N24" s="45" t="e">
        <f t="shared" si="3"/>
        <v>#REF!</v>
      </c>
    </row>
    <row r="25" spans="1:14" s="5" customFormat="1" ht="13.5" customHeight="1">
      <c r="A25" s="36">
        <v>44757</v>
      </c>
      <c r="B25" s="239" t="s">
        <v>132</v>
      </c>
      <c r="C25" s="160"/>
      <c r="D25" s="37">
        <v>3</v>
      </c>
      <c r="E25" s="33" t="s">
        <v>276</v>
      </c>
      <c r="F25" s="35"/>
      <c r="G25" s="103"/>
      <c r="H25" s="77"/>
      <c r="I25" s="169">
        <v>13500</v>
      </c>
      <c r="J25" s="186" t="e">
        <f>I25/'통장내역(환율표)'!#REF!</f>
        <v>#REF!</v>
      </c>
      <c r="K25" s="82" t="e">
        <f t="shared" si="2"/>
        <v>#REF!</v>
      </c>
      <c r="L25" s="38" t="e">
        <f t="shared" si="2"/>
        <v>#REF!</v>
      </c>
      <c r="M25" s="34" t="s">
        <v>247</v>
      </c>
      <c r="N25" s="45" t="e">
        <f t="shared" si="3"/>
        <v>#REF!</v>
      </c>
    </row>
    <row r="26" spans="1:14" s="5" customFormat="1" ht="13.5" customHeight="1">
      <c r="A26" s="36">
        <v>44757</v>
      </c>
      <c r="B26" s="239" t="s">
        <v>134</v>
      </c>
      <c r="C26" s="160"/>
      <c r="D26" s="37">
        <v>3</v>
      </c>
      <c r="E26" s="33" t="s">
        <v>276</v>
      </c>
      <c r="F26" s="35"/>
      <c r="G26" s="103"/>
      <c r="H26" s="77"/>
      <c r="I26" s="169">
        <v>20000</v>
      </c>
      <c r="J26" s="186" t="e">
        <f>I26/'통장내역(환율표)'!#REF!</f>
        <v>#REF!</v>
      </c>
      <c r="K26" s="82" t="e">
        <f t="shared" si="2"/>
        <v>#REF!</v>
      </c>
      <c r="L26" s="38" t="e">
        <f t="shared" si="2"/>
        <v>#REF!</v>
      </c>
      <c r="M26" s="34" t="s">
        <v>247</v>
      </c>
      <c r="N26" s="45" t="e">
        <f t="shared" si="3"/>
        <v>#REF!</v>
      </c>
    </row>
    <row r="27" spans="1:14" s="5" customFormat="1" ht="13.5" customHeight="1">
      <c r="A27" s="36">
        <v>44757</v>
      </c>
      <c r="B27" s="239" t="s">
        <v>130</v>
      </c>
      <c r="C27" s="160"/>
      <c r="D27" s="37">
        <v>3</v>
      </c>
      <c r="E27" s="33" t="s">
        <v>276</v>
      </c>
      <c r="F27" s="35"/>
      <c r="G27" s="103"/>
      <c r="H27" s="77"/>
      <c r="I27" s="169">
        <v>300</v>
      </c>
      <c r="J27" s="186" t="e">
        <f>I27/'통장내역(환율표)'!#REF!</f>
        <v>#REF!</v>
      </c>
      <c r="K27" s="82" t="e">
        <f t="shared" si="2"/>
        <v>#REF!</v>
      </c>
      <c r="L27" s="38" t="e">
        <f t="shared" si="2"/>
        <v>#REF!</v>
      </c>
      <c r="M27" s="34" t="s">
        <v>286</v>
      </c>
      <c r="N27" s="45" t="e">
        <f t="shared" si="3"/>
        <v>#REF!</v>
      </c>
    </row>
    <row r="28" spans="1:14" s="5" customFormat="1" ht="13.5" customHeight="1">
      <c r="A28" s="36">
        <v>44757</v>
      </c>
      <c r="B28" s="239" t="s">
        <v>246</v>
      </c>
      <c r="C28" s="160"/>
      <c r="D28" s="37">
        <v>3</v>
      </c>
      <c r="E28" s="33" t="s">
        <v>276</v>
      </c>
      <c r="F28" s="35"/>
      <c r="G28" s="103"/>
      <c r="H28" s="77"/>
      <c r="I28" s="169">
        <v>634.29</v>
      </c>
      <c r="J28" s="186" t="e">
        <f>I28/'통장내역(환율표)'!#REF!</f>
        <v>#REF!</v>
      </c>
      <c r="K28" s="82" t="e">
        <f t="shared" si="2"/>
        <v>#REF!</v>
      </c>
      <c r="L28" s="38" t="e">
        <f t="shared" si="2"/>
        <v>#REF!</v>
      </c>
      <c r="M28" s="34" t="s">
        <v>286</v>
      </c>
      <c r="N28" s="45" t="e">
        <f t="shared" si="3"/>
        <v>#REF!</v>
      </c>
    </row>
    <row r="29" spans="1:14" s="5" customFormat="1" ht="13.5" customHeight="1">
      <c r="A29" s="36">
        <v>44757</v>
      </c>
      <c r="B29" s="239" t="s">
        <v>133</v>
      </c>
      <c r="C29" s="160"/>
      <c r="D29" s="37">
        <v>3</v>
      </c>
      <c r="E29" s="33" t="s">
        <v>276</v>
      </c>
      <c r="F29" s="35"/>
      <c r="G29" s="103"/>
      <c r="H29" s="77"/>
      <c r="I29" s="169">
        <v>4332.43</v>
      </c>
      <c r="J29" s="186" t="e">
        <f>I29/'통장내역(환율표)'!#REF!</f>
        <v>#REF!</v>
      </c>
      <c r="K29" s="82" t="e">
        <f t="shared" si="2"/>
        <v>#REF!</v>
      </c>
      <c r="L29" s="38" t="e">
        <f t="shared" si="2"/>
        <v>#REF!</v>
      </c>
      <c r="M29" s="34" t="s">
        <v>286</v>
      </c>
      <c r="N29" s="45" t="e">
        <f t="shared" si="3"/>
        <v>#REF!</v>
      </c>
    </row>
    <row r="30" spans="1:14" s="5" customFormat="1" ht="13.5" customHeight="1">
      <c r="A30" s="36">
        <v>44757</v>
      </c>
      <c r="B30" s="239" t="s">
        <v>132</v>
      </c>
      <c r="C30" s="160"/>
      <c r="D30" s="37">
        <v>3</v>
      </c>
      <c r="E30" s="33" t="s">
        <v>276</v>
      </c>
      <c r="F30" s="35"/>
      <c r="G30" s="103"/>
      <c r="H30" s="77"/>
      <c r="I30" s="169">
        <v>13500</v>
      </c>
      <c r="J30" s="186" t="e">
        <f>I30/'통장내역(환율표)'!#REF!</f>
        <v>#REF!</v>
      </c>
      <c r="K30" s="82" t="e">
        <f t="shared" si="2"/>
        <v>#REF!</v>
      </c>
      <c r="L30" s="38" t="e">
        <f t="shared" si="2"/>
        <v>#REF!</v>
      </c>
      <c r="M30" s="34" t="s">
        <v>286</v>
      </c>
      <c r="N30" s="45" t="e">
        <f t="shared" si="3"/>
        <v>#REF!</v>
      </c>
    </row>
    <row r="31" spans="1:14" s="5" customFormat="1" ht="13.5" customHeight="1">
      <c r="A31" s="36">
        <v>44757</v>
      </c>
      <c r="B31" s="239" t="s">
        <v>134</v>
      </c>
      <c r="C31" s="160"/>
      <c r="D31" s="37">
        <v>3</v>
      </c>
      <c r="E31" s="33" t="s">
        <v>276</v>
      </c>
      <c r="F31" s="35"/>
      <c r="G31" s="103"/>
      <c r="H31" s="77"/>
      <c r="I31" s="169">
        <v>14000</v>
      </c>
      <c r="J31" s="186" t="e">
        <f>I31/'통장내역(환율표)'!#REF!</f>
        <v>#REF!</v>
      </c>
      <c r="K31" s="82" t="e">
        <f t="shared" si="2"/>
        <v>#REF!</v>
      </c>
      <c r="L31" s="38" t="e">
        <f t="shared" si="2"/>
        <v>#REF!</v>
      </c>
      <c r="M31" s="34" t="s">
        <v>286</v>
      </c>
      <c r="N31" s="45" t="e">
        <f t="shared" si="3"/>
        <v>#REF!</v>
      </c>
    </row>
    <row r="32" spans="1:14" s="5" customFormat="1" ht="13.5" customHeight="1">
      <c r="A32" s="36">
        <v>44757</v>
      </c>
      <c r="B32" s="239" t="s">
        <v>130</v>
      </c>
      <c r="C32" s="160"/>
      <c r="D32" s="37">
        <v>3</v>
      </c>
      <c r="E32" s="33" t="s">
        <v>276</v>
      </c>
      <c r="F32" s="35"/>
      <c r="G32" s="103"/>
      <c r="H32" s="77"/>
      <c r="I32" s="169">
        <v>300</v>
      </c>
      <c r="J32" s="186" t="e">
        <f>I32/'통장내역(환율표)'!#REF!</f>
        <v>#REF!</v>
      </c>
      <c r="K32" s="82" t="e">
        <f t="shared" si="2"/>
        <v>#REF!</v>
      </c>
      <c r="L32" s="38" t="e">
        <f t="shared" si="2"/>
        <v>#REF!</v>
      </c>
      <c r="M32" s="34" t="s">
        <v>287</v>
      </c>
      <c r="N32" s="45" t="e">
        <f t="shared" si="3"/>
        <v>#REF!</v>
      </c>
    </row>
    <row r="33" spans="1:14" s="5" customFormat="1" ht="13.5" customHeight="1">
      <c r="A33" s="36">
        <v>44757</v>
      </c>
      <c r="B33" s="239" t="s">
        <v>246</v>
      </c>
      <c r="C33" s="160"/>
      <c r="D33" s="37">
        <v>3</v>
      </c>
      <c r="E33" s="33" t="s">
        <v>276</v>
      </c>
      <c r="F33" s="35"/>
      <c r="G33" s="103"/>
      <c r="H33" s="77"/>
      <c r="I33" s="169">
        <v>501.68</v>
      </c>
      <c r="J33" s="186" t="e">
        <f>I33/'통장내역(환율표)'!#REF!</f>
        <v>#REF!</v>
      </c>
      <c r="K33" s="82" t="e">
        <f t="shared" si="2"/>
        <v>#REF!</v>
      </c>
      <c r="L33" s="38" t="e">
        <f t="shared" si="2"/>
        <v>#REF!</v>
      </c>
      <c r="M33" s="34" t="s">
        <v>287</v>
      </c>
      <c r="N33" s="45" t="e">
        <f t="shared" si="3"/>
        <v>#REF!</v>
      </c>
    </row>
    <row r="34" spans="1:14" s="5" customFormat="1" ht="13.5" customHeight="1">
      <c r="A34" s="36">
        <v>44757</v>
      </c>
      <c r="B34" s="239" t="s">
        <v>133</v>
      </c>
      <c r="C34" s="160"/>
      <c r="D34" s="37">
        <v>3</v>
      </c>
      <c r="E34" s="33" t="s">
        <v>276</v>
      </c>
      <c r="F34" s="35"/>
      <c r="G34" s="103"/>
      <c r="H34" s="77"/>
      <c r="I34" s="169">
        <v>8544.44</v>
      </c>
      <c r="J34" s="186" t="e">
        <f>I34/'통장내역(환율표)'!#REF!</f>
        <v>#REF!</v>
      </c>
      <c r="K34" s="82" t="e">
        <f t="shared" ref="K34:L49" si="4">K33+G34-I34</f>
        <v>#REF!</v>
      </c>
      <c r="L34" s="38" t="e">
        <f t="shared" si="4"/>
        <v>#REF!</v>
      </c>
      <c r="M34" s="34" t="s">
        <v>287</v>
      </c>
      <c r="N34" s="45" t="e">
        <f t="shared" si="3"/>
        <v>#REF!</v>
      </c>
    </row>
    <row r="35" spans="1:14" s="5" customFormat="1" ht="13.5" customHeight="1">
      <c r="A35" s="36">
        <v>44757</v>
      </c>
      <c r="B35" s="239" t="s">
        <v>132</v>
      </c>
      <c r="C35" s="160"/>
      <c r="D35" s="37">
        <v>3</v>
      </c>
      <c r="E35" s="33" t="s">
        <v>276</v>
      </c>
      <c r="F35" s="35"/>
      <c r="G35" s="103"/>
      <c r="H35" s="77"/>
      <c r="I35" s="169">
        <v>21220.91</v>
      </c>
      <c r="J35" s="186" t="e">
        <f>I35/'통장내역(환율표)'!#REF!</f>
        <v>#REF!</v>
      </c>
      <c r="K35" s="82" t="e">
        <f t="shared" si="4"/>
        <v>#REF!</v>
      </c>
      <c r="L35" s="38" t="e">
        <f t="shared" si="4"/>
        <v>#REF!</v>
      </c>
      <c r="M35" s="34" t="s">
        <v>287</v>
      </c>
      <c r="N35" s="45" t="e">
        <f t="shared" si="3"/>
        <v>#REF!</v>
      </c>
    </row>
    <row r="36" spans="1:14" s="5" customFormat="1" ht="13.5" customHeight="1">
      <c r="A36" s="36">
        <v>44757</v>
      </c>
      <c r="B36" s="239" t="s">
        <v>250</v>
      </c>
      <c r="C36" s="160"/>
      <c r="D36" s="37">
        <v>3</v>
      </c>
      <c r="E36" s="33" t="s">
        <v>276</v>
      </c>
      <c r="F36" s="35"/>
      <c r="G36" s="103"/>
      <c r="H36" s="77"/>
      <c r="I36" s="169">
        <v>12</v>
      </c>
      <c r="J36" s="186" t="e">
        <f>I36/'통장내역(환율표)'!#REF!</f>
        <v>#REF!</v>
      </c>
      <c r="K36" s="82" t="e">
        <f t="shared" si="4"/>
        <v>#REF!</v>
      </c>
      <c r="L36" s="38" t="e">
        <f t="shared" si="4"/>
        <v>#REF!</v>
      </c>
      <c r="M36" s="34"/>
      <c r="N36" s="45" t="e">
        <f t="shared" si="3"/>
        <v>#REF!</v>
      </c>
    </row>
    <row r="37" spans="1:14" s="5" customFormat="1" ht="31.5" customHeight="1">
      <c r="A37" s="36">
        <v>44757</v>
      </c>
      <c r="B37" s="239" t="s">
        <v>234</v>
      </c>
      <c r="C37" s="160"/>
      <c r="D37" s="37">
        <v>4</v>
      </c>
      <c r="E37" s="33" t="s">
        <v>277</v>
      </c>
      <c r="F37" s="35"/>
      <c r="G37" s="103"/>
      <c r="H37" s="77"/>
      <c r="I37" s="169">
        <v>28000</v>
      </c>
      <c r="J37" s="186" t="e">
        <f>I37/'통장내역(환율표)'!#REF!</f>
        <v>#REF!</v>
      </c>
      <c r="K37" s="82" t="e">
        <f t="shared" si="4"/>
        <v>#REF!</v>
      </c>
      <c r="L37" s="38" t="e">
        <f t="shared" si="4"/>
        <v>#REF!</v>
      </c>
      <c r="M37" s="241" t="s">
        <v>290</v>
      </c>
      <c r="N37" s="45" t="e">
        <f t="shared" si="3"/>
        <v>#REF!</v>
      </c>
    </row>
    <row r="38" spans="1:14" s="5" customFormat="1" ht="13.5" customHeight="1">
      <c r="A38" s="36">
        <v>44757</v>
      </c>
      <c r="B38" s="239" t="s">
        <v>250</v>
      </c>
      <c r="C38" s="160"/>
      <c r="D38" s="37">
        <v>4</v>
      </c>
      <c r="E38" s="33" t="s">
        <v>276</v>
      </c>
      <c r="F38" s="35"/>
      <c r="G38" s="103"/>
      <c r="H38" s="77"/>
      <c r="I38" s="169">
        <v>7.2</v>
      </c>
      <c r="J38" s="186" t="e">
        <f>I38/'통장내역(환율표)'!#REF!</f>
        <v>#REF!</v>
      </c>
      <c r="K38" s="82" t="e">
        <f t="shared" si="4"/>
        <v>#REF!</v>
      </c>
      <c r="L38" s="38" t="e">
        <f t="shared" si="4"/>
        <v>#REF!</v>
      </c>
      <c r="M38" s="34"/>
      <c r="N38" s="45" t="e">
        <f t="shared" si="3"/>
        <v>#REF!</v>
      </c>
    </row>
    <row r="39" spans="1:14" s="5" customFormat="1" ht="13.5" customHeight="1">
      <c r="A39" s="36">
        <v>44760</v>
      </c>
      <c r="B39" s="239" t="s">
        <v>235</v>
      </c>
      <c r="C39" s="160"/>
      <c r="D39" s="37">
        <v>5</v>
      </c>
      <c r="E39" s="33" t="s">
        <v>276</v>
      </c>
      <c r="F39" s="35"/>
      <c r="G39" s="103"/>
      <c r="H39" s="77"/>
      <c r="I39" s="169">
        <v>548.35</v>
      </c>
      <c r="J39" s="186" t="e">
        <f>I39/'통장내역(환율표)'!#REF!</f>
        <v>#REF!</v>
      </c>
      <c r="K39" s="82" t="e">
        <f t="shared" si="4"/>
        <v>#REF!</v>
      </c>
      <c r="L39" s="38" t="e">
        <f t="shared" si="4"/>
        <v>#REF!</v>
      </c>
      <c r="M39" s="34" t="s">
        <v>235</v>
      </c>
      <c r="N39" s="45" t="e">
        <f t="shared" si="3"/>
        <v>#REF!</v>
      </c>
    </row>
    <row r="40" spans="1:14" s="5" customFormat="1" ht="13.5" customHeight="1">
      <c r="A40" s="36">
        <v>44760</v>
      </c>
      <c r="B40" s="239" t="s">
        <v>250</v>
      </c>
      <c r="C40" s="160"/>
      <c r="D40" s="37">
        <v>5</v>
      </c>
      <c r="E40" s="33" t="s">
        <v>276</v>
      </c>
      <c r="F40" s="35"/>
      <c r="G40" s="103"/>
      <c r="H40" s="77"/>
      <c r="I40" s="169">
        <v>3.6</v>
      </c>
      <c r="J40" s="186" t="e">
        <f>I40/'통장내역(환율표)'!#REF!</f>
        <v>#REF!</v>
      </c>
      <c r="K40" s="82" t="e">
        <f t="shared" si="4"/>
        <v>#REF!</v>
      </c>
      <c r="L40" s="38" t="e">
        <f t="shared" si="4"/>
        <v>#REF!</v>
      </c>
      <c r="M40" s="34"/>
      <c r="N40" s="45" t="e">
        <f t="shared" si="3"/>
        <v>#REF!</v>
      </c>
    </row>
    <row r="41" spans="1:14" s="5" customFormat="1" ht="13.5" customHeight="1">
      <c r="A41" s="36">
        <v>44760</v>
      </c>
      <c r="B41" s="239" t="s">
        <v>248</v>
      </c>
      <c r="C41" s="160"/>
      <c r="D41" s="37">
        <v>6</v>
      </c>
      <c r="E41" s="33" t="s">
        <v>276</v>
      </c>
      <c r="F41" s="35"/>
      <c r="G41" s="103"/>
      <c r="H41" s="77"/>
      <c r="I41" s="169">
        <v>717.1</v>
      </c>
      <c r="J41" s="186" t="e">
        <f>I41/'통장내역(환율표)'!#REF!</f>
        <v>#REF!</v>
      </c>
      <c r="K41" s="82" t="e">
        <f t="shared" si="4"/>
        <v>#REF!</v>
      </c>
      <c r="L41" s="38" t="e">
        <f t="shared" si="4"/>
        <v>#REF!</v>
      </c>
      <c r="M41" s="34"/>
      <c r="N41" s="45" t="e">
        <f t="shared" si="3"/>
        <v>#REF!</v>
      </c>
    </row>
    <row r="42" spans="1:14" s="5" customFormat="1" ht="13.5" customHeight="1">
      <c r="A42" s="36">
        <v>44760</v>
      </c>
      <c r="B42" s="239" t="s">
        <v>249</v>
      </c>
      <c r="C42" s="160"/>
      <c r="D42" s="37">
        <v>6</v>
      </c>
      <c r="E42" s="33" t="s">
        <v>276</v>
      </c>
      <c r="F42" s="35"/>
      <c r="G42" s="103"/>
      <c r="H42" s="77"/>
      <c r="I42" s="169">
        <v>800</v>
      </c>
      <c r="J42" s="186" t="e">
        <f>I42/'통장내역(환율표)'!#REF!</f>
        <v>#REF!</v>
      </c>
      <c r="K42" s="82" t="e">
        <f t="shared" si="4"/>
        <v>#REF!</v>
      </c>
      <c r="L42" s="38" t="e">
        <f t="shared" si="4"/>
        <v>#REF!</v>
      </c>
      <c r="M42" s="34"/>
      <c r="N42" s="45" t="e">
        <f t="shared" si="3"/>
        <v>#REF!</v>
      </c>
    </row>
    <row r="43" spans="1:14" s="5" customFormat="1" ht="13.5" customHeight="1">
      <c r="A43" s="36">
        <v>44760</v>
      </c>
      <c r="B43" s="239" t="s">
        <v>250</v>
      </c>
      <c r="C43" s="160"/>
      <c r="D43" s="37">
        <v>6</v>
      </c>
      <c r="E43" s="33" t="s">
        <v>276</v>
      </c>
      <c r="F43" s="35"/>
      <c r="G43" s="103"/>
      <c r="H43" s="77"/>
      <c r="I43" s="169">
        <v>3.6</v>
      </c>
      <c r="J43" s="186" t="e">
        <f>I43/'통장내역(환율표)'!#REF!</f>
        <v>#REF!</v>
      </c>
      <c r="K43" s="82" t="e">
        <f t="shared" si="4"/>
        <v>#REF!</v>
      </c>
      <c r="L43" s="38" t="e">
        <f t="shared" si="4"/>
        <v>#REF!</v>
      </c>
      <c r="M43" s="34"/>
      <c r="N43" s="45" t="e">
        <f t="shared" si="3"/>
        <v>#REF!</v>
      </c>
    </row>
    <row r="44" spans="1:14" s="5" customFormat="1" ht="13.5" customHeight="1">
      <c r="A44" s="36">
        <v>44760</v>
      </c>
      <c r="B44" s="239" t="s">
        <v>251</v>
      </c>
      <c r="C44" s="160"/>
      <c r="D44" s="37">
        <v>7</v>
      </c>
      <c r="E44" s="33" t="s">
        <v>278</v>
      </c>
      <c r="F44" s="35"/>
      <c r="G44" s="103"/>
      <c r="H44" s="77"/>
      <c r="I44" s="169">
        <v>930</v>
      </c>
      <c r="J44" s="186" t="e">
        <f>I44/'통장내역(환율표)'!#REF!</f>
        <v>#REF!</v>
      </c>
      <c r="K44" s="82" t="e">
        <f t="shared" si="4"/>
        <v>#REF!</v>
      </c>
      <c r="L44" s="38" t="e">
        <f t="shared" si="4"/>
        <v>#REF!</v>
      </c>
      <c r="M44" s="34"/>
      <c r="N44" s="45" t="e">
        <f t="shared" si="3"/>
        <v>#REF!</v>
      </c>
    </row>
    <row r="45" spans="1:14" s="5" customFormat="1" ht="13.5" customHeight="1">
      <c r="A45" s="36">
        <v>44760</v>
      </c>
      <c r="B45" s="239" t="s">
        <v>253</v>
      </c>
      <c r="C45" s="160"/>
      <c r="D45" s="37">
        <v>7</v>
      </c>
      <c r="E45" s="33" t="s">
        <v>278</v>
      </c>
      <c r="F45" s="35"/>
      <c r="G45" s="103"/>
      <c r="H45" s="77"/>
      <c r="I45" s="169">
        <v>1531.19</v>
      </c>
      <c r="J45" s="186" t="e">
        <f>I45/'통장내역(환율표)'!#REF!</f>
        <v>#REF!</v>
      </c>
      <c r="K45" s="82" t="e">
        <f t="shared" si="4"/>
        <v>#REF!</v>
      </c>
      <c r="L45" s="38" t="e">
        <f t="shared" si="4"/>
        <v>#REF!</v>
      </c>
      <c r="M45" s="34"/>
      <c r="N45" s="45" t="e">
        <f t="shared" si="3"/>
        <v>#REF!</v>
      </c>
    </row>
    <row r="46" spans="1:14" s="5" customFormat="1" ht="13.5" customHeight="1">
      <c r="A46" s="36">
        <v>44760</v>
      </c>
      <c r="B46" s="239" t="s">
        <v>252</v>
      </c>
      <c r="C46" s="160"/>
      <c r="D46" s="37">
        <v>7</v>
      </c>
      <c r="E46" s="33" t="s">
        <v>278</v>
      </c>
      <c r="F46" s="35"/>
      <c r="G46" s="103"/>
      <c r="H46" s="77"/>
      <c r="I46" s="169">
        <v>19</v>
      </c>
      <c r="J46" s="186" t="e">
        <f>I46/'통장내역(환율표)'!#REF!</f>
        <v>#REF!</v>
      </c>
      <c r="K46" s="82" t="e">
        <f t="shared" si="4"/>
        <v>#REF!</v>
      </c>
      <c r="L46" s="38" t="e">
        <f t="shared" si="4"/>
        <v>#REF!</v>
      </c>
      <c r="M46" s="34"/>
      <c r="N46" s="45" t="e">
        <f t="shared" si="3"/>
        <v>#REF!</v>
      </c>
    </row>
    <row r="47" spans="1:14" s="5" customFormat="1" ht="13.5" customHeight="1">
      <c r="A47" s="36">
        <v>44760</v>
      </c>
      <c r="B47" s="239" t="s">
        <v>250</v>
      </c>
      <c r="C47" s="160"/>
      <c r="D47" s="37">
        <v>7</v>
      </c>
      <c r="E47" s="33" t="s">
        <v>276</v>
      </c>
      <c r="F47" s="35"/>
      <c r="G47" s="103"/>
      <c r="H47" s="77"/>
      <c r="I47" s="169">
        <v>3.6</v>
      </c>
      <c r="J47" s="186" t="e">
        <f>I47/'통장내역(환율표)'!#REF!</f>
        <v>#REF!</v>
      </c>
      <c r="K47" s="82" t="e">
        <f t="shared" si="4"/>
        <v>#REF!</v>
      </c>
      <c r="L47" s="38" t="e">
        <f t="shared" si="4"/>
        <v>#REF!</v>
      </c>
      <c r="M47" s="34"/>
      <c r="N47" s="45" t="e">
        <f t="shared" si="3"/>
        <v>#REF!</v>
      </c>
    </row>
    <row r="48" spans="1:14" s="5" customFormat="1" ht="13.5" customHeight="1">
      <c r="A48" s="36">
        <v>44760</v>
      </c>
      <c r="B48" s="239" t="s">
        <v>236</v>
      </c>
      <c r="C48" s="160"/>
      <c r="D48" s="37">
        <v>8</v>
      </c>
      <c r="E48" s="33" t="s">
        <v>276</v>
      </c>
      <c r="F48" s="35"/>
      <c r="G48" s="103"/>
      <c r="H48" s="77"/>
      <c r="I48" s="169">
        <v>641.49</v>
      </c>
      <c r="J48" s="186" t="e">
        <f>I48/'통장내역(환율표)'!#REF!</f>
        <v>#REF!</v>
      </c>
      <c r="K48" s="82" t="e">
        <f t="shared" si="4"/>
        <v>#REF!</v>
      </c>
      <c r="L48" s="38" t="e">
        <f t="shared" si="4"/>
        <v>#REF!</v>
      </c>
      <c r="M48" s="34" t="s">
        <v>236</v>
      </c>
      <c r="N48" s="45" t="e">
        <f t="shared" si="3"/>
        <v>#REF!</v>
      </c>
    </row>
    <row r="49" spans="1:14" s="5" customFormat="1" ht="13.5" customHeight="1">
      <c r="A49" s="36">
        <v>44760</v>
      </c>
      <c r="B49" s="239" t="s">
        <v>250</v>
      </c>
      <c r="C49" s="160"/>
      <c r="D49" s="37">
        <v>8</v>
      </c>
      <c r="E49" s="33" t="s">
        <v>276</v>
      </c>
      <c r="F49" s="35"/>
      <c r="G49" s="103"/>
      <c r="H49" s="77"/>
      <c r="I49" s="169">
        <v>3.6</v>
      </c>
      <c r="J49" s="186" t="e">
        <f>I49/'통장내역(환율표)'!#REF!</f>
        <v>#REF!</v>
      </c>
      <c r="K49" s="82" t="e">
        <f t="shared" si="4"/>
        <v>#REF!</v>
      </c>
      <c r="L49" s="38" t="e">
        <f t="shared" si="4"/>
        <v>#REF!</v>
      </c>
      <c r="M49" s="34"/>
      <c r="N49" s="45" t="e">
        <f t="shared" si="3"/>
        <v>#REF!</v>
      </c>
    </row>
    <row r="50" spans="1:14" s="5" customFormat="1" ht="13.5" customHeight="1">
      <c r="A50" s="36">
        <v>44760</v>
      </c>
      <c r="B50" s="239" t="s">
        <v>237</v>
      </c>
      <c r="C50" s="160"/>
      <c r="D50" s="37">
        <v>9</v>
      </c>
      <c r="E50" s="33" t="s">
        <v>278</v>
      </c>
      <c r="F50" s="35"/>
      <c r="G50" s="103"/>
      <c r="H50" s="77"/>
      <c r="I50" s="169">
        <v>415.08</v>
      </c>
      <c r="J50" s="186" t="e">
        <f>I50/'통장내역(환율표)'!#REF!</f>
        <v>#REF!</v>
      </c>
      <c r="K50" s="82" t="e">
        <f t="shared" ref="K50:L65" si="5">K49+G50-I50</f>
        <v>#REF!</v>
      </c>
      <c r="L50" s="38" t="e">
        <f t="shared" si="5"/>
        <v>#REF!</v>
      </c>
      <c r="M50" s="34" t="s">
        <v>237</v>
      </c>
      <c r="N50" s="45" t="e">
        <f t="shared" si="3"/>
        <v>#REF!</v>
      </c>
    </row>
    <row r="51" spans="1:14" s="5" customFormat="1" ht="13.5" customHeight="1">
      <c r="A51" s="36">
        <v>44760</v>
      </c>
      <c r="B51" s="239" t="s">
        <v>250</v>
      </c>
      <c r="C51" s="160"/>
      <c r="D51" s="37">
        <v>9</v>
      </c>
      <c r="E51" s="33" t="s">
        <v>276</v>
      </c>
      <c r="F51" s="35"/>
      <c r="G51" s="103"/>
      <c r="H51" s="77"/>
      <c r="I51" s="169">
        <v>3.6</v>
      </c>
      <c r="J51" s="186" t="e">
        <f>I51/'통장내역(환율표)'!#REF!</f>
        <v>#REF!</v>
      </c>
      <c r="K51" s="82" t="e">
        <f t="shared" si="5"/>
        <v>#REF!</v>
      </c>
      <c r="L51" s="38" t="e">
        <f t="shared" si="5"/>
        <v>#REF!</v>
      </c>
      <c r="M51" s="34"/>
      <c r="N51" s="45" t="e">
        <f t="shared" si="3"/>
        <v>#REF!</v>
      </c>
    </row>
    <row r="52" spans="1:14" s="5" customFormat="1" ht="13.5" customHeight="1">
      <c r="A52" s="36">
        <v>44760</v>
      </c>
      <c r="B52" s="239" t="s">
        <v>254</v>
      </c>
      <c r="C52" s="160"/>
      <c r="D52" s="37">
        <v>10</v>
      </c>
      <c r="E52" s="33" t="s">
        <v>276</v>
      </c>
      <c r="F52" s="35"/>
      <c r="G52" s="103"/>
      <c r="H52" s="77"/>
      <c r="I52" s="169">
        <v>320</v>
      </c>
      <c r="J52" s="186" t="e">
        <f>I52/'통장내역(환율표)'!#REF!</f>
        <v>#REF!</v>
      </c>
      <c r="K52" s="82" t="e">
        <f t="shared" si="5"/>
        <v>#REF!</v>
      </c>
      <c r="L52" s="38" t="e">
        <f t="shared" si="5"/>
        <v>#REF!</v>
      </c>
      <c r="M52" s="34"/>
      <c r="N52" s="45" t="e">
        <f t="shared" si="3"/>
        <v>#REF!</v>
      </c>
    </row>
    <row r="53" spans="1:14" s="5" customFormat="1" ht="13.5" customHeight="1">
      <c r="A53" s="36">
        <v>44760</v>
      </c>
      <c r="B53" s="239" t="s">
        <v>255</v>
      </c>
      <c r="C53" s="160"/>
      <c r="D53" s="37">
        <v>10</v>
      </c>
      <c r="E53" s="33" t="s">
        <v>276</v>
      </c>
      <c r="F53" s="35"/>
      <c r="G53" s="103"/>
      <c r="H53" s="77"/>
      <c r="I53" s="169">
        <v>131</v>
      </c>
      <c r="J53" s="186" t="e">
        <f>I53/'통장내역(환율표)'!#REF!</f>
        <v>#REF!</v>
      </c>
      <c r="K53" s="82" t="e">
        <f t="shared" si="5"/>
        <v>#REF!</v>
      </c>
      <c r="L53" s="38" t="e">
        <f t="shared" si="5"/>
        <v>#REF!</v>
      </c>
      <c r="M53" s="34"/>
      <c r="N53" s="45" t="e">
        <f t="shared" si="3"/>
        <v>#REF!</v>
      </c>
    </row>
    <row r="54" spans="1:14" s="5" customFormat="1" ht="13.5" customHeight="1">
      <c r="A54" s="36">
        <v>44760</v>
      </c>
      <c r="B54" s="239" t="s">
        <v>256</v>
      </c>
      <c r="C54" s="160"/>
      <c r="D54" s="37">
        <v>10</v>
      </c>
      <c r="E54" s="33" t="s">
        <v>276</v>
      </c>
      <c r="F54" s="35"/>
      <c r="G54" s="103"/>
      <c r="H54" s="77"/>
      <c r="I54" s="169">
        <v>300</v>
      </c>
      <c r="J54" s="186" t="e">
        <f>I54/'통장내역(환율표)'!#REF!</f>
        <v>#REF!</v>
      </c>
      <c r="K54" s="82" t="e">
        <f t="shared" si="5"/>
        <v>#REF!</v>
      </c>
      <c r="L54" s="38" t="e">
        <f t="shared" si="5"/>
        <v>#REF!</v>
      </c>
      <c r="M54" s="34"/>
      <c r="N54" s="45" t="e">
        <f t="shared" si="3"/>
        <v>#REF!</v>
      </c>
    </row>
    <row r="55" spans="1:14" s="5" customFormat="1" ht="13.5" customHeight="1">
      <c r="A55" s="36">
        <v>44760</v>
      </c>
      <c r="B55" s="239" t="s">
        <v>257</v>
      </c>
      <c r="C55" s="160"/>
      <c r="D55" s="37">
        <v>10</v>
      </c>
      <c r="E55" s="33" t="s">
        <v>276</v>
      </c>
      <c r="F55" s="35"/>
      <c r="G55" s="103"/>
      <c r="H55" s="77"/>
      <c r="I55" s="169">
        <v>150</v>
      </c>
      <c r="J55" s="186" t="e">
        <f>I55/'통장내역(환율표)'!#REF!</f>
        <v>#REF!</v>
      </c>
      <c r="K55" s="82" t="e">
        <f t="shared" si="5"/>
        <v>#REF!</v>
      </c>
      <c r="L55" s="38" t="e">
        <f t="shared" si="5"/>
        <v>#REF!</v>
      </c>
      <c r="M55" s="34"/>
      <c r="N55" s="45" t="e">
        <f t="shared" si="3"/>
        <v>#REF!</v>
      </c>
    </row>
    <row r="56" spans="1:14" s="5" customFormat="1" ht="13.5" customHeight="1">
      <c r="A56" s="36">
        <v>44760</v>
      </c>
      <c r="B56" s="239" t="s">
        <v>250</v>
      </c>
      <c r="C56" s="160"/>
      <c r="D56" s="37">
        <v>10</v>
      </c>
      <c r="E56" s="33" t="s">
        <v>276</v>
      </c>
      <c r="F56" s="35"/>
      <c r="G56" s="103"/>
      <c r="H56" s="77"/>
      <c r="I56" s="169">
        <v>3.6</v>
      </c>
      <c r="J56" s="186" t="e">
        <f>I56/'통장내역(환율표)'!#REF!</f>
        <v>#REF!</v>
      </c>
      <c r="K56" s="82" t="e">
        <f t="shared" si="5"/>
        <v>#REF!</v>
      </c>
      <c r="L56" s="38" t="e">
        <f t="shared" si="5"/>
        <v>#REF!</v>
      </c>
      <c r="M56" s="34"/>
      <c r="N56" s="45" t="e">
        <f t="shared" si="3"/>
        <v>#REF!</v>
      </c>
    </row>
    <row r="57" spans="1:14" s="5" customFormat="1" ht="13.5" customHeight="1">
      <c r="A57" s="36">
        <v>44760</v>
      </c>
      <c r="B57" s="239" t="s">
        <v>258</v>
      </c>
      <c r="C57" s="160"/>
      <c r="D57" s="37">
        <v>11</v>
      </c>
      <c r="E57" s="33" t="s">
        <v>279</v>
      </c>
      <c r="F57" s="35" t="s">
        <v>280</v>
      </c>
      <c r="G57" s="103"/>
      <c r="H57" s="77"/>
      <c r="I57" s="169">
        <v>500</v>
      </c>
      <c r="J57" s="186" t="e">
        <f>I57/'통장내역(환율표)'!#REF!</f>
        <v>#REF!</v>
      </c>
      <c r="K57" s="82" t="e">
        <f t="shared" si="5"/>
        <v>#REF!</v>
      </c>
      <c r="L57" s="38" t="e">
        <f t="shared" si="5"/>
        <v>#REF!</v>
      </c>
      <c r="M57" s="34"/>
      <c r="N57" s="45" t="e">
        <f t="shared" si="3"/>
        <v>#REF!</v>
      </c>
    </row>
    <row r="58" spans="1:14" s="5" customFormat="1" ht="13.5" customHeight="1">
      <c r="A58" s="36">
        <v>44760</v>
      </c>
      <c r="B58" s="239" t="s">
        <v>259</v>
      </c>
      <c r="C58" s="160"/>
      <c r="D58" s="37">
        <v>11</v>
      </c>
      <c r="E58" s="33" t="s">
        <v>279</v>
      </c>
      <c r="F58" s="35" t="s">
        <v>280</v>
      </c>
      <c r="G58" s="103"/>
      <c r="H58" s="77"/>
      <c r="I58" s="169">
        <v>399</v>
      </c>
      <c r="J58" s="186" t="e">
        <f>I58/'통장내역(환율표)'!#REF!</f>
        <v>#REF!</v>
      </c>
      <c r="K58" s="82" t="e">
        <f t="shared" si="5"/>
        <v>#REF!</v>
      </c>
      <c r="L58" s="38" t="e">
        <f t="shared" si="5"/>
        <v>#REF!</v>
      </c>
      <c r="M58" s="34"/>
      <c r="N58" s="45" t="e">
        <f t="shared" si="3"/>
        <v>#REF!</v>
      </c>
    </row>
    <row r="59" spans="1:14" s="5" customFormat="1" ht="13.5" customHeight="1">
      <c r="A59" s="36">
        <v>44760</v>
      </c>
      <c r="B59" s="239" t="s">
        <v>250</v>
      </c>
      <c r="C59" s="160"/>
      <c r="D59" s="37">
        <v>11</v>
      </c>
      <c r="E59" s="33" t="s">
        <v>276</v>
      </c>
      <c r="F59" s="35"/>
      <c r="G59" s="103"/>
      <c r="H59" s="77"/>
      <c r="I59" s="169">
        <v>3.6</v>
      </c>
      <c r="J59" s="186" t="e">
        <f>I59/'통장내역(환율표)'!#REF!</f>
        <v>#REF!</v>
      </c>
      <c r="K59" s="82" t="e">
        <f t="shared" si="5"/>
        <v>#REF!</v>
      </c>
      <c r="L59" s="38" t="e">
        <f t="shared" si="5"/>
        <v>#REF!</v>
      </c>
      <c r="M59" s="34"/>
      <c r="N59" s="45" t="e">
        <f t="shared" si="3"/>
        <v>#REF!</v>
      </c>
    </row>
    <row r="60" spans="1:14" s="5" customFormat="1" ht="13.5" customHeight="1">
      <c r="A60" s="36">
        <v>44760</v>
      </c>
      <c r="B60" s="239" t="s">
        <v>238</v>
      </c>
      <c r="C60" s="160"/>
      <c r="D60" s="37">
        <v>12</v>
      </c>
      <c r="E60" s="33" t="s">
        <v>281</v>
      </c>
      <c r="F60" s="35" t="s">
        <v>282</v>
      </c>
      <c r="G60" s="103"/>
      <c r="H60" s="77"/>
      <c r="I60" s="169">
        <v>983</v>
      </c>
      <c r="J60" s="186">
        <v>146.47</v>
      </c>
      <c r="K60" s="82" t="e">
        <f t="shared" si="5"/>
        <v>#REF!</v>
      </c>
      <c r="L60" s="38" t="e">
        <f t="shared" si="5"/>
        <v>#REF!</v>
      </c>
      <c r="M60" s="34" t="s">
        <v>238</v>
      </c>
      <c r="N60" s="45" t="e">
        <f t="shared" si="3"/>
        <v>#REF!</v>
      </c>
    </row>
    <row r="61" spans="1:14" s="5" customFormat="1" ht="13.5" customHeight="1">
      <c r="A61" s="36">
        <v>44760</v>
      </c>
      <c r="B61" s="239" t="s">
        <v>250</v>
      </c>
      <c r="C61" s="160"/>
      <c r="D61" s="37">
        <v>12</v>
      </c>
      <c r="E61" s="33" t="s">
        <v>276</v>
      </c>
      <c r="F61" s="35"/>
      <c r="G61" s="103"/>
      <c r="H61" s="77"/>
      <c r="I61" s="169">
        <v>3.6</v>
      </c>
      <c r="J61" s="186" t="e">
        <f>I61/'통장내역(환율표)'!#REF!</f>
        <v>#REF!</v>
      </c>
      <c r="K61" s="82" t="e">
        <f t="shared" si="5"/>
        <v>#REF!</v>
      </c>
      <c r="L61" s="38" t="e">
        <f t="shared" si="5"/>
        <v>#REF!</v>
      </c>
      <c r="M61" s="34"/>
      <c r="N61" s="45" t="e">
        <f t="shared" si="3"/>
        <v>#REF!</v>
      </c>
    </row>
    <row r="62" spans="1:14" s="5" customFormat="1" ht="13.5" customHeight="1">
      <c r="A62" s="36">
        <v>44760</v>
      </c>
      <c r="B62" s="239" t="s">
        <v>239</v>
      </c>
      <c r="C62" s="160"/>
      <c r="D62" s="37">
        <v>13</v>
      </c>
      <c r="E62" s="33" t="s">
        <v>278</v>
      </c>
      <c r="F62" s="35"/>
      <c r="G62" s="103"/>
      <c r="H62" s="77"/>
      <c r="I62" s="169">
        <v>1260.42</v>
      </c>
      <c r="J62" s="186" t="e">
        <f>I62/'통장내역(환율표)'!#REF!</f>
        <v>#REF!</v>
      </c>
      <c r="K62" s="82" t="e">
        <f t="shared" si="5"/>
        <v>#REF!</v>
      </c>
      <c r="L62" s="38" t="e">
        <f t="shared" si="5"/>
        <v>#REF!</v>
      </c>
      <c r="M62" s="34" t="s">
        <v>239</v>
      </c>
      <c r="N62" s="45" t="e">
        <f t="shared" si="3"/>
        <v>#REF!</v>
      </c>
    </row>
    <row r="63" spans="1:14" s="5" customFormat="1" ht="13.5" customHeight="1">
      <c r="A63" s="36">
        <v>44760</v>
      </c>
      <c r="B63" s="239" t="s">
        <v>250</v>
      </c>
      <c r="C63" s="160"/>
      <c r="D63" s="37">
        <v>13</v>
      </c>
      <c r="E63" s="33" t="s">
        <v>276</v>
      </c>
      <c r="F63" s="35"/>
      <c r="G63" s="103"/>
      <c r="H63" s="77"/>
      <c r="I63" s="169">
        <v>3.6</v>
      </c>
      <c r="J63" s="186" t="e">
        <f>I63/'통장내역(환율표)'!#REF!</f>
        <v>#REF!</v>
      </c>
      <c r="K63" s="82" t="e">
        <f t="shared" si="5"/>
        <v>#REF!</v>
      </c>
      <c r="L63" s="38" t="e">
        <f t="shared" si="5"/>
        <v>#REF!</v>
      </c>
      <c r="M63" s="34"/>
      <c r="N63" s="45" t="e">
        <f t="shared" si="3"/>
        <v>#REF!</v>
      </c>
    </row>
    <row r="64" spans="1:14" s="5" customFormat="1" ht="13.5" customHeight="1">
      <c r="A64" s="36">
        <v>44760</v>
      </c>
      <c r="B64" s="239" t="s">
        <v>240</v>
      </c>
      <c r="C64" s="160"/>
      <c r="D64" s="37">
        <v>14</v>
      </c>
      <c r="E64" s="33" t="s">
        <v>283</v>
      </c>
      <c r="F64" s="35" t="s">
        <v>285</v>
      </c>
      <c r="G64" s="103"/>
      <c r="H64" s="77"/>
      <c r="I64" s="169">
        <v>19440</v>
      </c>
      <c r="J64" s="186" t="e">
        <f>I64/'통장내역(환율표)'!#REF!</f>
        <v>#REF!</v>
      </c>
      <c r="K64" s="82" t="e">
        <f t="shared" si="5"/>
        <v>#REF!</v>
      </c>
      <c r="L64" s="38" t="e">
        <f t="shared" si="5"/>
        <v>#REF!</v>
      </c>
      <c r="M64" s="34" t="s">
        <v>240</v>
      </c>
      <c r="N64" s="45" t="e">
        <f t="shared" si="3"/>
        <v>#REF!</v>
      </c>
    </row>
    <row r="65" spans="1:14" s="5" customFormat="1" ht="13.5" customHeight="1">
      <c r="A65" s="36">
        <v>44760</v>
      </c>
      <c r="B65" s="239" t="s">
        <v>250</v>
      </c>
      <c r="C65" s="160"/>
      <c r="D65" s="37">
        <v>14</v>
      </c>
      <c r="E65" s="33" t="s">
        <v>276</v>
      </c>
      <c r="F65" s="35"/>
      <c r="G65" s="103"/>
      <c r="H65" s="77"/>
      <c r="I65" s="169">
        <v>7.2</v>
      </c>
      <c r="J65" s="186" t="e">
        <f>I65/'통장내역(환율표)'!#REF!</f>
        <v>#REF!</v>
      </c>
      <c r="K65" s="82" t="e">
        <f t="shared" si="5"/>
        <v>#REF!</v>
      </c>
      <c r="L65" s="38" t="e">
        <f t="shared" si="5"/>
        <v>#REF!</v>
      </c>
      <c r="M65" s="34"/>
      <c r="N65" s="45" t="e">
        <f t="shared" si="3"/>
        <v>#REF!</v>
      </c>
    </row>
    <row r="66" spans="1:14" s="5" customFormat="1" ht="13.5" customHeight="1">
      <c r="A66" s="36">
        <v>44760</v>
      </c>
      <c r="B66" s="239" t="s">
        <v>241</v>
      </c>
      <c r="C66" s="160"/>
      <c r="D66" s="37">
        <v>15</v>
      </c>
      <c r="E66" s="33" t="s">
        <v>283</v>
      </c>
      <c r="F66" s="35" t="s">
        <v>284</v>
      </c>
      <c r="G66" s="103"/>
      <c r="H66" s="77"/>
      <c r="I66" s="169">
        <v>16500</v>
      </c>
      <c r="J66" s="186" t="e">
        <f>I66/'통장내역(환율표)'!#REF!</f>
        <v>#REF!</v>
      </c>
      <c r="K66" s="82" t="e">
        <f t="shared" ref="K66:L75" si="6">K65+G66-I66</f>
        <v>#REF!</v>
      </c>
      <c r="L66" s="38" t="e">
        <f t="shared" si="6"/>
        <v>#REF!</v>
      </c>
      <c r="M66" s="34" t="s">
        <v>241</v>
      </c>
      <c r="N66" s="45" t="e">
        <f t="shared" si="3"/>
        <v>#REF!</v>
      </c>
    </row>
    <row r="67" spans="1:14" s="5" customFormat="1" ht="13.5" customHeight="1">
      <c r="A67" s="36">
        <v>44760</v>
      </c>
      <c r="B67" s="239" t="s">
        <v>250</v>
      </c>
      <c r="C67" s="160"/>
      <c r="D67" s="37">
        <v>15</v>
      </c>
      <c r="E67" s="33" t="s">
        <v>276</v>
      </c>
      <c r="F67" s="35"/>
      <c r="G67" s="103"/>
      <c r="H67" s="77"/>
      <c r="I67" s="169">
        <v>7.2</v>
      </c>
      <c r="J67" s="186" t="e">
        <f>I67/'통장내역(환율표)'!#REF!</f>
        <v>#REF!</v>
      </c>
      <c r="K67" s="82" t="e">
        <f t="shared" si="6"/>
        <v>#REF!</v>
      </c>
      <c r="L67" s="38" t="e">
        <f t="shared" si="6"/>
        <v>#REF!</v>
      </c>
      <c r="M67" s="34"/>
      <c r="N67" s="45" t="e">
        <f t="shared" si="3"/>
        <v>#REF!</v>
      </c>
    </row>
    <row r="68" spans="1:14" s="5" customFormat="1" ht="13.5" customHeight="1">
      <c r="A68" s="36">
        <v>44760</v>
      </c>
      <c r="B68" s="239" t="s">
        <v>242</v>
      </c>
      <c r="C68" s="160"/>
      <c r="D68" s="37">
        <v>16</v>
      </c>
      <c r="E68" s="33" t="s">
        <v>276</v>
      </c>
      <c r="F68" s="35"/>
      <c r="G68" s="103"/>
      <c r="H68" s="77"/>
      <c r="I68" s="169">
        <v>1000</v>
      </c>
      <c r="J68" s="186" t="e">
        <f>I68/'통장내역(환율표)'!#REF!</f>
        <v>#REF!</v>
      </c>
      <c r="K68" s="82" t="e">
        <f t="shared" si="6"/>
        <v>#REF!</v>
      </c>
      <c r="L68" s="38" t="e">
        <f t="shared" si="6"/>
        <v>#REF!</v>
      </c>
      <c r="M68" s="34" t="s">
        <v>242</v>
      </c>
      <c r="N68" s="45" t="e">
        <f t="shared" si="3"/>
        <v>#REF!</v>
      </c>
    </row>
    <row r="69" spans="1:14" s="5" customFormat="1" ht="13.5" customHeight="1">
      <c r="A69" s="36">
        <v>44760</v>
      </c>
      <c r="B69" s="239" t="s">
        <v>250</v>
      </c>
      <c r="C69" s="160"/>
      <c r="D69" s="37">
        <v>16</v>
      </c>
      <c r="E69" s="33" t="s">
        <v>276</v>
      </c>
      <c r="F69" s="35"/>
      <c r="G69" s="103"/>
      <c r="H69" s="77"/>
      <c r="I69" s="169">
        <v>3.6</v>
      </c>
      <c r="J69" s="186" t="e">
        <f>I69/'통장내역(환율표)'!#REF!</f>
        <v>#REF!</v>
      </c>
      <c r="K69" s="82" t="e">
        <f t="shared" si="6"/>
        <v>#REF!</v>
      </c>
      <c r="L69" s="38" t="e">
        <f t="shared" si="6"/>
        <v>#REF!</v>
      </c>
      <c r="M69" s="34"/>
      <c r="N69" s="45" t="e">
        <f t="shared" si="3"/>
        <v>#REF!</v>
      </c>
    </row>
    <row r="70" spans="1:14" s="5" customFormat="1" ht="13.5" customHeight="1">
      <c r="A70" s="36">
        <v>44760</v>
      </c>
      <c r="B70" s="239" t="s">
        <v>243</v>
      </c>
      <c r="C70" s="160"/>
      <c r="D70" s="37">
        <v>17</v>
      </c>
      <c r="E70" s="33" t="s">
        <v>279</v>
      </c>
      <c r="F70" s="35" t="s">
        <v>280</v>
      </c>
      <c r="G70" s="103"/>
      <c r="H70" s="77"/>
      <c r="I70" s="169">
        <v>900</v>
      </c>
      <c r="J70" s="186" t="e">
        <f>I70/'통장내역(환율표)'!#REF!</f>
        <v>#REF!</v>
      </c>
      <c r="K70" s="82" t="e">
        <f t="shared" si="6"/>
        <v>#REF!</v>
      </c>
      <c r="L70" s="38" t="e">
        <f t="shared" si="6"/>
        <v>#REF!</v>
      </c>
      <c r="M70" s="34" t="s">
        <v>243</v>
      </c>
      <c r="N70" s="45" t="e">
        <f t="shared" si="3"/>
        <v>#REF!</v>
      </c>
    </row>
    <row r="71" spans="1:14" s="5" customFormat="1" ht="13.5" customHeight="1">
      <c r="A71" s="36">
        <v>44760</v>
      </c>
      <c r="B71" s="239" t="s">
        <v>250</v>
      </c>
      <c r="C71" s="160"/>
      <c r="D71" s="37">
        <v>17</v>
      </c>
      <c r="E71" s="33" t="s">
        <v>276</v>
      </c>
      <c r="F71" s="35"/>
      <c r="G71" s="103"/>
      <c r="H71" s="77"/>
      <c r="I71" s="169">
        <v>3.6</v>
      </c>
      <c r="J71" s="186" t="e">
        <f>I71/'통장내역(환율표)'!#REF!</f>
        <v>#REF!</v>
      </c>
      <c r="K71" s="82" t="e">
        <f t="shared" si="6"/>
        <v>#REF!</v>
      </c>
      <c r="L71" s="38" t="e">
        <f t="shared" si="6"/>
        <v>#REF!</v>
      </c>
      <c r="M71" s="34"/>
      <c r="N71" s="45" t="e">
        <f t="shared" si="3"/>
        <v>#REF!</v>
      </c>
    </row>
    <row r="72" spans="1:14" s="5" customFormat="1" ht="13.5" customHeight="1">
      <c r="A72" s="36">
        <v>44760</v>
      </c>
      <c r="B72" s="239" t="s">
        <v>244</v>
      </c>
      <c r="C72" s="160"/>
      <c r="D72" s="37">
        <v>18</v>
      </c>
      <c r="E72" s="33" t="s">
        <v>281</v>
      </c>
      <c r="F72" s="35" t="s">
        <v>282</v>
      </c>
      <c r="G72" s="103"/>
      <c r="H72" s="77"/>
      <c r="I72" s="169">
        <v>3724.69</v>
      </c>
      <c r="J72" s="186" t="e">
        <f>I72/'통장내역(환율표)'!#REF!</f>
        <v>#REF!</v>
      </c>
      <c r="K72" s="82" t="e">
        <f t="shared" si="6"/>
        <v>#REF!</v>
      </c>
      <c r="L72" s="38" t="e">
        <f t="shared" si="6"/>
        <v>#REF!</v>
      </c>
      <c r="M72" s="34" t="s">
        <v>244</v>
      </c>
      <c r="N72" s="45" t="e">
        <f t="shared" si="3"/>
        <v>#REF!</v>
      </c>
    </row>
    <row r="73" spans="1:14" s="5" customFormat="1" ht="13.5" customHeight="1">
      <c r="A73" s="36">
        <v>44760</v>
      </c>
      <c r="B73" s="239" t="s">
        <v>250</v>
      </c>
      <c r="C73" s="160"/>
      <c r="D73" s="37">
        <v>18</v>
      </c>
      <c r="E73" s="33" t="s">
        <v>276</v>
      </c>
      <c r="F73" s="35"/>
      <c r="G73" s="103"/>
      <c r="H73" s="77"/>
      <c r="I73" s="169">
        <v>3.6</v>
      </c>
      <c r="J73" s="186" t="e">
        <f>I73/'통장내역(환율표)'!#REF!</f>
        <v>#REF!</v>
      </c>
      <c r="K73" s="82" t="e">
        <f t="shared" si="6"/>
        <v>#REF!</v>
      </c>
      <c r="L73" s="38" t="e">
        <f t="shared" si="6"/>
        <v>#REF!</v>
      </c>
      <c r="M73" s="34"/>
      <c r="N73" s="45" t="e">
        <f t="shared" si="3"/>
        <v>#REF!</v>
      </c>
    </row>
    <row r="74" spans="1:14" s="5" customFormat="1" ht="13.5" customHeight="1">
      <c r="A74" s="36">
        <v>44763</v>
      </c>
      <c r="B74" s="239" t="s">
        <v>245</v>
      </c>
      <c r="C74" s="160"/>
      <c r="D74" s="37">
        <v>19</v>
      </c>
      <c r="E74" s="33" t="s">
        <v>278</v>
      </c>
      <c r="F74" s="35"/>
      <c r="G74" s="103"/>
      <c r="H74" s="77"/>
      <c r="I74" s="169">
        <v>24149.91</v>
      </c>
      <c r="J74" s="186" t="e">
        <f>I74/'통장내역(환율표)'!#REF!</f>
        <v>#REF!</v>
      </c>
      <c r="K74" s="82" t="e">
        <f t="shared" si="6"/>
        <v>#REF!</v>
      </c>
      <c r="L74" s="38" t="e">
        <f t="shared" si="6"/>
        <v>#REF!</v>
      </c>
      <c r="M74" s="34" t="s">
        <v>245</v>
      </c>
      <c r="N74" s="45" t="e">
        <f t="shared" si="3"/>
        <v>#REF!</v>
      </c>
    </row>
    <row r="75" spans="1:14" s="5" customFormat="1" ht="13.5" customHeight="1">
      <c r="A75" s="36">
        <v>44763</v>
      </c>
      <c r="B75" s="239" t="s">
        <v>250</v>
      </c>
      <c r="C75" s="160"/>
      <c r="D75" s="37">
        <v>19</v>
      </c>
      <c r="E75" s="33" t="s">
        <v>276</v>
      </c>
      <c r="F75" s="35"/>
      <c r="G75" s="103"/>
      <c r="H75" s="77"/>
      <c r="I75" s="169">
        <v>7.2</v>
      </c>
      <c r="J75" s="186" t="e">
        <f>I75/'통장내역(환율표)'!#REF!</f>
        <v>#REF!</v>
      </c>
      <c r="K75" s="82" t="e">
        <f t="shared" si="6"/>
        <v>#REF!</v>
      </c>
      <c r="L75" s="38" t="e">
        <f t="shared" si="6"/>
        <v>#REF!</v>
      </c>
      <c r="M75" s="34"/>
      <c r="N75" s="45" t="e">
        <f t="shared" si="3"/>
        <v>#REF!</v>
      </c>
    </row>
  </sheetData>
  <autoFilter ref="A16:N75" xr:uid="{00000000-0009-0000-0000-000006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8DA90"/>
    <pageSetUpPr fitToPage="1"/>
  </sheetPr>
  <dimension ref="A1:N67"/>
  <sheetViews>
    <sheetView showGridLines="0" topLeftCell="A16" zoomScaleNormal="100" workbookViewId="0">
      <selection activeCell="E53" sqref="E52:E53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41.59765625" customWidth="1"/>
    <col min="14" max="14" width="9.59765625" bestFit="1" customWidth="1"/>
  </cols>
  <sheetData>
    <row r="1" spans="1:13" ht="24">
      <c r="A1" s="1" t="s">
        <v>332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335</v>
      </c>
      <c r="B2" s="2"/>
      <c r="C2" s="2"/>
      <c r="E2" s="4">
        <v>100048802</v>
      </c>
      <c r="F2" s="7"/>
      <c r="G2" s="5" t="s">
        <v>336</v>
      </c>
      <c r="H2" s="2"/>
      <c r="I2" s="2"/>
      <c r="K2" s="4">
        <v>100048803</v>
      </c>
      <c r="L2" s="139">
        <v>1200000696</v>
      </c>
    </row>
    <row r="3" spans="1:13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5.6">
      <c r="A5" s="114" t="s">
        <v>293</v>
      </c>
      <c r="B5" s="115" t="s">
        <v>12</v>
      </c>
      <c r="C5" s="120"/>
      <c r="D5" s="116"/>
      <c r="E5" s="117"/>
      <c r="F5" s="121">
        <v>51131050</v>
      </c>
      <c r="G5" s="114" t="s">
        <v>293</v>
      </c>
      <c r="H5" s="115" t="s">
        <v>12</v>
      </c>
      <c r="I5" s="120">
        <v>3453</v>
      </c>
      <c r="J5" s="116">
        <v>513.94055372071318</v>
      </c>
      <c r="K5" s="117">
        <v>670743</v>
      </c>
      <c r="L5" s="240">
        <f>K5+E5</f>
        <v>670743</v>
      </c>
    </row>
    <row r="6" spans="1:13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12434.15</v>
      </c>
      <c r="J6" s="116">
        <v>1850.6846035465987</v>
      </c>
      <c r="K6" s="117">
        <v>2415322</v>
      </c>
      <c r="L6" s="240">
        <f t="shared" ref="L6:L10" si="0">K6+E6</f>
        <v>2415322</v>
      </c>
    </row>
    <row r="7" spans="1:13" s="5" customFormat="1" ht="15.6">
      <c r="A7" s="114" t="s">
        <v>295</v>
      </c>
      <c r="B7" s="115" t="s">
        <v>16</v>
      </c>
      <c r="C7" s="116"/>
      <c r="D7" s="116"/>
      <c r="E7" s="117"/>
      <c r="F7" s="121">
        <v>51201020</v>
      </c>
      <c r="G7" s="114" t="s">
        <v>295</v>
      </c>
      <c r="H7" s="115" t="s">
        <v>16</v>
      </c>
      <c r="I7" s="116">
        <v>19440</v>
      </c>
      <c r="J7" s="116">
        <v>2893.4272702955877</v>
      </c>
      <c r="K7" s="117">
        <v>3776215</v>
      </c>
      <c r="L7" s="240">
        <f t="shared" si="0"/>
        <v>3776215</v>
      </c>
    </row>
    <row r="8" spans="1:13" s="5" customFormat="1" ht="15.6">
      <c r="A8" s="114" t="s">
        <v>295</v>
      </c>
      <c r="B8" s="114" t="s">
        <v>17</v>
      </c>
      <c r="C8" s="116"/>
      <c r="D8" s="116"/>
      <c r="E8" s="117"/>
      <c r="F8" s="121">
        <v>51201030</v>
      </c>
      <c r="G8" s="114" t="s">
        <v>295</v>
      </c>
      <c r="H8" s="114" t="s">
        <v>17</v>
      </c>
      <c r="I8" s="116">
        <v>16500</v>
      </c>
      <c r="J8" s="116">
        <v>2455.841047318786</v>
      </c>
      <c r="K8" s="117">
        <v>3205117</v>
      </c>
      <c r="L8" s="240">
        <f t="shared" si="0"/>
        <v>3205117</v>
      </c>
    </row>
    <row r="9" spans="1:13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997.6</v>
      </c>
      <c r="J9" s="116">
        <v>148.4816381094073</v>
      </c>
      <c r="K9" s="117">
        <v>193781</v>
      </c>
      <c r="L9" s="240">
        <f t="shared" si="0"/>
        <v>193781</v>
      </c>
    </row>
    <row r="10" spans="1:13" s="5" customFormat="1" ht="15.6">
      <c r="A10" s="114" t="s">
        <v>297</v>
      </c>
      <c r="B10" s="115"/>
      <c r="C10" s="116">
        <v>16280.374568992227</v>
      </c>
      <c r="D10" s="116">
        <v>2425.7413001402224</v>
      </c>
      <c r="E10" s="117">
        <v>3151764</v>
      </c>
      <c r="F10" s="121">
        <v>51321010</v>
      </c>
      <c r="G10" s="114" t="s">
        <v>297</v>
      </c>
      <c r="H10" s="115"/>
      <c r="I10" s="116">
        <v>105948.79543100785</v>
      </c>
      <c r="J10" s="116">
        <v>15795.297014148484</v>
      </c>
      <c r="K10" s="117">
        <v>20614446</v>
      </c>
      <c r="L10" s="240">
        <f t="shared" si="0"/>
        <v>23766210</v>
      </c>
    </row>
    <row r="11" spans="1:13" s="5" customFormat="1" ht="15.6">
      <c r="A11" s="122" t="s">
        <v>298</v>
      </c>
      <c r="B11" s="123"/>
      <c r="C11" s="116"/>
      <c r="D11" s="116"/>
      <c r="E11" s="117"/>
      <c r="F11" s="121">
        <v>13081010</v>
      </c>
      <c r="G11" s="122" t="s">
        <v>298</v>
      </c>
      <c r="H11" s="123"/>
      <c r="I11" s="116"/>
      <c r="J11" s="116"/>
      <c r="K11" s="117"/>
      <c r="L11" s="119"/>
    </row>
    <row r="12" spans="1:13" s="5" customFormat="1" ht="15.6">
      <c r="A12" s="2045" t="s">
        <v>299</v>
      </c>
      <c r="B12" s="2046"/>
      <c r="C12" s="124">
        <f>SUM(C4:C11)</f>
        <v>16280.374568992227</v>
      </c>
      <c r="D12" s="124">
        <f>SUM(D4:D11)</f>
        <v>2425.7413001402224</v>
      </c>
      <c r="E12" s="125">
        <f>SUM(E4:E11)</f>
        <v>3151764</v>
      </c>
      <c r="F12" s="121">
        <v>52981010</v>
      </c>
      <c r="G12" s="2045" t="s">
        <v>299</v>
      </c>
      <c r="H12" s="2046"/>
      <c r="I12" s="124">
        <f>SUM(I4:I11)</f>
        <v>158773.54543100786</v>
      </c>
      <c r="J12" s="124">
        <f>SUM(J4:J11)</f>
        <v>23657.672127139576</v>
      </c>
      <c r="K12" s="125">
        <f>SUM(K4:K10)</f>
        <v>30875624</v>
      </c>
      <c r="L12" s="119"/>
    </row>
    <row r="13" spans="1:13" s="5" customFormat="1" ht="15.6">
      <c r="A13" s="126"/>
      <c r="B13" s="127"/>
      <c r="C13" s="128">
        <f>C12+I12</f>
        <v>175053.9200000001</v>
      </c>
      <c r="D13" s="128">
        <f t="shared" ref="D13:E13" si="1">D12+J12</f>
        <v>26083.4134272798</v>
      </c>
      <c r="E13" s="242">
        <f t="shared" si="1"/>
        <v>34027388</v>
      </c>
      <c r="F13" s="118"/>
      <c r="G13" s="130"/>
      <c r="H13" s="130"/>
      <c r="I13" s="131"/>
      <c r="J13" s="130"/>
      <c r="K13" s="119">
        <v>16280.085986968166</v>
      </c>
      <c r="L13" s="245">
        <v>2425.7418328151257</v>
      </c>
    </row>
    <row r="14" spans="1:13" s="5" customFormat="1" ht="15.6">
      <c r="A14" s="133" t="s">
        <v>298</v>
      </c>
      <c r="B14" s="134">
        <v>13081010</v>
      </c>
      <c r="C14" s="135"/>
      <c r="D14" s="135"/>
      <c r="E14" s="136"/>
      <c r="F14" s="119"/>
      <c r="G14" s="6"/>
      <c r="H14" s="137">
        <f>SUBTOTAL(9,H17:H67)</f>
        <v>23964.199999999997</v>
      </c>
      <c r="I14" s="137" t="e">
        <f>SUBTOTAL(9,I17:I67)</f>
        <v>#REF!</v>
      </c>
      <c r="J14" s="137" t="e">
        <f>SUBTOTAL(9,J17:J67)</f>
        <v>#REF!</v>
      </c>
      <c r="K14" s="139"/>
      <c r="L14" s="45"/>
    </row>
    <row r="15" spans="1:13" s="5" customFormat="1" ht="15.6">
      <c r="A15" s="2047" t="s">
        <v>300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301</v>
      </c>
      <c r="H15" s="2055"/>
      <c r="I15" s="2053" t="s">
        <v>30</v>
      </c>
      <c r="J15" s="2055"/>
      <c r="K15" s="2056" t="s">
        <v>31</v>
      </c>
      <c r="L15" s="2042"/>
      <c r="M15" s="2043" t="s">
        <v>32</v>
      </c>
    </row>
    <row r="16" spans="1:13" s="5" customFormat="1" ht="14.25" customHeight="1">
      <c r="A16" s="2058"/>
      <c r="B16" s="2059"/>
      <c r="C16" s="2059"/>
      <c r="D16" s="2059"/>
      <c r="E16" s="2059"/>
      <c r="F16" s="2060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57"/>
    </row>
    <row r="17" spans="1:14" s="5" customFormat="1" ht="13.5" customHeight="1">
      <c r="A17" s="105">
        <v>44742</v>
      </c>
      <c r="B17" s="155" t="s">
        <v>65</v>
      </c>
      <c r="C17" s="156"/>
      <c r="D17" s="106"/>
      <c r="E17" s="107" t="s">
        <v>366</v>
      </c>
      <c r="F17" s="106"/>
      <c r="G17" s="108"/>
      <c r="H17" s="109"/>
      <c r="I17" s="110"/>
      <c r="J17" s="111"/>
      <c r="K17" s="112">
        <v>16280.085986968166</v>
      </c>
      <c r="L17" s="108">
        <v>2425.4813001402222</v>
      </c>
      <c r="M17" s="106"/>
      <c r="N17" s="45">
        <v>2425.4813001402222</v>
      </c>
    </row>
    <row r="18" spans="1:14" s="5" customFormat="1" ht="13.5" customHeight="1">
      <c r="A18" s="36"/>
      <c r="B18" s="239" t="s">
        <v>316</v>
      </c>
      <c r="C18" s="160"/>
      <c r="D18" s="37"/>
      <c r="E18" s="33" t="s">
        <v>21</v>
      </c>
      <c r="F18" s="35"/>
      <c r="G18" s="103"/>
      <c r="H18" s="77">
        <v>0.26</v>
      </c>
      <c r="I18" s="169"/>
      <c r="J18" s="186"/>
      <c r="K18" s="83">
        <f>K17+G18-I18</f>
        <v>16280.085986968166</v>
      </c>
      <c r="L18" s="83">
        <f>L17+H18-J18</f>
        <v>2425.7413001402224</v>
      </c>
      <c r="M18" s="34"/>
      <c r="N18" s="45">
        <f>N17-J18+H18</f>
        <v>2425.7413001402224</v>
      </c>
    </row>
    <row r="19" spans="1:14" s="5" customFormat="1" ht="13.5" customHeight="1">
      <c r="A19" s="57">
        <v>44784</v>
      </c>
      <c r="B19" s="173" t="s">
        <v>232</v>
      </c>
      <c r="C19" s="174"/>
      <c r="D19" s="60">
        <v>1</v>
      </c>
      <c r="E19" s="59"/>
      <c r="F19" s="61"/>
      <c r="G19" s="175">
        <v>160831.26</v>
      </c>
      <c r="H19" s="78">
        <v>23963.94</v>
      </c>
      <c r="I19" s="176"/>
      <c r="J19" s="102"/>
      <c r="K19" s="83">
        <f t="shared" ref="K19:K67" si="2">K18+G19-I19</f>
        <v>177111.34598696817</v>
      </c>
      <c r="L19" s="62">
        <f t="shared" ref="L19:L67" si="3">L18+H19-J19</f>
        <v>26389.681300140222</v>
      </c>
      <c r="M19" s="58" t="s">
        <v>232</v>
      </c>
      <c r="N19" s="45"/>
    </row>
    <row r="20" spans="1:14" s="5" customFormat="1" ht="13.5" customHeight="1">
      <c r="A20" s="57">
        <v>44784</v>
      </c>
      <c r="B20" s="173" t="s">
        <v>288</v>
      </c>
      <c r="C20" s="174"/>
      <c r="D20" s="60"/>
      <c r="E20" s="59" t="s">
        <v>276</v>
      </c>
      <c r="F20" s="61"/>
      <c r="G20" s="175"/>
      <c r="H20" s="78"/>
      <c r="I20" s="176"/>
      <c r="J20" s="86">
        <v>26</v>
      </c>
      <c r="K20" s="83">
        <f t="shared" si="2"/>
        <v>177111.34598696817</v>
      </c>
      <c r="L20" s="62">
        <f t="shared" si="3"/>
        <v>26363.681300140222</v>
      </c>
      <c r="M20" s="58"/>
      <c r="N20" s="45"/>
    </row>
    <row r="21" spans="1:14" s="5" customFormat="1" ht="13.5" customHeight="1">
      <c r="A21" s="36">
        <v>44793</v>
      </c>
      <c r="B21" s="239" t="s">
        <v>130</v>
      </c>
      <c r="C21" s="160"/>
      <c r="D21" s="37">
        <v>2</v>
      </c>
      <c r="E21" s="33" t="s">
        <v>276</v>
      </c>
      <c r="F21" s="35"/>
      <c r="G21" s="103"/>
      <c r="H21" s="77"/>
      <c r="I21" s="169">
        <v>300</v>
      </c>
      <c r="J21" s="186" t="e">
        <f>I21/'통장내역(환율표)'!#REF!</f>
        <v>#REF!</v>
      </c>
      <c r="K21" s="82">
        <f t="shared" si="2"/>
        <v>176811.34598696817</v>
      </c>
      <c r="L21" s="38" t="e">
        <f t="shared" si="3"/>
        <v>#REF!</v>
      </c>
      <c r="M21" s="34" t="s">
        <v>247</v>
      </c>
      <c r="N21" s="45" t="e">
        <f>N18-J21+H21</f>
        <v>#REF!</v>
      </c>
    </row>
    <row r="22" spans="1:14" s="5" customFormat="1" ht="13.5" customHeight="1">
      <c r="A22" s="36">
        <v>44793</v>
      </c>
      <c r="B22" s="239" t="s">
        <v>246</v>
      </c>
      <c r="C22" s="160"/>
      <c r="D22" s="37">
        <v>2</v>
      </c>
      <c r="E22" s="33" t="s">
        <v>21</v>
      </c>
      <c r="F22" s="35"/>
      <c r="G22" s="103"/>
      <c r="H22" s="77"/>
      <c r="I22" s="169">
        <v>7707.43</v>
      </c>
      <c r="J22" s="186" t="e">
        <f>I22/'통장내역(환율표)'!#REF!</f>
        <v>#REF!</v>
      </c>
      <c r="K22" s="82">
        <f t="shared" si="2"/>
        <v>169103.91598696818</v>
      </c>
      <c r="L22" s="38" t="e">
        <f t="shared" si="3"/>
        <v>#REF!</v>
      </c>
      <c r="M22" s="34" t="s">
        <v>247</v>
      </c>
      <c r="N22" s="45" t="e">
        <f>N21-J22+H22</f>
        <v>#REF!</v>
      </c>
    </row>
    <row r="23" spans="1:14" s="5" customFormat="1" ht="13.5" customHeight="1">
      <c r="A23" s="36">
        <v>44793</v>
      </c>
      <c r="B23" s="239" t="s">
        <v>330</v>
      </c>
      <c r="C23" s="160"/>
      <c r="D23" s="37">
        <v>2</v>
      </c>
      <c r="E23" s="33" t="s">
        <v>21</v>
      </c>
      <c r="F23" s="35"/>
      <c r="G23" s="103"/>
      <c r="H23" s="77"/>
      <c r="I23" s="169">
        <v>5104.58</v>
      </c>
      <c r="J23" s="186" t="e">
        <f>I23/'통장내역(환율표)'!#REF!</f>
        <v>#REF!</v>
      </c>
      <c r="K23" s="82">
        <f t="shared" si="2"/>
        <v>163999.33598696819</v>
      </c>
      <c r="L23" s="38" t="e">
        <f t="shared" si="3"/>
        <v>#REF!</v>
      </c>
      <c r="M23" s="34" t="s">
        <v>331</v>
      </c>
      <c r="N23" s="45" t="e">
        <f t="shared" ref="N23" si="4">N22-J23+H23</f>
        <v>#REF!</v>
      </c>
    </row>
    <row r="24" spans="1:14" s="5" customFormat="1" ht="13.5" customHeight="1">
      <c r="A24" s="229">
        <v>44793</v>
      </c>
      <c r="B24" s="244" t="s">
        <v>328</v>
      </c>
      <c r="C24" s="156"/>
      <c r="D24" s="230">
        <v>2</v>
      </c>
      <c r="E24" s="231" t="s">
        <v>21</v>
      </c>
      <c r="F24" s="232"/>
      <c r="G24" s="233"/>
      <c r="H24" s="234"/>
      <c r="I24" s="235" t="e">
        <f>J24*'통장내역(환율표)'!#REF!</f>
        <v>#REF!</v>
      </c>
      <c r="J24" s="186">
        <v>472.07960457762192</v>
      </c>
      <c r="K24" s="236" t="e">
        <f t="shared" si="2"/>
        <v>#REF!</v>
      </c>
      <c r="L24" s="237" t="e">
        <f t="shared" si="3"/>
        <v>#REF!</v>
      </c>
      <c r="M24" s="238" t="s">
        <v>247</v>
      </c>
      <c r="N24" s="45" t="e">
        <f>N23-J24</f>
        <v>#REF!</v>
      </c>
    </row>
    <row r="25" spans="1:14" s="5" customFormat="1" ht="13.5" customHeight="1">
      <c r="A25" s="229">
        <v>44793</v>
      </c>
      <c r="B25" s="244" t="s">
        <v>329</v>
      </c>
      <c r="C25" s="156"/>
      <c r="D25" s="230">
        <v>2</v>
      </c>
      <c r="E25" s="231" t="s">
        <v>21</v>
      </c>
      <c r="F25" s="232"/>
      <c r="G25" s="233"/>
      <c r="H25" s="234"/>
      <c r="I25" s="235" t="e">
        <f>13500-I24</f>
        <v>#REF!</v>
      </c>
      <c r="J25" s="86" t="e">
        <f>I25/'통장내역(환율표)'!#REF!</f>
        <v>#REF!</v>
      </c>
      <c r="K25" s="236" t="e">
        <f t="shared" si="2"/>
        <v>#REF!</v>
      </c>
      <c r="L25" s="237" t="e">
        <f t="shared" si="3"/>
        <v>#REF!</v>
      </c>
      <c r="M25" s="238"/>
      <c r="N25" s="45" t="e">
        <f>23937.94-J25</f>
        <v>#REF!</v>
      </c>
    </row>
    <row r="26" spans="1:14" s="5" customFormat="1" ht="13.5" customHeight="1">
      <c r="A26" s="36">
        <v>44793</v>
      </c>
      <c r="B26" s="239" t="s">
        <v>134</v>
      </c>
      <c r="C26" s="160"/>
      <c r="D26" s="37">
        <v>2</v>
      </c>
      <c r="E26" s="33" t="s">
        <v>21</v>
      </c>
      <c r="F26" s="35"/>
      <c r="G26" s="103"/>
      <c r="H26" s="77"/>
      <c r="I26" s="169">
        <v>20000</v>
      </c>
      <c r="J26" s="86" t="e">
        <f>I26/'통장내역(환율표)'!#REF!</f>
        <v>#REF!</v>
      </c>
      <c r="K26" s="82" t="e">
        <f t="shared" si="2"/>
        <v>#REF!</v>
      </c>
      <c r="L26" s="38" t="e">
        <f t="shared" si="3"/>
        <v>#REF!</v>
      </c>
      <c r="M26" s="34" t="s">
        <v>247</v>
      </c>
      <c r="N26" s="45" t="e">
        <f>N25-J26</f>
        <v>#REF!</v>
      </c>
    </row>
    <row r="27" spans="1:14" s="5" customFormat="1" ht="13.5" customHeight="1">
      <c r="A27" s="36">
        <v>44793</v>
      </c>
      <c r="B27" s="239" t="s">
        <v>130</v>
      </c>
      <c r="C27" s="160"/>
      <c r="D27" s="37">
        <v>2</v>
      </c>
      <c r="E27" s="33" t="s">
        <v>21</v>
      </c>
      <c r="F27" s="35"/>
      <c r="G27" s="103"/>
      <c r="H27" s="77"/>
      <c r="I27" s="169">
        <v>300</v>
      </c>
      <c r="J27" s="86" t="e">
        <f>I27/'통장내역(환율표)'!#REF!</f>
        <v>#REF!</v>
      </c>
      <c r="K27" s="82" t="e">
        <f t="shared" si="2"/>
        <v>#REF!</v>
      </c>
      <c r="L27" s="38" t="e">
        <f t="shared" si="3"/>
        <v>#REF!</v>
      </c>
      <c r="M27" s="34" t="s">
        <v>286</v>
      </c>
      <c r="N27" s="45" t="e">
        <f t="shared" ref="N27:N67" si="5">N26-J27</f>
        <v>#REF!</v>
      </c>
    </row>
    <row r="28" spans="1:14" s="5" customFormat="1" ht="13.5" customHeight="1">
      <c r="A28" s="36">
        <v>44793</v>
      </c>
      <c r="B28" s="239" t="s">
        <v>246</v>
      </c>
      <c r="C28" s="160"/>
      <c r="D28" s="37">
        <v>2</v>
      </c>
      <c r="E28" s="33" t="s">
        <v>21</v>
      </c>
      <c r="F28" s="35"/>
      <c r="G28" s="103"/>
      <c r="H28" s="77"/>
      <c r="I28" s="169">
        <v>4332.43</v>
      </c>
      <c r="J28" s="86" t="e">
        <f>I28/'통장내역(환율표)'!#REF!</f>
        <v>#REF!</v>
      </c>
      <c r="K28" s="82" t="e">
        <f t="shared" si="2"/>
        <v>#REF!</v>
      </c>
      <c r="L28" s="38" t="e">
        <f t="shared" si="3"/>
        <v>#REF!</v>
      </c>
      <c r="M28" s="34" t="s">
        <v>286</v>
      </c>
      <c r="N28" s="45" t="e">
        <f t="shared" si="5"/>
        <v>#REF!</v>
      </c>
    </row>
    <row r="29" spans="1:14" s="5" customFormat="1" ht="13.5" customHeight="1">
      <c r="A29" s="36">
        <v>44793</v>
      </c>
      <c r="B29" s="239" t="s">
        <v>133</v>
      </c>
      <c r="C29" s="160"/>
      <c r="D29" s="37">
        <v>2</v>
      </c>
      <c r="E29" s="33" t="s">
        <v>21</v>
      </c>
      <c r="F29" s="35"/>
      <c r="G29" s="103"/>
      <c r="H29" s="77"/>
      <c r="I29" s="169">
        <v>2071.79</v>
      </c>
      <c r="J29" s="86" t="e">
        <f>I29/'통장내역(환율표)'!#REF!</f>
        <v>#REF!</v>
      </c>
      <c r="K29" s="82" t="e">
        <f t="shared" si="2"/>
        <v>#REF!</v>
      </c>
      <c r="L29" s="38" t="e">
        <f t="shared" si="3"/>
        <v>#REF!</v>
      </c>
      <c r="M29" s="34" t="s">
        <v>286</v>
      </c>
      <c r="N29" s="45" t="e">
        <f t="shared" si="5"/>
        <v>#REF!</v>
      </c>
    </row>
    <row r="30" spans="1:14" s="5" customFormat="1" ht="13.5" customHeight="1">
      <c r="A30" s="36">
        <v>44793</v>
      </c>
      <c r="B30" s="239" t="s">
        <v>132</v>
      </c>
      <c r="C30" s="160"/>
      <c r="D30" s="37">
        <v>2</v>
      </c>
      <c r="E30" s="33" t="s">
        <v>21</v>
      </c>
      <c r="F30" s="35"/>
      <c r="G30" s="103"/>
      <c r="H30" s="77"/>
      <c r="I30" s="169">
        <v>13500</v>
      </c>
      <c r="J30" s="86" t="e">
        <f>I30/'통장내역(환율표)'!#REF!</f>
        <v>#REF!</v>
      </c>
      <c r="K30" s="82" t="e">
        <f t="shared" si="2"/>
        <v>#REF!</v>
      </c>
      <c r="L30" s="38" t="e">
        <f t="shared" si="3"/>
        <v>#REF!</v>
      </c>
      <c r="M30" s="34" t="s">
        <v>286</v>
      </c>
      <c r="N30" s="45" t="e">
        <f t="shared" si="5"/>
        <v>#REF!</v>
      </c>
    </row>
    <row r="31" spans="1:14" s="5" customFormat="1" ht="13.5" customHeight="1">
      <c r="A31" s="36">
        <v>44793</v>
      </c>
      <c r="B31" s="239" t="s">
        <v>134</v>
      </c>
      <c r="C31" s="160"/>
      <c r="D31" s="37">
        <v>2</v>
      </c>
      <c r="E31" s="33" t="s">
        <v>21</v>
      </c>
      <c r="F31" s="35"/>
      <c r="G31" s="103"/>
      <c r="H31" s="77"/>
      <c r="I31" s="169">
        <v>14000</v>
      </c>
      <c r="J31" s="86" t="e">
        <f>I31/'통장내역(환율표)'!#REF!</f>
        <v>#REF!</v>
      </c>
      <c r="K31" s="82" t="e">
        <f t="shared" si="2"/>
        <v>#REF!</v>
      </c>
      <c r="L31" s="38" t="e">
        <f t="shared" si="3"/>
        <v>#REF!</v>
      </c>
      <c r="M31" s="34" t="s">
        <v>286</v>
      </c>
      <c r="N31" s="45" t="e">
        <f t="shared" si="5"/>
        <v>#REF!</v>
      </c>
    </row>
    <row r="32" spans="1:14" s="5" customFormat="1" ht="13.5" customHeight="1">
      <c r="A32" s="36">
        <v>44793</v>
      </c>
      <c r="B32" s="239" t="s">
        <v>130</v>
      </c>
      <c r="C32" s="160"/>
      <c r="D32" s="37">
        <v>2</v>
      </c>
      <c r="E32" s="33" t="s">
        <v>21</v>
      </c>
      <c r="F32" s="35"/>
      <c r="G32" s="103"/>
      <c r="H32" s="77"/>
      <c r="I32" s="169">
        <v>300</v>
      </c>
      <c r="J32" s="86" t="e">
        <f>I32/'통장내역(환율표)'!#REF!</f>
        <v>#REF!</v>
      </c>
      <c r="K32" s="82" t="e">
        <f t="shared" si="2"/>
        <v>#REF!</v>
      </c>
      <c r="L32" s="38" t="e">
        <f t="shared" si="3"/>
        <v>#REF!</v>
      </c>
      <c r="M32" s="34" t="s">
        <v>287</v>
      </c>
      <c r="N32" s="45" t="e">
        <f t="shared" si="5"/>
        <v>#REF!</v>
      </c>
    </row>
    <row r="33" spans="1:14" s="5" customFormat="1" ht="13.5" customHeight="1">
      <c r="A33" s="36">
        <v>44793</v>
      </c>
      <c r="B33" s="239" t="s">
        <v>246</v>
      </c>
      <c r="C33" s="160"/>
      <c r="D33" s="37">
        <v>2</v>
      </c>
      <c r="E33" s="33" t="s">
        <v>21</v>
      </c>
      <c r="F33" s="35"/>
      <c r="G33" s="103"/>
      <c r="H33" s="77"/>
      <c r="I33" s="169">
        <v>8544.44</v>
      </c>
      <c r="J33" s="86" t="e">
        <f>I33/'통장내역(환율표)'!#REF!</f>
        <v>#REF!</v>
      </c>
      <c r="K33" s="82" t="e">
        <f t="shared" si="2"/>
        <v>#REF!</v>
      </c>
      <c r="L33" s="38" t="e">
        <f t="shared" si="3"/>
        <v>#REF!</v>
      </c>
      <c r="M33" s="34" t="s">
        <v>287</v>
      </c>
      <c r="N33" s="45" t="e">
        <f t="shared" si="5"/>
        <v>#REF!</v>
      </c>
    </row>
    <row r="34" spans="1:14" s="5" customFormat="1" ht="13.5" customHeight="1">
      <c r="A34" s="36">
        <v>44793</v>
      </c>
      <c r="B34" s="239" t="s">
        <v>133</v>
      </c>
      <c r="C34" s="160"/>
      <c r="D34" s="37">
        <v>2</v>
      </c>
      <c r="E34" s="33" t="s">
        <v>21</v>
      </c>
      <c r="F34" s="35"/>
      <c r="G34" s="103"/>
      <c r="H34" s="77"/>
      <c r="I34" s="169">
        <v>501.68</v>
      </c>
      <c r="J34" s="86" t="e">
        <f>I34/'통장내역(환율표)'!#REF!</f>
        <v>#REF!</v>
      </c>
      <c r="K34" s="82" t="e">
        <f t="shared" si="2"/>
        <v>#REF!</v>
      </c>
      <c r="L34" s="38" t="e">
        <f t="shared" si="3"/>
        <v>#REF!</v>
      </c>
      <c r="M34" s="34" t="s">
        <v>287</v>
      </c>
      <c r="N34" s="45" t="e">
        <f t="shared" si="5"/>
        <v>#REF!</v>
      </c>
    </row>
    <row r="35" spans="1:14" s="5" customFormat="1" ht="13.5" customHeight="1">
      <c r="A35" s="36">
        <v>44793</v>
      </c>
      <c r="B35" s="239" t="s">
        <v>132</v>
      </c>
      <c r="C35" s="160"/>
      <c r="D35" s="37">
        <v>2</v>
      </c>
      <c r="E35" s="33" t="s">
        <v>21</v>
      </c>
      <c r="F35" s="35"/>
      <c r="G35" s="103"/>
      <c r="H35" s="77"/>
      <c r="I35" s="169">
        <v>21220.91</v>
      </c>
      <c r="J35" s="86" t="e">
        <f>I35/'통장내역(환율표)'!#REF!</f>
        <v>#REF!</v>
      </c>
      <c r="K35" s="82" t="e">
        <f t="shared" si="2"/>
        <v>#REF!</v>
      </c>
      <c r="L35" s="38" t="e">
        <f t="shared" si="3"/>
        <v>#REF!</v>
      </c>
      <c r="M35" s="34" t="s">
        <v>287</v>
      </c>
      <c r="N35" s="45" t="e">
        <f t="shared" si="5"/>
        <v>#REF!</v>
      </c>
    </row>
    <row r="36" spans="1:14" s="5" customFormat="1" ht="13.5" customHeight="1">
      <c r="A36" s="36">
        <v>44793</v>
      </c>
      <c r="B36" s="239" t="s">
        <v>250</v>
      </c>
      <c r="C36" s="160"/>
      <c r="D36" s="37">
        <v>2</v>
      </c>
      <c r="E36" s="33" t="s">
        <v>21</v>
      </c>
      <c r="F36" s="35"/>
      <c r="G36" s="103"/>
      <c r="H36" s="77"/>
      <c r="I36" s="169">
        <v>12</v>
      </c>
      <c r="J36" s="86" t="e">
        <f>I36/'통장내역(환율표)'!#REF!</f>
        <v>#REF!</v>
      </c>
      <c r="K36" s="82" t="e">
        <f t="shared" si="2"/>
        <v>#REF!</v>
      </c>
      <c r="L36" s="38" t="e">
        <f t="shared" si="3"/>
        <v>#REF!</v>
      </c>
      <c r="M36" s="34"/>
      <c r="N36" s="45" t="e">
        <f t="shared" si="5"/>
        <v>#REF!</v>
      </c>
    </row>
    <row r="37" spans="1:14" s="5" customFormat="1" ht="13.5" customHeight="1">
      <c r="A37" s="36">
        <v>44793</v>
      </c>
      <c r="B37" s="159" t="s">
        <v>304</v>
      </c>
      <c r="C37" s="160"/>
      <c r="D37" s="37">
        <v>3</v>
      </c>
      <c r="E37" s="33" t="s">
        <v>318</v>
      </c>
      <c r="F37" s="35" t="s">
        <v>319</v>
      </c>
      <c r="G37" s="103"/>
      <c r="H37" s="77"/>
      <c r="I37" s="169">
        <v>19440</v>
      </c>
      <c r="J37" s="86" t="e">
        <f>I37/'통장내역(환율표)'!#REF!</f>
        <v>#REF!</v>
      </c>
      <c r="K37" s="82" t="e">
        <f t="shared" si="2"/>
        <v>#REF!</v>
      </c>
      <c r="L37" s="38" t="e">
        <f t="shared" si="3"/>
        <v>#REF!</v>
      </c>
      <c r="M37" s="34" t="s">
        <v>304</v>
      </c>
      <c r="N37" s="45" t="e">
        <f t="shared" si="5"/>
        <v>#REF!</v>
      </c>
    </row>
    <row r="38" spans="1:14" s="5" customFormat="1" ht="13.5" customHeight="1">
      <c r="A38" s="36">
        <v>44793</v>
      </c>
      <c r="B38" s="239" t="s">
        <v>250</v>
      </c>
      <c r="C38" s="160"/>
      <c r="D38" s="37">
        <v>3</v>
      </c>
      <c r="E38" s="33" t="s">
        <v>276</v>
      </c>
      <c r="F38" s="35"/>
      <c r="G38" s="103"/>
      <c r="H38" s="77"/>
      <c r="I38" s="169">
        <v>7.2</v>
      </c>
      <c r="J38" s="86" t="e">
        <f>I38/'통장내역(환율표)'!#REF!</f>
        <v>#REF!</v>
      </c>
      <c r="K38" s="82" t="e">
        <f t="shared" si="2"/>
        <v>#REF!</v>
      </c>
      <c r="L38" s="38" t="e">
        <f t="shared" si="3"/>
        <v>#REF!</v>
      </c>
      <c r="M38" s="34"/>
      <c r="N38" s="45" t="e">
        <f t="shared" si="5"/>
        <v>#REF!</v>
      </c>
    </row>
    <row r="39" spans="1:14" s="5" customFormat="1" ht="13.5" customHeight="1">
      <c r="A39" s="36">
        <v>44793</v>
      </c>
      <c r="B39" s="239" t="s">
        <v>305</v>
      </c>
      <c r="C39" s="160"/>
      <c r="D39" s="37">
        <v>4</v>
      </c>
      <c r="E39" s="33" t="s">
        <v>318</v>
      </c>
      <c r="F39" s="35" t="s">
        <v>320</v>
      </c>
      <c r="G39" s="103"/>
      <c r="H39" s="77"/>
      <c r="I39" s="169">
        <v>16500</v>
      </c>
      <c r="J39" s="86" t="e">
        <f>I39/'통장내역(환율표)'!#REF!</f>
        <v>#REF!</v>
      </c>
      <c r="K39" s="82" t="e">
        <f t="shared" si="2"/>
        <v>#REF!</v>
      </c>
      <c r="L39" s="38" t="e">
        <f t="shared" si="3"/>
        <v>#REF!</v>
      </c>
      <c r="M39" s="34" t="s">
        <v>305</v>
      </c>
      <c r="N39" s="45" t="e">
        <f t="shared" si="5"/>
        <v>#REF!</v>
      </c>
    </row>
    <row r="40" spans="1:14" s="5" customFormat="1" ht="13.5" customHeight="1">
      <c r="A40" s="36">
        <v>44793</v>
      </c>
      <c r="B40" s="239" t="s">
        <v>250</v>
      </c>
      <c r="C40" s="160"/>
      <c r="D40" s="37">
        <v>4</v>
      </c>
      <c r="E40" s="33" t="s">
        <v>321</v>
      </c>
      <c r="F40" s="35"/>
      <c r="G40" s="103"/>
      <c r="H40" s="77"/>
      <c r="I40" s="169">
        <v>7.2</v>
      </c>
      <c r="J40" s="86" t="e">
        <f>I40/'통장내역(환율표)'!#REF!</f>
        <v>#REF!</v>
      </c>
      <c r="K40" s="82" t="e">
        <f t="shared" si="2"/>
        <v>#REF!</v>
      </c>
      <c r="L40" s="38" t="e">
        <f t="shared" si="3"/>
        <v>#REF!</v>
      </c>
      <c r="M40" s="34"/>
      <c r="N40" s="45" t="e">
        <f t="shared" si="5"/>
        <v>#REF!</v>
      </c>
    </row>
    <row r="41" spans="1:14" s="5" customFormat="1" ht="13.5" customHeight="1">
      <c r="A41" s="36">
        <v>44793</v>
      </c>
      <c r="B41" s="239" t="s">
        <v>306</v>
      </c>
      <c r="C41" s="160"/>
      <c r="D41" s="37">
        <v>5</v>
      </c>
      <c r="E41" s="33" t="s">
        <v>321</v>
      </c>
      <c r="F41" s="35"/>
      <c r="G41" s="103"/>
      <c r="H41" s="77"/>
      <c r="I41" s="169">
        <v>1000</v>
      </c>
      <c r="J41" s="86" t="e">
        <f>I41/'통장내역(환율표)'!#REF!</f>
        <v>#REF!</v>
      </c>
      <c r="K41" s="82" t="e">
        <f t="shared" si="2"/>
        <v>#REF!</v>
      </c>
      <c r="L41" s="38" t="e">
        <f t="shared" si="3"/>
        <v>#REF!</v>
      </c>
      <c r="M41" s="34" t="s">
        <v>306</v>
      </c>
      <c r="N41" s="45" t="e">
        <f t="shared" si="5"/>
        <v>#REF!</v>
      </c>
    </row>
    <row r="42" spans="1:14" s="5" customFormat="1" ht="13.5" customHeight="1">
      <c r="A42" s="36">
        <v>44793</v>
      </c>
      <c r="B42" s="239" t="s">
        <v>250</v>
      </c>
      <c r="C42" s="160"/>
      <c r="D42" s="37">
        <v>5</v>
      </c>
      <c r="E42" s="33" t="s">
        <v>321</v>
      </c>
      <c r="F42" s="35"/>
      <c r="G42" s="103"/>
      <c r="H42" s="77"/>
      <c r="I42" s="169">
        <v>3.6</v>
      </c>
      <c r="J42" s="86" t="e">
        <f>I42/'통장내역(환율표)'!#REF!</f>
        <v>#REF!</v>
      </c>
      <c r="K42" s="82" t="e">
        <f t="shared" si="2"/>
        <v>#REF!</v>
      </c>
      <c r="L42" s="38" t="e">
        <f t="shared" si="3"/>
        <v>#REF!</v>
      </c>
      <c r="M42" s="34"/>
      <c r="N42" s="45" t="e">
        <f t="shared" si="5"/>
        <v>#REF!</v>
      </c>
    </row>
    <row r="43" spans="1:14" s="5" customFormat="1" ht="13.5" customHeight="1">
      <c r="A43" s="36">
        <v>44793</v>
      </c>
      <c r="B43" s="239" t="s">
        <v>307</v>
      </c>
      <c r="C43" s="160"/>
      <c r="D43" s="37">
        <v>6</v>
      </c>
      <c r="E43" s="33" t="s">
        <v>321</v>
      </c>
      <c r="F43" s="35"/>
      <c r="G43" s="103"/>
      <c r="H43" s="77"/>
      <c r="I43" s="169">
        <v>1311.13</v>
      </c>
      <c r="J43" s="86" t="e">
        <f>I43/'통장내역(환율표)'!#REF!</f>
        <v>#REF!</v>
      </c>
      <c r="K43" s="82" t="e">
        <f t="shared" si="2"/>
        <v>#REF!</v>
      </c>
      <c r="L43" s="38" t="e">
        <f t="shared" si="3"/>
        <v>#REF!</v>
      </c>
      <c r="M43" s="34" t="s">
        <v>307</v>
      </c>
      <c r="N43" s="45" t="e">
        <f t="shared" si="5"/>
        <v>#REF!</v>
      </c>
    </row>
    <row r="44" spans="1:14" s="5" customFormat="1" ht="13.5" customHeight="1">
      <c r="A44" s="36">
        <v>44793</v>
      </c>
      <c r="B44" s="239" t="s">
        <v>250</v>
      </c>
      <c r="C44" s="160"/>
      <c r="D44" s="37">
        <v>6</v>
      </c>
      <c r="E44" s="33" t="s">
        <v>321</v>
      </c>
      <c r="F44" s="35"/>
      <c r="G44" s="103"/>
      <c r="H44" s="77"/>
      <c r="I44" s="169">
        <v>3.6</v>
      </c>
      <c r="J44" s="86" t="e">
        <f>I44/'통장내역(환율표)'!#REF!</f>
        <v>#REF!</v>
      </c>
      <c r="K44" s="82" t="e">
        <f t="shared" si="2"/>
        <v>#REF!</v>
      </c>
      <c r="L44" s="38" t="e">
        <f t="shared" si="3"/>
        <v>#REF!</v>
      </c>
      <c r="M44" s="34"/>
      <c r="N44" s="45" t="e">
        <f t="shared" si="5"/>
        <v>#REF!</v>
      </c>
    </row>
    <row r="45" spans="1:14" s="5" customFormat="1" ht="13.5" customHeight="1">
      <c r="A45" s="36">
        <v>44793</v>
      </c>
      <c r="B45" s="239" t="s">
        <v>308</v>
      </c>
      <c r="C45" s="160"/>
      <c r="D45" s="37">
        <v>7</v>
      </c>
      <c r="E45" s="33" t="s">
        <v>278</v>
      </c>
      <c r="F45" s="35" t="s">
        <v>322</v>
      </c>
      <c r="G45" s="103"/>
      <c r="H45" s="77"/>
      <c r="I45" s="169">
        <v>2967</v>
      </c>
      <c r="J45" s="86" t="e">
        <f>I45/'통장내역(환율표)'!#REF!</f>
        <v>#REF!</v>
      </c>
      <c r="K45" s="82" t="e">
        <f t="shared" si="2"/>
        <v>#REF!</v>
      </c>
      <c r="L45" s="38" t="e">
        <f t="shared" si="3"/>
        <v>#REF!</v>
      </c>
      <c r="M45" s="34" t="s">
        <v>317</v>
      </c>
      <c r="N45" s="45" t="e">
        <f t="shared" si="5"/>
        <v>#REF!</v>
      </c>
    </row>
    <row r="46" spans="1:14" s="5" customFormat="1" ht="13.5" customHeight="1">
      <c r="A46" s="36">
        <v>44793</v>
      </c>
      <c r="B46" s="239" t="s">
        <v>250</v>
      </c>
      <c r="C46" s="160"/>
      <c r="D46" s="37">
        <v>7</v>
      </c>
      <c r="E46" s="33" t="s">
        <v>321</v>
      </c>
      <c r="F46" s="35"/>
      <c r="G46" s="103"/>
      <c r="H46" s="77"/>
      <c r="I46" s="169">
        <v>3.6</v>
      </c>
      <c r="J46" s="86" t="e">
        <f>I46/'통장내역(환율표)'!#REF!</f>
        <v>#REF!</v>
      </c>
      <c r="K46" s="82" t="e">
        <f t="shared" si="2"/>
        <v>#REF!</v>
      </c>
      <c r="L46" s="38" t="e">
        <f t="shared" si="3"/>
        <v>#REF!</v>
      </c>
      <c r="M46" s="34"/>
      <c r="N46" s="45" t="e">
        <f t="shared" si="5"/>
        <v>#REF!</v>
      </c>
    </row>
    <row r="47" spans="1:14" s="5" customFormat="1" ht="13.5" customHeight="1">
      <c r="A47" s="36">
        <v>44793</v>
      </c>
      <c r="B47" s="239" t="s">
        <v>11</v>
      </c>
      <c r="C47" s="160"/>
      <c r="D47" s="37">
        <v>8</v>
      </c>
      <c r="E47" s="33" t="s">
        <v>323</v>
      </c>
      <c r="F47" s="35" t="s">
        <v>324</v>
      </c>
      <c r="G47" s="103"/>
      <c r="H47" s="77"/>
      <c r="I47" s="169">
        <v>3340</v>
      </c>
      <c r="J47" s="86" t="e">
        <f>I47/'통장내역(환율표)'!#REF!</f>
        <v>#REF!</v>
      </c>
      <c r="K47" s="82" t="e">
        <f t="shared" si="2"/>
        <v>#REF!</v>
      </c>
      <c r="L47" s="38" t="e">
        <f t="shared" si="3"/>
        <v>#REF!</v>
      </c>
      <c r="M47" s="34" t="s">
        <v>11</v>
      </c>
      <c r="N47" s="45" t="e">
        <f t="shared" si="5"/>
        <v>#REF!</v>
      </c>
    </row>
    <row r="48" spans="1:14" s="5" customFormat="1" ht="13.5" customHeight="1">
      <c r="A48" s="36">
        <v>44793</v>
      </c>
      <c r="B48" s="239" t="s">
        <v>250</v>
      </c>
      <c r="C48" s="160"/>
      <c r="D48" s="37">
        <v>8</v>
      </c>
      <c r="E48" s="33" t="s">
        <v>321</v>
      </c>
      <c r="F48" s="35"/>
      <c r="G48" s="103"/>
      <c r="H48" s="77"/>
      <c r="I48" s="169">
        <v>3.6</v>
      </c>
      <c r="J48" s="86" t="e">
        <f>I48/'통장내역(환율표)'!#REF!</f>
        <v>#REF!</v>
      </c>
      <c r="K48" s="82" t="e">
        <f t="shared" si="2"/>
        <v>#REF!</v>
      </c>
      <c r="L48" s="38" t="e">
        <f t="shared" si="3"/>
        <v>#REF!</v>
      </c>
      <c r="M48" s="34"/>
      <c r="N48" s="45" t="e">
        <f t="shared" si="5"/>
        <v>#REF!</v>
      </c>
    </row>
    <row r="49" spans="1:14" s="5" customFormat="1" ht="13.5" customHeight="1">
      <c r="A49" s="36">
        <v>44793</v>
      </c>
      <c r="B49" s="239" t="s">
        <v>309</v>
      </c>
      <c r="C49" s="160"/>
      <c r="D49" s="37">
        <v>9</v>
      </c>
      <c r="E49" s="33" t="s">
        <v>325</v>
      </c>
      <c r="F49" s="35" t="s">
        <v>322</v>
      </c>
      <c r="G49" s="103"/>
      <c r="H49" s="77"/>
      <c r="I49" s="169">
        <v>4279.0600000000004</v>
      </c>
      <c r="J49" s="86" t="e">
        <f>I49/'통장내역(환율표)'!#REF!</f>
        <v>#REF!</v>
      </c>
      <c r="K49" s="82" t="e">
        <f t="shared" si="2"/>
        <v>#REF!</v>
      </c>
      <c r="L49" s="38" t="e">
        <f t="shared" si="3"/>
        <v>#REF!</v>
      </c>
      <c r="M49" s="34" t="s">
        <v>309</v>
      </c>
      <c r="N49" s="45" t="e">
        <f t="shared" si="5"/>
        <v>#REF!</v>
      </c>
    </row>
    <row r="50" spans="1:14" s="5" customFormat="1" ht="13.5" customHeight="1">
      <c r="A50" s="36">
        <v>44793</v>
      </c>
      <c r="B50" s="239" t="s">
        <v>250</v>
      </c>
      <c r="C50" s="160"/>
      <c r="D50" s="37">
        <v>9</v>
      </c>
      <c r="E50" s="33" t="s">
        <v>321</v>
      </c>
      <c r="F50" s="35"/>
      <c r="G50" s="103"/>
      <c r="H50" s="77"/>
      <c r="I50" s="169">
        <v>3.6</v>
      </c>
      <c r="J50" s="86" t="e">
        <f>I50/'통장내역(환율표)'!#REF!</f>
        <v>#REF!</v>
      </c>
      <c r="K50" s="82" t="e">
        <f t="shared" si="2"/>
        <v>#REF!</v>
      </c>
      <c r="L50" s="38" t="e">
        <f t="shared" si="3"/>
        <v>#REF!</v>
      </c>
      <c r="M50" s="34"/>
      <c r="N50" s="45" t="e">
        <f t="shared" si="5"/>
        <v>#REF!</v>
      </c>
    </row>
    <row r="51" spans="1:14" s="5" customFormat="1" ht="13.5" customHeight="1">
      <c r="A51" s="36">
        <v>44793</v>
      </c>
      <c r="B51" s="239" t="s">
        <v>310</v>
      </c>
      <c r="C51" s="160"/>
      <c r="D51" s="37">
        <v>10</v>
      </c>
      <c r="E51" s="33" t="s">
        <v>321</v>
      </c>
      <c r="F51" s="35"/>
      <c r="G51" s="103"/>
      <c r="H51" s="77"/>
      <c r="I51" s="169">
        <v>7150</v>
      </c>
      <c r="J51" s="86" t="e">
        <f>I51/'통장내역(환율표)'!#REF!</f>
        <v>#REF!</v>
      </c>
      <c r="K51" s="82" t="e">
        <f t="shared" si="2"/>
        <v>#REF!</v>
      </c>
      <c r="L51" s="38" t="e">
        <f t="shared" si="3"/>
        <v>#REF!</v>
      </c>
      <c r="M51" s="34" t="s">
        <v>310</v>
      </c>
      <c r="N51" s="45" t="e">
        <f t="shared" si="5"/>
        <v>#REF!</v>
      </c>
    </row>
    <row r="52" spans="1:14" s="5" customFormat="1" ht="13.5" customHeight="1">
      <c r="A52" s="36">
        <v>44793</v>
      </c>
      <c r="B52" s="239" t="s">
        <v>250</v>
      </c>
      <c r="C52" s="160"/>
      <c r="D52" s="37">
        <v>10</v>
      </c>
      <c r="E52" s="33" t="s">
        <v>321</v>
      </c>
      <c r="F52" s="35"/>
      <c r="G52" s="103"/>
      <c r="H52" s="77"/>
      <c r="I52" s="169">
        <v>3.6</v>
      </c>
      <c r="J52" s="86" t="e">
        <f>I52/'통장내역(환율표)'!#REF!</f>
        <v>#REF!</v>
      </c>
      <c r="K52" s="82" t="e">
        <f t="shared" si="2"/>
        <v>#REF!</v>
      </c>
      <c r="L52" s="38" t="e">
        <f t="shared" si="3"/>
        <v>#REF!</v>
      </c>
      <c r="M52" s="34"/>
      <c r="N52" s="45" t="e">
        <f t="shared" si="5"/>
        <v>#REF!</v>
      </c>
    </row>
    <row r="53" spans="1:14" s="5" customFormat="1" ht="13.5" customHeight="1">
      <c r="A53" s="36">
        <v>44793</v>
      </c>
      <c r="B53" s="239" t="s">
        <v>311</v>
      </c>
      <c r="C53" s="160"/>
      <c r="D53" s="37">
        <v>11</v>
      </c>
      <c r="E53" s="33" t="s">
        <v>325</v>
      </c>
      <c r="F53" s="35" t="s">
        <v>322</v>
      </c>
      <c r="G53" s="103"/>
      <c r="H53" s="77"/>
      <c r="I53" s="169">
        <v>1683.08</v>
      </c>
      <c r="J53" s="86" t="e">
        <f>I53/'통장내역(환율표)'!#REF!</f>
        <v>#REF!</v>
      </c>
      <c r="K53" s="82" t="e">
        <f t="shared" si="2"/>
        <v>#REF!</v>
      </c>
      <c r="L53" s="38" t="e">
        <f t="shared" si="3"/>
        <v>#REF!</v>
      </c>
      <c r="M53" s="34" t="s">
        <v>311</v>
      </c>
      <c r="N53" s="45" t="e">
        <f t="shared" si="5"/>
        <v>#REF!</v>
      </c>
    </row>
    <row r="54" spans="1:14" s="5" customFormat="1" ht="13.5" customHeight="1">
      <c r="A54" s="36">
        <v>44793</v>
      </c>
      <c r="B54" s="239" t="s">
        <v>250</v>
      </c>
      <c r="C54" s="160"/>
      <c r="D54" s="37">
        <v>11</v>
      </c>
      <c r="E54" s="33" t="s">
        <v>321</v>
      </c>
      <c r="F54" s="35"/>
      <c r="G54" s="103"/>
      <c r="H54" s="77"/>
      <c r="I54" s="169">
        <v>3.6</v>
      </c>
      <c r="J54" s="86" t="e">
        <f>I54/'통장내역(환율표)'!#REF!</f>
        <v>#REF!</v>
      </c>
      <c r="K54" s="82" t="e">
        <f t="shared" si="2"/>
        <v>#REF!</v>
      </c>
      <c r="L54" s="38" t="e">
        <f t="shared" si="3"/>
        <v>#REF!</v>
      </c>
      <c r="M54" s="34"/>
      <c r="N54" s="45" t="e">
        <f t="shared" si="5"/>
        <v>#REF!</v>
      </c>
    </row>
    <row r="55" spans="1:14" s="5" customFormat="1" ht="13.5" customHeight="1">
      <c r="A55" s="36">
        <v>44793</v>
      </c>
      <c r="B55" s="239" t="s">
        <v>312</v>
      </c>
      <c r="C55" s="160"/>
      <c r="D55" s="37">
        <v>12</v>
      </c>
      <c r="E55" s="33" t="s">
        <v>321</v>
      </c>
      <c r="F55" s="35"/>
      <c r="G55" s="103"/>
      <c r="H55" s="77"/>
      <c r="I55" s="169">
        <v>530</v>
      </c>
      <c r="J55" s="86" t="e">
        <f>I55/'통장내역(환율표)'!#REF!</f>
        <v>#REF!</v>
      </c>
      <c r="K55" s="82" t="e">
        <f t="shared" si="2"/>
        <v>#REF!</v>
      </c>
      <c r="L55" s="38" t="e">
        <f t="shared" si="3"/>
        <v>#REF!</v>
      </c>
      <c r="M55" s="34" t="s">
        <v>312</v>
      </c>
      <c r="N55" s="45" t="e">
        <f t="shared" si="5"/>
        <v>#REF!</v>
      </c>
    </row>
    <row r="56" spans="1:14" s="5" customFormat="1" ht="13.5" customHeight="1">
      <c r="A56" s="36">
        <v>44793</v>
      </c>
      <c r="B56" s="239" t="s">
        <v>250</v>
      </c>
      <c r="C56" s="160"/>
      <c r="D56" s="37">
        <v>12</v>
      </c>
      <c r="E56" s="33" t="s">
        <v>321</v>
      </c>
      <c r="F56" s="35"/>
      <c r="G56" s="103"/>
      <c r="H56" s="77"/>
      <c r="I56" s="169">
        <v>3.6</v>
      </c>
      <c r="J56" s="86" t="e">
        <f>I56/'통장내역(환율표)'!#REF!</f>
        <v>#REF!</v>
      </c>
      <c r="K56" s="82" t="e">
        <f t="shared" si="2"/>
        <v>#REF!</v>
      </c>
      <c r="L56" s="38" t="e">
        <f t="shared" si="3"/>
        <v>#REF!</v>
      </c>
      <c r="M56" s="34"/>
      <c r="N56" s="45" t="e">
        <f t="shared" si="5"/>
        <v>#REF!</v>
      </c>
    </row>
    <row r="57" spans="1:14" s="5" customFormat="1" ht="13.5" customHeight="1">
      <c r="A57" s="36">
        <v>44793</v>
      </c>
      <c r="B57" s="239" t="s">
        <v>313</v>
      </c>
      <c r="C57" s="160"/>
      <c r="D57" s="37">
        <v>13</v>
      </c>
      <c r="E57" s="33" t="s">
        <v>326</v>
      </c>
      <c r="F57" s="35" t="s">
        <v>327</v>
      </c>
      <c r="G57" s="103"/>
      <c r="H57" s="77"/>
      <c r="I57" s="169">
        <v>98.6</v>
      </c>
      <c r="J57" s="86" t="e">
        <f>I57/'통장내역(환율표)'!#REF!</f>
        <v>#REF!</v>
      </c>
      <c r="K57" s="82" t="e">
        <f t="shared" si="2"/>
        <v>#REF!</v>
      </c>
      <c r="L57" s="38" t="e">
        <f t="shared" si="3"/>
        <v>#REF!</v>
      </c>
      <c r="M57" s="34" t="s">
        <v>334</v>
      </c>
      <c r="N57" s="45" t="e">
        <f t="shared" si="5"/>
        <v>#REF!</v>
      </c>
    </row>
    <row r="58" spans="1:14" s="5" customFormat="1" ht="13.5" customHeight="1">
      <c r="A58" s="36">
        <v>44793</v>
      </c>
      <c r="B58" s="239" t="s">
        <v>250</v>
      </c>
      <c r="C58" s="160"/>
      <c r="D58" s="37">
        <v>13</v>
      </c>
      <c r="E58" s="33" t="s">
        <v>321</v>
      </c>
      <c r="F58" s="35"/>
      <c r="G58" s="103"/>
      <c r="H58" s="77"/>
      <c r="I58" s="169">
        <v>3.6</v>
      </c>
      <c r="J58" s="86" t="e">
        <f>I58/'통장내역(환율표)'!#REF!</f>
        <v>#REF!</v>
      </c>
      <c r="K58" s="82" t="e">
        <f t="shared" si="2"/>
        <v>#REF!</v>
      </c>
      <c r="L58" s="38" t="e">
        <f t="shared" si="3"/>
        <v>#REF!</v>
      </c>
      <c r="M58" s="34"/>
      <c r="N58" s="45" t="e">
        <f t="shared" si="5"/>
        <v>#REF!</v>
      </c>
    </row>
    <row r="59" spans="1:14" s="5" customFormat="1" ht="13.5" customHeight="1">
      <c r="A59" s="36">
        <v>44793</v>
      </c>
      <c r="B59" s="239" t="s">
        <v>258</v>
      </c>
      <c r="C59" s="160"/>
      <c r="D59" s="37">
        <v>14</v>
      </c>
      <c r="E59" s="33" t="s">
        <v>326</v>
      </c>
      <c r="F59" s="35" t="s">
        <v>327</v>
      </c>
      <c r="G59" s="103"/>
      <c r="H59" s="77"/>
      <c r="I59" s="169">
        <v>500</v>
      </c>
      <c r="J59" s="86" t="e">
        <f>I59/'통장내역(환율표)'!#REF!</f>
        <v>#REF!</v>
      </c>
      <c r="K59" s="82" t="e">
        <f t="shared" si="2"/>
        <v>#REF!</v>
      </c>
      <c r="L59" s="38" t="e">
        <f t="shared" si="3"/>
        <v>#REF!</v>
      </c>
      <c r="M59" s="34" t="s">
        <v>333</v>
      </c>
      <c r="N59" s="45" t="e">
        <f t="shared" si="5"/>
        <v>#REF!</v>
      </c>
    </row>
    <row r="60" spans="1:14" s="5" customFormat="1" ht="13.5" customHeight="1">
      <c r="A60" s="36">
        <v>44793</v>
      </c>
      <c r="B60" s="239" t="s">
        <v>259</v>
      </c>
      <c r="C60" s="160"/>
      <c r="D60" s="37">
        <v>14</v>
      </c>
      <c r="E60" s="33" t="s">
        <v>326</v>
      </c>
      <c r="F60" s="35" t="s">
        <v>327</v>
      </c>
      <c r="G60" s="103"/>
      <c r="H60" s="77"/>
      <c r="I60" s="169">
        <v>399</v>
      </c>
      <c r="J60" s="86" t="e">
        <f>I60/'통장내역(환율표)'!#REF!</f>
        <v>#REF!</v>
      </c>
      <c r="K60" s="82" t="e">
        <f t="shared" si="2"/>
        <v>#REF!</v>
      </c>
      <c r="L60" s="38" t="e">
        <f t="shared" si="3"/>
        <v>#REF!</v>
      </c>
      <c r="M60" s="34"/>
      <c r="N60" s="45" t="e">
        <f t="shared" si="5"/>
        <v>#REF!</v>
      </c>
    </row>
    <row r="61" spans="1:14" s="5" customFormat="1" ht="13.5" customHeight="1">
      <c r="A61" s="36">
        <v>44793</v>
      </c>
      <c r="B61" s="239" t="s">
        <v>250</v>
      </c>
      <c r="C61" s="160"/>
      <c r="D61" s="37">
        <v>14</v>
      </c>
      <c r="E61" s="33" t="s">
        <v>321</v>
      </c>
      <c r="F61" s="35"/>
      <c r="G61" s="103"/>
      <c r="H61" s="77"/>
      <c r="I61" s="169">
        <v>3.6</v>
      </c>
      <c r="J61" s="86" t="e">
        <f>I61/'통장내역(환율표)'!#REF!</f>
        <v>#REF!</v>
      </c>
      <c r="K61" s="82" t="e">
        <f t="shared" si="2"/>
        <v>#REF!</v>
      </c>
      <c r="L61" s="38" t="e">
        <f t="shared" si="3"/>
        <v>#REF!</v>
      </c>
      <c r="M61" s="34"/>
      <c r="N61" s="45" t="e">
        <f t="shared" si="5"/>
        <v>#REF!</v>
      </c>
    </row>
    <row r="62" spans="1:14" s="5" customFormat="1" ht="13.5" customHeight="1">
      <c r="A62" s="36">
        <v>44793</v>
      </c>
      <c r="B62" s="239" t="s">
        <v>314</v>
      </c>
      <c r="C62" s="160"/>
      <c r="D62" s="37">
        <v>15</v>
      </c>
      <c r="E62" s="33" t="s">
        <v>321</v>
      </c>
      <c r="F62" s="35"/>
      <c r="G62" s="103"/>
      <c r="H62" s="77"/>
      <c r="I62" s="169">
        <v>781.58</v>
      </c>
      <c r="J62" s="86" t="e">
        <f>I62/'통장내역(환율표)'!#REF!</f>
        <v>#REF!</v>
      </c>
      <c r="K62" s="82" t="e">
        <f t="shared" si="2"/>
        <v>#REF!</v>
      </c>
      <c r="L62" s="38" t="e">
        <f t="shared" si="3"/>
        <v>#REF!</v>
      </c>
      <c r="M62" s="34" t="s">
        <v>314</v>
      </c>
      <c r="N62" s="45" t="e">
        <f t="shared" si="5"/>
        <v>#REF!</v>
      </c>
    </row>
    <row r="63" spans="1:14" s="5" customFormat="1" ht="13.5" customHeight="1">
      <c r="A63" s="36">
        <v>44793</v>
      </c>
      <c r="B63" s="239" t="s">
        <v>250</v>
      </c>
      <c r="C63" s="160"/>
      <c r="D63" s="37">
        <v>15</v>
      </c>
      <c r="E63" s="33" t="s">
        <v>321</v>
      </c>
      <c r="F63" s="35"/>
      <c r="G63" s="103"/>
      <c r="H63" s="77"/>
      <c r="I63" s="169">
        <v>3.6</v>
      </c>
      <c r="J63" s="86" t="e">
        <f>I63/'통장내역(환율표)'!#REF!</f>
        <v>#REF!</v>
      </c>
      <c r="K63" s="82" t="e">
        <f t="shared" si="2"/>
        <v>#REF!</v>
      </c>
      <c r="L63" s="38" t="e">
        <f t="shared" si="3"/>
        <v>#REF!</v>
      </c>
      <c r="M63" s="34"/>
      <c r="N63" s="45" t="e">
        <f t="shared" si="5"/>
        <v>#REF!</v>
      </c>
    </row>
    <row r="64" spans="1:14" s="5" customFormat="1" ht="13.5" customHeight="1">
      <c r="A64" s="36">
        <v>44793</v>
      </c>
      <c r="B64" s="239" t="s">
        <v>11</v>
      </c>
      <c r="C64" s="160"/>
      <c r="D64" s="37">
        <v>16</v>
      </c>
      <c r="E64" s="33" t="s">
        <v>323</v>
      </c>
      <c r="F64" s="35" t="s">
        <v>324</v>
      </c>
      <c r="G64" s="103"/>
      <c r="H64" s="77"/>
      <c r="I64" s="169">
        <v>113</v>
      </c>
      <c r="J64" s="86" t="e">
        <f>I64/'통장내역(환율표)'!#REF!</f>
        <v>#REF!</v>
      </c>
      <c r="K64" s="82" t="e">
        <f t="shared" si="2"/>
        <v>#REF!</v>
      </c>
      <c r="L64" s="38" t="e">
        <f t="shared" si="3"/>
        <v>#REF!</v>
      </c>
      <c r="M64" s="34" t="s">
        <v>11</v>
      </c>
      <c r="N64" s="45" t="e">
        <f t="shared" si="5"/>
        <v>#REF!</v>
      </c>
    </row>
    <row r="65" spans="1:14" s="5" customFormat="1" ht="13.5" customHeight="1">
      <c r="A65" s="36">
        <v>44793</v>
      </c>
      <c r="B65" s="239" t="s">
        <v>250</v>
      </c>
      <c r="C65" s="160"/>
      <c r="D65" s="37">
        <v>16</v>
      </c>
      <c r="E65" s="33" t="s">
        <v>321</v>
      </c>
      <c r="F65" s="35"/>
      <c r="G65" s="103"/>
      <c r="H65" s="77"/>
      <c r="I65" s="169">
        <v>3.6</v>
      </c>
      <c r="J65" s="86" t="e">
        <f>I65/'통장내역(환율표)'!#REF!</f>
        <v>#REF!</v>
      </c>
      <c r="K65" s="82" t="e">
        <f t="shared" si="2"/>
        <v>#REF!</v>
      </c>
      <c r="L65" s="38" t="e">
        <f t="shared" si="3"/>
        <v>#REF!</v>
      </c>
      <c r="M65" s="34"/>
      <c r="N65" s="45" t="e">
        <f t="shared" si="5"/>
        <v>#REF!</v>
      </c>
    </row>
    <row r="66" spans="1:14" s="5" customFormat="1" ht="13.5" customHeight="1">
      <c r="A66" s="36">
        <v>44793</v>
      </c>
      <c r="B66" s="239" t="s">
        <v>315</v>
      </c>
      <c r="C66" s="160"/>
      <c r="D66" s="37">
        <v>17</v>
      </c>
      <c r="E66" s="33" t="s">
        <v>325</v>
      </c>
      <c r="F66" s="35" t="s">
        <v>322</v>
      </c>
      <c r="G66" s="103"/>
      <c r="H66" s="77"/>
      <c r="I66" s="169">
        <v>3505.01</v>
      </c>
      <c r="J66" s="86" t="e">
        <f>I66/'통장내역(환율표)'!#REF!</f>
        <v>#REF!</v>
      </c>
      <c r="K66" s="82" t="e">
        <f t="shared" si="2"/>
        <v>#REF!</v>
      </c>
      <c r="L66" s="38" t="e">
        <f t="shared" si="3"/>
        <v>#REF!</v>
      </c>
      <c r="M66" s="34" t="s">
        <v>315</v>
      </c>
      <c r="N66" s="45" t="e">
        <f t="shared" si="5"/>
        <v>#REF!</v>
      </c>
    </row>
    <row r="67" spans="1:14" s="5" customFormat="1" ht="13.5" customHeight="1">
      <c r="A67" s="36">
        <v>44793</v>
      </c>
      <c r="B67" s="239" t="s">
        <v>250</v>
      </c>
      <c r="C67" s="160"/>
      <c r="D67" s="37">
        <v>17</v>
      </c>
      <c r="E67" s="33" t="s">
        <v>321</v>
      </c>
      <c r="F67" s="35"/>
      <c r="G67" s="103"/>
      <c r="H67" s="77"/>
      <c r="I67" s="169">
        <v>3.6</v>
      </c>
      <c r="J67" s="86" t="e">
        <f>I67/'통장내역(환율표)'!#REF!</f>
        <v>#REF!</v>
      </c>
      <c r="K67" s="82" t="e">
        <f t="shared" si="2"/>
        <v>#REF!</v>
      </c>
      <c r="L67" s="38" t="e">
        <f t="shared" si="3"/>
        <v>#REF!</v>
      </c>
      <c r="M67" s="34"/>
      <c r="N67" s="45" t="e">
        <f t="shared" si="5"/>
        <v>#REF!</v>
      </c>
    </row>
  </sheetData>
  <autoFilter ref="A16:N67" xr:uid="{00000000-0009-0000-0000-000007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8" type="noConversion"/>
  <pageMargins left="0.7" right="0.7" top="0.75" bottom="0.75" header="0.3" footer="0.3"/>
  <pageSetup paperSize="9"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N62"/>
  <sheetViews>
    <sheetView showGridLines="0" zoomScaleNormal="100" workbookViewId="0">
      <selection activeCell="D14" sqref="D14"/>
    </sheetView>
  </sheetViews>
  <sheetFormatPr defaultRowHeight="17.399999999999999"/>
  <cols>
    <col min="1" max="1" width="10.19921875" bestFit="1" customWidth="1"/>
    <col min="2" max="2" width="26.296875" bestFit="1" customWidth="1"/>
    <col min="3" max="3" width="12.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41.59765625" customWidth="1"/>
    <col min="14" max="14" width="9.59765625" bestFit="1" customWidth="1"/>
  </cols>
  <sheetData>
    <row r="1" spans="1:13" ht="24">
      <c r="A1" s="1" t="s">
        <v>365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381</v>
      </c>
      <c r="B2" s="2"/>
      <c r="C2" s="2"/>
      <c r="E2" s="4">
        <v>100055945</v>
      </c>
      <c r="F2" s="7"/>
      <c r="G2" s="5" t="s">
        <v>382</v>
      </c>
      <c r="H2" s="2"/>
      <c r="I2" s="2"/>
      <c r="K2" s="4">
        <v>100055946</v>
      </c>
      <c r="L2" s="139">
        <v>1200000696</v>
      </c>
    </row>
    <row r="3" spans="1:13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8344</v>
      </c>
      <c r="J5" s="116">
        <v>1201.9333551219406</v>
      </c>
      <c r="K5" s="117">
        <v>1660106</v>
      </c>
      <c r="L5" s="240">
        <f>K5+E5</f>
        <v>1660106</v>
      </c>
    </row>
    <row r="6" spans="1:13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4939.87</v>
      </c>
      <c r="J6" s="116">
        <v>711.57652480419711</v>
      </c>
      <c r="K6" s="117">
        <v>982834</v>
      </c>
      <c r="L6" s="240">
        <f t="shared" ref="L6:L10" si="0">K6+E6</f>
        <v>982834</v>
      </c>
    </row>
    <row r="7" spans="1:13" s="5" customFormat="1" ht="15.6">
      <c r="A7" s="114" t="s">
        <v>75</v>
      </c>
      <c r="B7" s="115" t="s">
        <v>16</v>
      </c>
      <c r="C7" s="116">
        <v>2057.7145689922154</v>
      </c>
      <c r="D7" s="116">
        <v>306.26787286042219</v>
      </c>
      <c r="E7" s="117">
        <v>399713</v>
      </c>
      <c r="F7" s="121">
        <v>51201020</v>
      </c>
      <c r="G7" s="114" t="s">
        <v>75</v>
      </c>
      <c r="H7" s="115" t="s">
        <v>16</v>
      </c>
      <c r="I7" s="116">
        <v>17382.285431007786</v>
      </c>
      <c r="J7" s="116">
        <v>2503.8768753329837</v>
      </c>
      <c r="K7" s="117">
        <v>3458359</v>
      </c>
      <c r="L7" s="240">
        <f t="shared" si="0"/>
        <v>3858072</v>
      </c>
    </row>
    <row r="8" spans="1:13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1512.5000274185495</v>
      </c>
      <c r="K8" s="117">
        <v>2089065</v>
      </c>
      <c r="L8" s="240">
        <f t="shared" si="0"/>
        <v>2089065</v>
      </c>
    </row>
    <row r="9" spans="1:13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297.5</v>
      </c>
      <c r="J9" s="116">
        <v>42.854167443525569</v>
      </c>
      <c r="K9" s="117">
        <v>59184</v>
      </c>
      <c r="L9" s="240">
        <f t="shared" si="0"/>
        <v>59184</v>
      </c>
    </row>
    <row r="10" spans="1:13" s="5" customFormat="1" ht="15.6">
      <c r="A10" s="114" t="s">
        <v>62</v>
      </c>
      <c r="B10" s="115"/>
      <c r="C10" s="116"/>
      <c r="D10" s="116"/>
      <c r="E10" s="117"/>
      <c r="F10" s="121">
        <v>51321010</v>
      </c>
      <c r="G10" s="114" t="s">
        <v>62</v>
      </c>
      <c r="H10" s="115"/>
      <c r="I10" s="116">
        <v>123243.54000000005</v>
      </c>
      <c r="J10" s="116">
        <v>17778.938821824686</v>
      </c>
      <c r="K10" s="117">
        <v>24556272</v>
      </c>
      <c r="L10" s="240">
        <f t="shared" si="0"/>
        <v>24556272</v>
      </c>
    </row>
    <row r="11" spans="1:13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5.6">
      <c r="A12" s="2045" t="s">
        <v>299</v>
      </c>
      <c r="B12" s="2046"/>
      <c r="C12" s="124">
        <f>SUM(C4:C11)</f>
        <v>2057.7145689922154</v>
      </c>
      <c r="D12" s="124">
        <f>SUM(D4:D11)</f>
        <v>306.26787286042219</v>
      </c>
      <c r="E12" s="125">
        <f>SUM(E4:E11)</f>
        <v>399713</v>
      </c>
      <c r="F12" s="121">
        <v>52981010</v>
      </c>
      <c r="G12" s="2045" t="s">
        <v>299</v>
      </c>
      <c r="H12" s="2046"/>
      <c r="I12" s="124">
        <f>SUM(I4:I11)</f>
        <v>164707.19543100783</v>
      </c>
      <c r="J12" s="124">
        <f>SUM(J4:J11)</f>
        <v>23751.679771945885</v>
      </c>
      <c r="K12" s="125">
        <f>SUM(K4:K10)</f>
        <v>32805820</v>
      </c>
      <c r="L12" s="119"/>
    </row>
    <row r="13" spans="1:13" s="5" customFormat="1" ht="15.6">
      <c r="A13" s="126"/>
      <c r="B13" s="127"/>
      <c r="C13" s="128">
        <f>C12+I12</f>
        <v>166764.91000000003</v>
      </c>
      <c r="D13" s="128">
        <f t="shared" ref="D13:E13" si="1">D12+J12</f>
        <v>24057.947644806307</v>
      </c>
      <c r="E13" s="242">
        <f t="shared" si="1"/>
        <v>33205533</v>
      </c>
      <c r="F13" s="118"/>
      <c r="G13" s="130"/>
      <c r="H13" s="130"/>
      <c r="I13" s="131"/>
      <c r="J13" s="130"/>
      <c r="K13" s="119">
        <v>16280.085986968166</v>
      </c>
      <c r="L13" s="245">
        <v>2425.7418328151257</v>
      </c>
    </row>
    <row r="14" spans="1:13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 t="e">
        <f>SUBTOTAL(9,H17:H62)</f>
        <v>#REF!</v>
      </c>
      <c r="I14" s="137" t="e">
        <f>SUBTOTAL(9,I17:I62)</f>
        <v>#REF!</v>
      </c>
      <c r="J14" s="137" t="e">
        <f>SUBTOTAL(9,J17:J62)</f>
        <v>#REF!</v>
      </c>
      <c r="K14" s="139"/>
      <c r="L14" s="45"/>
    </row>
    <row r="15" spans="1:13" s="5" customFormat="1" ht="15.6">
      <c r="A15" s="2047" t="s">
        <v>300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232</v>
      </c>
      <c r="H15" s="2055"/>
      <c r="I15" s="2053" t="s">
        <v>30</v>
      </c>
      <c r="J15" s="2055"/>
      <c r="K15" s="2056" t="s">
        <v>31</v>
      </c>
      <c r="L15" s="2042"/>
      <c r="M15" s="2043" t="s">
        <v>32</v>
      </c>
    </row>
    <row r="16" spans="1:13" s="5" customFormat="1" ht="14.25" customHeight="1">
      <c r="A16" s="2058"/>
      <c r="B16" s="2059"/>
      <c r="C16" s="2059"/>
      <c r="D16" s="2059"/>
      <c r="E16" s="2059"/>
      <c r="F16" s="2060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57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2057.4259869682069</v>
      </c>
      <c r="L17" s="108">
        <v>306.26787286042583</v>
      </c>
      <c r="M17" s="106"/>
      <c r="N17" s="45">
        <v>306.26787286042219</v>
      </c>
    </row>
    <row r="18" spans="1:14" s="5" customFormat="1" ht="13.5" customHeight="1">
      <c r="A18" s="57">
        <v>44818</v>
      </c>
      <c r="B18" s="173" t="s">
        <v>232</v>
      </c>
      <c r="C18" s="174"/>
      <c r="D18" s="60">
        <v>1</v>
      </c>
      <c r="E18" s="59"/>
      <c r="F18" s="61"/>
      <c r="G18" s="175">
        <v>196035.17</v>
      </c>
      <c r="H18" s="78">
        <v>28264.400000000001</v>
      </c>
      <c r="I18" s="176"/>
      <c r="J18" s="102"/>
      <c r="K18" s="83">
        <f>K17+G18-I18</f>
        <v>198092.59598696823</v>
      </c>
      <c r="L18" s="62">
        <f>L17+H18-J18</f>
        <v>28570.667872860427</v>
      </c>
      <c r="M18" s="58" t="s">
        <v>232</v>
      </c>
      <c r="N18" s="45"/>
    </row>
    <row r="19" spans="1:14" s="5" customFormat="1" ht="13.5" customHeight="1">
      <c r="A19" s="57">
        <v>44818</v>
      </c>
      <c r="B19" s="173" t="s">
        <v>288</v>
      </c>
      <c r="C19" s="174"/>
      <c r="D19" s="60"/>
      <c r="E19" s="59" t="s">
        <v>107</v>
      </c>
      <c r="F19" s="61"/>
      <c r="G19" s="175"/>
      <c r="H19" s="78"/>
      <c r="I19" s="176"/>
      <c r="J19" s="86">
        <v>26</v>
      </c>
      <c r="K19" s="83">
        <f t="shared" ref="K19:K20" si="2">K18+G19-I19</f>
        <v>198092.59598696823</v>
      </c>
      <c r="L19" s="62">
        <f t="shared" ref="L19:L20" si="3">L18+H19-J19</f>
        <v>28544.667872860427</v>
      </c>
      <c r="M19" s="58"/>
      <c r="N19" s="45"/>
    </row>
    <row r="20" spans="1:14" s="5" customFormat="1" ht="13.5" customHeight="1">
      <c r="A20" s="246">
        <v>44823</v>
      </c>
      <c r="B20" s="247" t="s">
        <v>368</v>
      </c>
      <c r="C20" s="179"/>
      <c r="D20" s="180">
        <v>3</v>
      </c>
      <c r="E20" s="181" t="s">
        <v>359</v>
      </c>
      <c r="F20" s="182" t="s">
        <v>360</v>
      </c>
      <c r="G20" s="183"/>
      <c r="H20" s="184"/>
      <c r="I20" s="185" t="e">
        <f>J20*'통장내역(환율표)'!#REF!</f>
        <v>#REF!</v>
      </c>
      <c r="J20" s="186">
        <v>306.26787286042219</v>
      </c>
      <c r="K20" s="187" t="e">
        <f t="shared" si="2"/>
        <v>#REF!</v>
      </c>
      <c r="L20" s="188">
        <f t="shared" si="3"/>
        <v>28238.400000000005</v>
      </c>
      <c r="M20" s="189" t="s">
        <v>304</v>
      </c>
      <c r="N20" s="45">
        <f>N17-J20+H20</f>
        <v>0</v>
      </c>
    </row>
    <row r="21" spans="1:14" s="5" customFormat="1" ht="13.5" customHeight="1">
      <c r="A21" s="246">
        <v>44823</v>
      </c>
      <c r="B21" s="247" t="s">
        <v>369</v>
      </c>
      <c r="C21" s="179"/>
      <c r="D21" s="180">
        <v>3</v>
      </c>
      <c r="E21" s="181" t="s">
        <v>75</v>
      </c>
      <c r="F21" s="182" t="s">
        <v>360</v>
      </c>
      <c r="G21" s="183"/>
      <c r="H21" s="184"/>
      <c r="I21" s="185" t="e">
        <f>19440-I20</f>
        <v>#REF!</v>
      </c>
      <c r="J21" s="86" t="e">
        <f>I21/'통장내역(환율표)'!#REF!</f>
        <v>#REF!</v>
      </c>
      <c r="K21" s="187" t="e">
        <f t="shared" ref="K21:K62" si="4">K20+G21-I21</f>
        <v>#REF!</v>
      </c>
      <c r="L21" s="188" t="e">
        <f t="shared" ref="L21:L62" si="5">L20+H21-J21</f>
        <v>#REF!</v>
      </c>
      <c r="M21" s="189"/>
      <c r="N21" s="45" t="e">
        <f>28238.4-J21+H21</f>
        <v>#REF!</v>
      </c>
    </row>
    <row r="22" spans="1:14" s="5" customFormat="1" ht="13.5" customHeight="1">
      <c r="A22" s="36">
        <v>44823</v>
      </c>
      <c r="B22" s="239" t="s">
        <v>370</v>
      </c>
      <c r="C22" s="160"/>
      <c r="D22" s="37">
        <v>3</v>
      </c>
      <c r="E22" s="33" t="s">
        <v>371</v>
      </c>
      <c r="F22" s="35"/>
      <c r="G22" s="103"/>
      <c r="H22" s="77"/>
      <c r="I22" s="169">
        <v>7.2</v>
      </c>
      <c r="J22" s="86" t="e">
        <f>I22/'통장내역(환율표)'!#REF!</f>
        <v>#REF!</v>
      </c>
      <c r="K22" s="82" t="e">
        <f t="shared" si="4"/>
        <v>#REF!</v>
      </c>
      <c r="L22" s="38" t="e">
        <f t="shared" si="5"/>
        <v>#REF!</v>
      </c>
      <c r="M22" s="34"/>
      <c r="N22" s="45" t="e">
        <f>N21-J22+H22</f>
        <v>#REF!</v>
      </c>
    </row>
    <row r="23" spans="1:14" s="5" customFormat="1" ht="13.5" customHeight="1">
      <c r="A23" s="46">
        <v>44825</v>
      </c>
      <c r="B23" s="248" t="s">
        <v>372</v>
      </c>
      <c r="C23" s="249"/>
      <c r="D23" s="48"/>
      <c r="E23" s="47" t="s">
        <v>379</v>
      </c>
      <c r="F23" s="49"/>
      <c r="G23" s="54">
        <v>49.51</v>
      </c>
      <c r="H23" s="76" t="e">
        <f>G23/'통장내역(환율표)'!#REF!</f>
        <v>#REF!</v>
      </c>
      <c r="I23" s="94"/>
      <c r="J23" s="250" t="e">
        <f>I23/'통장내역(환율표)'!#REF!</f>
        <v>#REF!</v>
      </c>
      <c r="K23" s="84" t="e">
        <f t="shared" si="4"/>
        <v>#REF!</v>
      </c>
      <c r="L23" s="50" t="e">
        <f t="shared" si="5"/>
        <v>#REF!</v>
      </c>
      <c r="M23" s="52"/>
      <c r="N23" s="45" t="e">
        <f t="shared" ref="N23:N62" si="6">N22-J23+H23</f>
        <v>#REF!</v>
      </c>
    </row>
    <row r="24" spans="1:14" s="5" customFormat="1" ht="12.75" customHeight="1">
      <c r="A24" s="36">
        <v>44827</v>
      </c>
      <c r="B24" s="239" t="s">
        <v>373</v>
      </c>
      <c r="C24" s="160"/>
      <c r="D24" s="37">
        <v>2</v>
      </c>
      <c r="E24" s="33" t="s">
        <v>371</v>
      </c>
      <c r="F24" s="35"/>
      <c r="G24" s="103"/>
      <c r="H24" s="77"/>
      <c r="I24" s="169">
        <v>300</v>
      </c>
      <c r="J24" s="86" t="e">
        <f>I24/'통장내역(환율표)'!#REF!</f>
        <v>#REF!</v>
      </c>
      <c r="K24" s="82" t="e">
        <f t="shared" si="4"/>
        <v>#REF!</v>
      </c>
      <c r="L24" s="38" t="e">
        <f t="shared" si="5"/>
        <v>#REF!</v>
      </c>
      <c r="M24" s="34" t="s">
        <v>374</v>
      </c>
      <c r="N24" s="45" t="e">
        <f t="shared" si="6"/>
        <v>#REF!</v>
      </c>
    </row>
    <row r="25" spans="1:14" s="5" customFormat="1" ht="13.5" customHeight="1">
      <c r="A25" s="36">
        <v>44827</v>
      </c>
      <c r="B25" s="239" t="s">
        <v>367</v>
      </c>
      <c r="C25" s="160"/>
      <c r="D25" s="37">
        <v>2</v>
      </c>
      <c r="E25" s="33" t="s">
        <v>371</v>
      </c>
      <c r="F25" s="35"/>
      <c r="G25" s="103"/>
      <c r="H25" s="77"/>
      <c r="I25" s="169">
        <v>7572.43</v>
      </c>
      <c r="J25" s="86" t="e">
        <f>I25/'통장내역(환율표)'!#REF!</f>
        <v>#REF!</v>
      </c>
      <c r="K25" s="82" t="e">
        <f t="shared" si="4"/>
        <v>#REF!</v>
      </c>
      <c r="L25" s="38" t="e">
        <f t="shared" si="5"/>
        <v>#REF!</v>
      </c>
      <c r="M25" s="34"/>
      <c r="N25" s="45" t="e">
        <f t="shared" si="6"/>
        <v>#REF!</v>
      </c>
    </row>
    <row r="26" spans="1:14" s="5" customFormat="1" ht="13.5" customHeight="1">
      <c r="A26" s="36">
        <v>44827</v>
      </c>
      <c r="B26" s="239" t="s">
        <v>375</v>
      </c>
      <c r="C26" s="160"/>
      <c r="D26" s="37">
        <v>2</v>
      </c>
      <c r="E26" s="33" t="s">
        <v>371</v>
      </c>
      <c r="F26" s="35"/>
      <c r="G26" s="103"/>
      <c r="H26" s="77"/>
      <c r="I26" s="169">
        <v>5104.59</v>
      </c>
      <c r="J26" s="86" t="e">
        <f>I26/'통장내역(환율표)'!#REF!</f>
        <v>#REF!</v>
      </c>
      <c r="K26" s="82" t="e">
        <f t="shared" si="4"/>
        <v>#REF!</v>
      </c>
      <c r="L26" s="38" t="e">
        <f t="shared" si="5"/>
        <v>#REF!</v>
      </c>
      <c r="M26" s="34" t="s">
        <v>374</v>
      </c>
      <c r="N26" s="45" t="e">
        <f t="shared" si="6"/>
        <v>#REF!</v>
      </c>
    </row>
    <row r="27" spans="1:14" s="5" customFormat="1" ht="13.5" customHeight="1">
      <c r="A27" s="36">
        <v>44827</v>
      </c>
      <c r="B27" s="239" t="s">
        <v>380</v>
      </c>
      <c r="C27" s="160"/>
      <c r="D27" s="37">
        <v>2</v>
      </c>
      <c r="E27" s="33" t="s">
        <v>371</v>
      </c>
      <c r="F27" s="35"/>
      <c r="G27" s="103"/>
      <c r="H27" s="77"/>
      <c r="I27" s="169">
        <v>13500</v>
      </c>
      <c r="J27" s="86" t="e">
        <f>I27/'통장내역(환율표)'!#REF!</f>
        <v>#REF!</v>
      </c>
      <c r="K27" s="82" t="e">
        <f t="shared" si="4"/>
        <v>#REF!</v>
      </c>
      <c r="L27" s="38" t="e">
        <f t="shared" si="5"/>
        <v>#REF!</v>
      </c>
      <c r="M27" s="34" t="s">
        <v>374</v>
      </c>
      <c r="N27" s="45" t="e">
        <f t="shared" si="6"/>
        <v>#REF!</v>
      </c>
    </row>
    <row r="28" spans="1:14" s="5" customFormat="1" ht="13.5" customHeight="1">
      <c r="A28" s="36">
        <v>44827</v>
      </c>
      <c r="B28" s="239" t="s">
        <v>376</v>
      </c>
      <c r="C28" s="160"/>
      <c r="D28" s="37">
        <v>2</v>
      </c>
      <c r="E28" s="33" t="s">
        <v>371</v>
      </c>
      <c r="F28" s="35"/>
      <c r="G28" s="103"/>
      <c r="H28" s="77"/>
      <c r="I28" s="169">
        <v>20000</v>
      </c>
      <c r="J28" s="86" t="e">
        <f>I28/'통장내역(환율표)'!#REF!</f>
        <v>#REF!</v>
      </c>
      <c r="K28" s="82" t="e">
        <f t="shared" si="4"/>
        <v>#REF!</v>
      </c>
      <c r="L28" s="38" t="e">
        <f t="shared" si="5"/>
        <v>#REF!</v>
      </c>
      <c r="M28" s="34" t="s">
        <v>374</v>
      </c>
      <c r="N28" s="45" t="e">
        <f t="shared" si="6"/>
        <v>#REF!</v>
      </c>
    </row>
    <row r="29" spans="1:14" s="5" customFormat="1" ht="13.5" customHeight="1">
      <c r="A29" s="36">
        <v>44827</v>
      </c>
      <c r="B29" s="239" t="s">
        <v>373</v>
      </c>
      <c r="C29" s="160"/>
      <c r="D29" s="37">
        <v>2</v>
      </c>
      <c r="E29" s="33" t="s">
        <v>371</v>
      </c>
      <c r="F29" s="35"/>
      <c r="G29" s="103"/>
      <c r="H29" s="77"/>
      <c r="I29" s="169">
        <v>300</v>
      </c>
      <c r="J29" s="86" t="e">
        <f>I29/'통장내역(환율표)'!#REF!</f>
        <v>#REF!</v>
      </c>
      <c r="K29" s="82" t="e">
        <f t="shared" si="4"/>
        <v>#REF!</v>
      </c>
      <c r="L29" s="38" t="e">
        <f t="shared" si="5"/>
        <v>#REF!</v>
      </c>
      <c r="M29" s="34" t="s">
        <v>377</v>
      </c>
      <c r="N29" s="45" t="e">
        <f t="shared" si="6"/>
        <v>#REF!</v>
      </c>
    </row>
    <row r="30" spans="1:14" s="5" customFormat="1" ht="13.5" customHeight="1">
      <c r="A30" s="36">
        <v>44827</v>
      </c>
      <c r="B30" s="239" t="s">
        <v>367</v>
      </c>
      <c r="C30" s="160"/>
      <c r="D30" s="37">
        <v>2</v>
      </c>
      <c r="E30" s="33" t="s">
        <v>371</v>
      </c>
      <c r="F30" s="35"/>
      <c r="G30" s="103"/>
      <c r="H30" s="77"/>
      <c r="I30" s="169">
        <v>4197.43</v>
      </c>
      <c r="J30" s="86" t="e">
        <f>I30/'통장내역(환율표)'!#REF!</f>
        <v>#REF!</v>
      </c>
      <c r="K30" s="82" t="e">
        <f t="shared" si="4"/>
        <v>#REF!</v>
      </c>
      <c r="L30" s="38" t="e">
        <f t="shared" si="5"/>
        <v>#REF!</v>
      </c>
      <c r="M30" s="34" t="s">
        <v>377</v>
      </c>
      <c r="N30" s="45" t="e">
        <f t="shared" si="6"/>
        <v>#REF!</v>
      </c>
    </row>
    <row r="31" spans="1:14" s="5" customFormat="1" ht="13.5" customHeight="1">
      <c r="A31" s="36">
        <v>44827</v>
      </c>
      <c r="B31" s="239" t="s">
        <v>375</v>
      </c>
      <c r="C31" s="160"/>
      <c r="D31" s="37">
        <v>2</v>
      </c>
      <c r="E31" s="33" t="s">
        <v>371</v>
      </c>
      <c r="F31" s="35"/>
      <c r="G31" s="103"/>
      <c r="H31" s="77"/>
      <c r="I31" s="169">
        <v>2114.3000000000002</v>
      </c>
      <c r="J31" s="86" t="e">
        <f>I31/'통장내역(환율표)'!#REF!</f>
        <v>#REF!</v>
      </c>
      <c r="K31" s="82" t="e">
        <f t="shared" si="4"/>
        <v>#REF!</v>
      </c>
      <c r="L31" s="38" t="e">
        <f t="shared" si="5"/>
        <v>#REF!</v>
      </c>
      <c r="M31" s="34" t="s">
        <v>377</v>
      </c>
      <c r="N31" s="45" t="e">
        <f t="shared" si="6"/>
        <v>#REF!</v>
      </c>
    </row>
    <row r="32" spans="1:14" s="5" customFormat="1" ht="13.5" customHeight="1">
      <c r="A32" s="36">
        <v>44827</v>
      </c>
      <c r="B32" s="239" t="s">
        <v>345</v>
      </c>
      <c r="C32" s="160"/>
      <c r="D32" s="37">
        <v>2</v>
      </c>
      <c r="E32" s="33" t="s">
        <v>342</v>
      </c>
      <c r="F32" s="35"/>
      <c r="G32" s="103"/>
      <c r="H32" s="77"/>
      <c r="I32" s="169">
        <v>13500</v>
      </c>
      <c r="J32" s="86" t="e">
        <f>I32/'통장내역(환율표)'!#REF!</f>
        <v>#REF!</v>
      </c>
      <c r="K32" s="82" t="e">
        <f t="shared" si="4"/>
        <v>#REF!</v>
      </c>
      <c r="L32" s="38" t="e">
        <f t="shared" si="5"/>
        <v>#REF!</v>
      </c>
      <c r="M32" s="34" t="s">
        <v>211</v>
      </c>
      <c r="N32" s="45" t="e">
        <f t="shared" si="6"/>
        <v>#REF!</v>
      </c>
    </row>
    <row r="33" spans="1:14" s="5" customFormat="1" ht="13.5" customHeight="1">
      <c r="A33" s="36">
        <v>44827</v>
      </c>
      <c r="B33" s="239" t="s">
        <v>376</v>
      </c>
      <c r="C33" s="160"/>
      <c r="D33" s="37">
        <v>2</v>
      </c>
      <c r="E33" s="33" t="s">
        <v>371</v>
      </c>
      <c r="F33" s="35"/>
      <c r="G33" s="103"/>
      <c r="H33" s="77"/>
      <c r="I33" s="169">
        <v>14000</v>
      </c>
      <c r="J33" s="86" t="e">
        <f>I33/'통장내역(환율표)'!#REF!</f>
        <v>#REF!</v>
      </c>
      <c r="K33" s="82" t="e">
        <f t="shared" si="4"/>
        <v>#REF!</v>
      </c>
      <c r="L33" s="38" t="e">
        <f t="shared" si="5"/>
        <v>#REF!</v>
      </c>
      <c r="M33" s="34" t="s">
        <v>377</v>
      </c>
      <c r="N33" s="45" t="e">
        <f t="shared" si="6"/>
        <v>#REF!</v>
      </c>
    </row>
    <row r="34" spans="1:14" s="5" customFormat="1" ht="13.5" customHeight="1">
      <c r="A34" s="36">
        <v>44827</v>
      </c>
      <c r="B34" s="239" t="s">
        <v>373</v>
      </c>
      <c r="C34" s="160"/>
      <c r="D34" s="37">
        <v>2</v>
      </c>
      <c r="E34" s="33" t="s">
        <v>371</v>
      </c>
      <c r="F34" s="35"/>
      <c r="G34" s="103"/>
      <c r="H34" s="77"/>
      <c r="I34" s="169">
        <v>300</v>
      </c>
      <c r="J34" s="86" t="e">
        <f>I34/'통장내역(환율표)'!#REF!</f>
        <v>#REF!</v>
      </c>
      <c r="K34" s="82" t="e">
        <f t="shared" si="4"/>
        <v>#REF!</v>
      </c>
      <c r="L34" s="38" t="e">
        <f t="shared" si="5"/>
        <v>#REF!</v>
      </c>
      <c r="M34" s="34" t="s">
        <v>378</v>
      </c>
      <c r="N34" s="45" t="e">
        <f t="shared" si="6"/>
        <v>#REF!</v>
      </c>
    </row>
    <row r="35" spans="1:14" s="5" customFormat="1" ht="13.5" customHeight="1">
      <c r="A35" s="36">
        <v>44827</v>
      </c>
      <c r="B35" s="239" t="s">
        <v>343</v>
      </c>
      <c r="C35" s="160"/>
      <c r="D35" s="37">
        <v>2</v>
      </c>
      <c r="E35" s="33" t="s">
        <v>342</v>
      </c>
      <c r="F35" s="35"/>
      <c r="G35" s="103"/>
      <c r="H35" s="77"/>
      <c r="I35" s="169">
        <v>8295.14</v>
      </c>
      <c r="J35" s="86" t="e">
        <f>I35/'통장내역(환율표)'!#REF!</f>
        <v>#REF!</v>
      </c>
      <c r="K35" s="82" t="e">
        <f t="shared" si="4"/>
        <v>#REF!</v>
      </c>
      <c r="L35" s="38" t="e">
        <f t="shared" si="5"/>
        <v>#REF!</v>
      </c>
      <c r="M35" s="34" t="s">
        <v>287</v>
      </c>
      <c r="N35" s="45" t="e">
        <f t="shared" si="6"/>
        <v>#REF!</v>
      </c>
    </row>
    <row r="36" spans="1:14" s="5" customFormat="1" ht="13.5" customHeight="1">
      <c r="A36" s="36">
        <v>44827</v>
      </c>
      <c r="B36" s="239" t="s">
        <v>344</v>
      </c>
      <c r="C36" s="160"/>
      <c r="D36" s="37">
        <v>2</v>
      </c>
      <c r="E36" s="33" t="s">
        <v>342</v>
      </c>
      <c r="F36" s="35"/>
      <c r="G36" s="103"/>
      <c r="H36" s="77"/>
      <c r="I36" s="169">
        <v>1493.42</v>
      </c>
      <c r="J36" s="86" t="e">
        <f>I36/'통장내역(환율표)'!#REF!</f>
        <v>#REF!</v>
      </c>
      <c r="K36" s="82" t="e">
        <f t="shared" si="4"/>
        <v>#REF!</v>
      </c>
      <c r="L36" s="38" t="e">
        <f t="shared" si="5"/>
        <v>#REF!</v>
      </c>
      <c r="M36" s="34" t="s">
        <v>287</v>
      </c>
      <c r="N36" s="45" t="e">
        <f t="shared" si="6"/>
        <v>#REF!</v>
      </c>
    </row>
    <row r="37" spans="1:14" s="5" customFormat="1" ht="13.5" customHeight="1">
      <c r="A37" s="36">
        <v>44827</v>
      </c>
      <c r="B37" s="239" t="s">
        <v>345</v>
      </c>
      <c r="C37" s="160"/>
      <c r="D37" s="37">
        <v>2</v>
      </c>
      <c r="E37" s="33" t="s">
        <v>342</v>
      </c>
      <c r="F37" s="35"/>
      <c r="G37" s="103"/>
      <c r="H37" s="77"/>
      <c r="I37" s="169">
        <v>20229.169999999998</v>
      </c>
      <c r="J37" s="86" t="e">
        <f>I37/'통장내역(환율표)'!#REF!</f>
        <v>#REF!</v>
      </c>
      <c r="K37" s="82" t="e">
        <f t="shared" si="4"/>
        <v>#REF!</v>
      </c>
      <c r="L37" s="38" t="e">
        <f t="shared" si="5"/>
        <v>#REF!</v>
      </c>
      <c r="M37" s="34" t="s">
        <v>287</v>
      </c>
      <c r="N37" s="45" t="e">
        <f t="shared" si="6"/>
        <v>#REF!</v>
      </c>
    </row>
    <row r="38" spans="1:14" s="5" customFormat="1" ht="13.5" customHeight="1">
      <c r="A38" s="36">
        <v>44827</v>
      </c>
      <c r="B38" s="239" t="s">
        <v>340</v>
      </c>
      <c r="C38" s="160"/>
      <c r="D38" s="37">
        <v>2</v>
      </c>
      <c r="E38" s="33" t="s">
        <v>342</v>
      </c>
      <c r="F38" s="35"/>
      <c r="G38" s="103"/>
      <c r="H38" s="77"/>
      <c r="I38" s="169">
        <v>12</v>
      </c>
      <c r="J38" s="86" t="e">
        <f>I38/'통장내역(환율표)'!#REF!</f>
        <v>#REF!</v>
      </c>
      <c r="K38" s="82" t="e">
        <f t="shared" si="4"/>
        <v>#REF!</v>
      </c>
      <c r="L38" s="38" t="e">
        <f t="shared" si="5"/>
        <v>#REF!</v>
      </c>
      <c r="M38" s="34"/>
      <c r="N38" s="45" t="e">
        <f t="shared" si="6"/>
        <v>#REF!</v>
      </c>
    </row>
    <row r="39" spans="1:14" s="5" customFormat="1" ht="13.5" customHeight="1">
      <c r="A39" s="36">
        <v>44827</v>
      </c>
      <c r="B39" s="239" t="s">
        <v>346</v>
      </c>
      <c r="C39" s="160"/>
      <c r="D39" s="37">
        <v>4</v>
      </c>
      <c r="E39" s="33" t="s">
        <v>359</v>
      </c>
      <c r="F39" s="35" t="s">
        <v>361</v>
      </c>
      <c r="G39" s="103"/>
      <c r="H39" s="77"/>
      <c r="I39" s="169">
        <v>10500</v>
      </c>
      <c r="J39" s="86" t="e">
        <f>I39/'통장내역(환율표)'!#REF!</f>
        <v>#REF!</v>
      </c>
      <c r="K39" s="82" t="e">
        <f t="shared" si="4"/>
        <v>#REF!</v>
      </c>
      <c r="L39" s="38" t="e">
        <f t="shared" si="5"/>
        <v>#REF!</v>
      </c>
      <c r="M39" s="34" t="s">
        <v>305</v>
      </c>
      <c r="N39" s="45" t="e">
        <f t="shared" si="6"/>
        <v>#REF!</v>
      </c>
    </row>
    <row r="40" spans="1:14" s="5" customFormat="1" ht="13.5" customHeight="1">
      <c r="A40" s="36">
        <v>44827</v>
      </c>
      <c r="B40" s="239" t="s">
        <v>347</v>
      </c>
      <c r="C40" s="160"/>
      <c r="D40" s="37">
        <v>4</v>
      </c>
      <c r="E40" s="33" t="s">
        <v>342</v>
      </c>
      <c r="F40" s="35"/>
      <c r="G40" s="103"/>
      <c r="H40" s="77"/>
      <c r="I40" s="169">
        <v>6000</v>
      </c>
      <c r="J40" s="86" t="e">
        <f>I40/'통장내역(환율표)'!#REF!</f>
        <v>#REF!</v>
      </c>
      <c r="K40" s="82" t="e">
        <f t="shared" si="4"/>
        <v>#REF!</v>
      </c>
      <c r="L40" s="38" t="e">
        <f t="shared" si="5"/>
        <v>#REF!</v>
      </c>
      <c r="M40" s="34"/>
      <c r="N40" s="45" t="e">
        <f t="shared" si="6"/>
        <v>#REF!</v>
      </c>
    </row>
    <row r="41" spans="1:14" s="5" customFormat="1" ht="13.5" customHeight="1">
      <c r="A41" s="36">
        <v>44827</v>
      </c>
      <c r="B41" s="239" t="s">
        <v>348</v>
      </c>
      <c r="C41" s="160"/>
      <c r="D41" s="37">
        <v>4</v>
      </c>
      <c r="E41" s="33" t="s">
        <v>362</v>
      </c>
      <c r="F41" s="35" t="s">
        <v>355</v>
      </c>
      <c r="G41" s="103"/>
      <c r="H41" s="77"/>
      <c r="I41" s="169">
        <v>900</v>
      </c>
      <c r="J41" s="86" t="e">
        <f>I41/'통장내역(환율표)'!#REF!</f>
        <v>#REF!</v>
      </c>
      <c r="K41" s="82" t="e">
        <f t="shared" si="4"/>
        <v>#REF!</v>
      </c>
      <c r="L41" s="38" t="e">
        <f t="shared" si="5"/>
        <v>#REF!</v>
      </c>
      <c r="M41" s="34"/>
      <c r="N41" s="45" t="e">
        <f t="shared" si="6"/>
        <v>#REF!</v>
      </c>
    </row>
    <row r="42" spans="1:14" s="5" customFormat="1" ht="13.5" customHeight="1">
      <c r="A42" s="36">
        <v>44827</v>
      </c>
      <c r="B42" s="239" t="s">
        <v>349</v>
      </c>
      <c r="C42" s="160"/>
      <c r="D42" s="37">
        <v>4</v>
      </c>
      <c r="E42" s="33" t="s">
        <v>294</v>
      </c>
      <c r="F42" s="35" t="s">
        <v>322</v>
      </c>
      <c r="G42" s="103"/>
      <c r="H42" s="77"/>
      <c r="I42" s="169">
        <v>2286.83</v>
      </c>
      <c r="J42" s="86" t="e">
        <f>I42/'통장내역(환율표)'!#REF!</f>
        <v>#REF!</v>
      </c>
      <c r="K42" s="82" t="e">
        <f t="shared" si="4"/>
        <v>#REF!</v>
      </c>
      <c r="L42" s="38" t="e">
        <f t="shared" si="5"/>
        <v>#REF!</v>
      </c>
      <c r="M42" s="34"/>
      <c r="N42" s="45" t="e">
        <f t="shared" si="6"/>
        <v>#REF!</v>
      </c>
    </row>
    <row r="43" spans="1:14" s="5" customFormat="1" ht="13.5" customHeight="1">
      <c r="A43" s="36">
        <v>44827</v>
      </c>
      <c r="B43" s="239" t="s">
        <v>350</v>
      </c>
      <c r="C43" s="160"/>
      <c r="D43" s="37">
        <v>4</v>
      </c>
      <c r="E43" s="33" t="s">
        <v>294</v>
      </c>
      <c r="F43" s="35" t="s">
        <v>322</v>
      </c>
      <c r="G43" s="103"/>
      <c r="H43" s="77"/>
      <c r="I43" s="169">
        <v>36</v>
      </c>
      <c r="J43" s="86" t="e">
        <f>I43/'통장내역(환율표)'!#REF!</f>
        <v>#REF!</v>
      </c>
      <c r="K43" s="82" t="e">
        <f t="shared" si="4"/>
        <v>#REF!</v>
      </c>
      <c r="L43" s="38" t="e">
        <f t="shared" si="5"/>
        <v>#REF!</v>
      </c>
      <c r="M43" s="34"/>
      <c r="N43" s="45" t="e">
        <f t="shared" si="6"/>
        <v>#REF!</v>
      </c>
    </row>
    <row r="44" spans="1:14" s="5" customFormat="1" ht="13.5" customHeight="1">
      <c r="A44" s="36">
        <v>44827</v>
      </c>
      <c r="B44" s="239" t="s">
        <v>351</v>
      </c>
      <c r="C44" s="160"/>
      <c r="D44" s="37">
        <v>4</v>
      </c>
      <c r="E44" s="33" t="s">
        <v>342</v>
      </c>
      <c r="F44" s="35"/>
      <c r="G44" s="103"/>
      <c r="H44" s="77"/>
      <c r="I44" s="169">
        <v>300</v>
      </c>
      <c r="J44" s="86" t="e">
        <f>I44/'통장내역(환율표)'!#REF!</f>
        <v>#REF!</v>
      </c>
      <c r="K44" s="82" t="e">
        <f t="shared" si="4"/>
        <v>#REF!</v>
      </c>
      <c r="L44" s="38" t="e">
        <f t="shared" si="5"/>
        <v>#REF!</v>
      </c>
      <c r="M44" s="34"/>
      <c r="N44" s="45" t="e">
        <f t="shared" si="6"/>
        <v>#REF!</v>
      </c>
    </row>
    <row r="45" spans="1:14" s="5" customFormat="1" ht="13.5" customHeight="1">
      <c r="A45" s="36">
        <v>44827</v>
      </c>
      <c r="B45" s="239" t="s">
        <v>340</v>
      </c>
      <c r="C45" s="160"/>
      <c r="D45" s="37">
        <v>4</v>
      </c>
      <c r="E45" s="33" t="s">
        <v>342</v>
      </c>
      <c r="F45" s="35"/>
      <c r="G45" s="103"/>
      <c r="H45" s="77"/>
      <c r="I45" s="169">
        <v>7.2</v>
      </c>
      <c r="J45" s="86" t="e">
        <f>I45/'통장내역(환율표)'!#REF!</f>
        <v>#REF!</v>
      </c>
      <c r="K45" s="82" t="e">
        <f t="shared" si="4"/>
        <v>#REF!</v>
      </c>
      <c r="L45" s="38" t="e">
        <f t="shared" si="5"/>
        <v>#REF!</v>
      </c>
      <c r="M45" s="34"/>
      <c r="N45" s="45" t="e">
        <f t="shared" si="6"/>
        <v>#REF!</v>
      </c>
    </row>
    <row r="46" spans="1:14" s="5" customFormat="1" ht="13.5" customHeight="1">
      <c r="A46" s="36">
        <v>44827</v>
      </c>
      <c r="B46" s="239" t="s">
        <v>352</v>
      </c>
      <c r="C46" s="160"/>
      <c r="D46" s="37">
        <v>5</v>
      </c>
      <c r="E46" s="33" t="s">
        <v>342</v>
      </c>
      <c r="F46" s="35"/>
      <c r="G46" s="103"/>
      <c r="H46" s="77"/>
      <c r="I46" s="169">
        <v>1000</v>
      </c>
      <c r="J46" s="86" t="e">
        <f>I46/'통장내역(환율표)'!#REF!</f>
        <v>#REF!</v>
      </c>
      <c r="K46" s="82" t="e">
        <f t="shared" si="4"/>
        <v>#REF!</v>
      </c>
      <c r="L46" s="38" t="e">
        <f t="shared" si="5"/>
        <v>#REF!</v>
      </c>
      <c r="M46" s="34" t="s">
        <v>306</v>
      </c>
      <c r="N46" s="45" t="e">
        <f t="shared" si="6"/>
        <v>#REF!</v>
      </c>
    </row>
    <row r="47" spans="1:14" s="5" customFormat="1" ht="13.5" customHeight="1">
      <c r="A47" s="36">
        <v>44827</v>
      </c>
      <c r="B47" s="239" t="s">
        <v>340</v>
      </c>
      <c r="C47" s="160"/>
      <c r="D47" s="37">
        <v>5</v>
      </c>
      <c r="E47" s="33" t="s">
        <v>342</v>
      </c>
      <c r="F47" s="35"/>
      <c r="G47" s="103"/>
      <c r="H47" s="77"/>
      <c r="I47" s="169">
        <v>3.6</v>
      </c>
      <c r="J47" s="86" t="e">
        <f>I47/'통장내역(환율표)'!#REF!</f>
        <v>#REF!</v>
      </c>
      <c r="K47" s="82" t="e">
        <f t="shared" si="4"/>
        <v>#REF!</v>
      </c>
      <c r="L47" s="38" t="e">
        <f t="shared" si="5"/>
        <v>#REF!</v>
      </c>
      <c r="M47" s="34"/>
      <c r="N47" s="45" t="e">
        <f t="shared" si="6"/>
        <v>#REF!</v>
      </c>
    </row>
    <row r="48" spans="1:14" s="5" customFormat="1" ht="13.5" customHeight="1">
      <c r="A48" s="36">
        <v>44827</v>
      </c>
      <c r="B48" s="239" t="s">
        <v>353</v>
      </c>
      <c r="C48" s="160"/>
      <c r="D48" s="37">
        <v>6</v>
      </c>
      <c r="E48" s="33" t="s">
        <v>342</v>
      </c>
      <c r="F48" s="35"/>
      <c r="G48" s="103"/>
      <c r="H48" s="77"/>
      <c r="I48" s="169">
        <v>3097.26</v>
      </c>
      <c r="J48" s="86" t="e">
        <f>I48/'통장내역(환율표)'!#REF!</f>
        <v>#REF!</v>
      </c>
      <c r="K48" s="82" t="e">
        <f t="shared" si="4"/>
        <v>#REF!</v>
      </c>
      <c r="L48" s="38" t="e">
        <f t="shared" si="5"/>
        <v>#REF!</v>
      </c>
      <c r="M48" s="34" t="s">
        <v>337</v>
      </c>
      <c r="N48" s="45" t="e">
        <f t="shared" si="6"/>
        <v>#REF!</v>
      </c>
    </row>
    <row r="49" spans="1:14" s="5" customFormat="1" ht="13.5" customHeight="1">
      <c r="A49" s="36">
        <v>44827</v>
      </c>
      <c r="B49" s="239" t="s">
        <v>340</v>
      </c>
      <c r="C49" s="160"/>
      <c r="D49" s="37">
        <v>6</v>
      </c>
      <c r="E49" s="33" t="s">
        <v>342</v>
      </c>
      <c r="F49" s="35"/>
      <c r="G49" s="103"/>
      <c r="H49" s="77"/>
      <c r="I49" s="169">
        <v>3.6</v>
      </c>
      <c r="J49" s="86" t="e">
        <f>I49/'통장내역(환율표)'!#REF!</f>
        <v>#REF!</v>
      </c>
      <c r="K49" s="82" t="e">
        <f t="shared" si="4"/>
        <v>#REF!</v>
      </c>
      <c r="L49" s="38" t="e">
        <f t="shared" si="5"/>
        <v>#REF!</v>
      </c>
      <c r="M49" s="34"/>
      <c r="N49" s="45" t="e">
        <f t="shared" si="6"/>
        <v>#REF!</v>
      </c>
    </row>
    <row r="50" spans="1:14" s="5" customFormat="1" ht="13.5" customHeight="1">
      <c r="A50" s="36">
        <v>44827</v>
      </c>
      <c r="B50" s="239" t="s">
        <v>356</v>
      </c>
      <c r="C50" s="160"/>
      <c r="D50" s="37">
        <v>9</v>
      </c>
      <c r="E50" s="33" t="s">
        <v>342</v>
      </c>
      <c r="F50" s="35"/>
      <c r="G50" s="103"/>
      <c r="H50" s="77"/>
      <c r="I50" s="169">
        <v>1026</v>
      </c>
      <c r="J50" s="86" t="e">
        <f>I50/'통장내역(환율표)'!#REF!</f>
        <v>#REF!</v>
      </c>
      <c r="K50" s="82" t="e">
        <f t="shared" si="4"/>
        <v>#REF!</v>
      </c>
      <c r="L50" s="38" t="e">
        <f t="shared" si="5"/>
        <v>#REF!</v>
      </c>
      <c r="M50" s="34"/>
      <c r="N50" s="45" t="e">
        <f t="shared" si="6"/>
        <v>#REF!</v>
      </c>
    </row>
    <row r="51" spans="1:14" s="5" customFormat="1" ht="13.5" customHeight="1">
      <c r="A51" s="36">
        <v>44827</v>
      </c>
      <c r="B51" s="239" t="s">
        <v>357</v>
      </c>
      <c r="C51" s="160"/>
      <c r="D51" s="37">
        <v>9</v>
      </c>
      <c r="E51" s="33" t="s">
        <v>342</v>
      </c>
      <c r="F51" s="35"/>
      <c r="G51" s="103"/>
      <c r="H51" s="77"/>
      <c r="I51" s="169">
        <v>642.6</v>
      </c>
      <c r="J51" s="86" t="e">
        <f>I51/'통장내역(환율표)'!#REF!</f>
        <v>#REF!</v>
      </c>
      <c r="K51" s="82" t="e">
        <f t="shared" si="4"/>
        <v>#REF!</v>
      </c>
      <c r="L51" s="38" t="e">
        <f t="shared" si="5"/>
        <v>#REF!</v>
      </c>
      <c r="M51" s="34"/>
      <c r="N51" s="45" t="e">
        <f t="shared" si="6"/>
        <v>#REF!</v>
      </c>
    </row>
    <row r="52" spans="1:14" s="5" customFormat="1" ht="13.5" customHeight="1">
      <c r="A52" s="36">
        <v>44827</v>
      </c>
      <c r="B52" s="239" t="s">
        <v>340</v>
      </c>
      <c r="C52" s="160"/>
      <c r="D52" s="37">
        <v>9</v>
      </c>
      <c r="E52" s="33" t="s">
        <v>342</v>
      </c>
      <c r="F52" s="35"/>
      <c r="G52" s="103"/>
      <c r="H52" s="77"/>
      <c r="I52" s="169">
        <v>3.6</v>
      </c>
      <c r="J52" s="86" t="e">
        <f>I52/'통장내역(환율표)'!#REF!</f>
        <v>#REF!</v>
      </c>
      <c r="K52" s="82" t="e">
        <f t="shared" si="4"/>
        <v>#REF!</v>
      </c>
      <c r="L52" s="38" t="e">
        <f t="shared" si="5"/>
        <v>#REF!</v>
      </c>
      <c r="M52" s="34"/>
      <c r="N52" s="45" t="e">
        <f t="shared" si="6"/>
        <v>#REF!</v>
      </c>
    </row>
    <row r="53" spans="1:14" s="5" customFormat="1" ht="13.5" customHeight="1">
      <c r="A53" s="36">
        <v>44827</v>
      </c>
      <c r="B53" s="239" t="s">
        <v>354</v>
      </c>
      <c r="C53" s="160"/>
      <c r="D53" s="37">
        <v>8</v>
      </c>
      <c r="E53" s="33" t="s">
        <v>362</v>
      </c>
      <c r="F53" s="35" t="s">
        <v>355</v>
      </c>
      <c r="G53" s="103"/>
      <c r="H53" s="77"/>
      <c r="I53" s="169">
        <v>1717.04</v>
      </c>
      <c r="J53" s="86" t="e">
        <f>I53/'통장내역(환율표)'!#REF!</f>
        <v>#REF!</v>
      </c>
      <c r="K53" s="82" t="e">
        <f t="shared" si="4"/>
        <v>#REF!</v>
      </c>
      <c r="L53" s="38" t="e">
        <f t="shared" si="5"/>
        <v>#REF!</v>
      </c>
      <c r="M53" s="34"/>
      <c r="N53" s="45" t="e">
        <f t="shared" si="6"/>
        <v>#REF!</v>
      </c>
    </row>
    <row r="54" spans="1:14" s="5" customFormat="1" ht="13.5" customHeight="1">
      <c r="A54" s="36">
        <v>44827</v>
      </c>
      <c r="B54" s="239" t="s">
        <v>340</v>
      </c>
      <c r="C54" s="160"/>
      <c r="D54" s="37">
        <v>8</v>
      </c>
      <c r="E54" s="33" t="s">
        <v>342</v>
      </c>
      <c r="F54" s="35"/>
      <c r="G54" s="103"/>
      <c r="H54" s="77"/>
      <c r="I54" s="169">
        <v>3.6</v>
      </c>
      <c r="J54" s="86" t="e">
        <f>I54/'통장내역(환율표)'!#REF!</f>
        <v>#REF!</v>
      </c>
      <c r="K54" s="82" t="e">
        <f t="shared" si="4"/>
        <v>#REF!</v>
      </c>
      <c r="L54" s="38" t="e">
        <f t="shared" si="5"/>
        <v>#REF!</v>
      </c>
      <c r="M54" s="34"/>
      <c r="N54" s="45" t="e">
        <f t="shared" si="6"/>
        <v>#REF!</v>
      </c>
    </row>
    <row r="55" spans="1:14" s="5" customFormat="1" ht="13.5" customHeight="1">
      <c r="A55" s="36">
        <v>44827</v>
      </c>
      <c r="B55" s="239" t="s">
        <v>358</v>
      </c>
      <c r="C55" s="160"/>
      <c r="D55" s="37">
        <v>10</v>
      </c>
      <c r="E55" s="33" t="s">
        <v>363</v>
      </c>
      <c r="F55" s="35" t="s">
        <v>364</v>
      </c>
      <c r="G55" s="103"/>
      <c r="H55" s="77"/>
      <c r="I55" s="169">
        <v>98.5</v>
      </c>
      <c r="J55" s="86" t="e">
        <f>I55/'통장내역(환율표)'!#REF!</f>
        <v>#REF!</v>
      </c>
      <c r="K55" s="82" t="e">
        <f t="shared" si="4"/>
        <v>#REF!</v>
      </c>
      <c r="L55" s="38" t="e">
        <f t="shared" si="5"/>
        <v>#REF!</v>
      </c>
      <c r="M55" s="34"/>
      <c r="N55" s="45" t="e">
        <f t="shared" si="6"/>
        <v>#REF!</v>
      </c>
    </row>
    <row r="56" spans="1:14" s="5" customFormat="1" ht="13.5" customHeight="1">
      <c r="A56" s="36">
        <v>44827</v>
      </c>
      <c r="B56" s="239" t="s">
        <v>340</v>
      </c>
      <c r="C56" s="160"/>
      <c r="D56" s="37">
        <v>10</v>
      </c>
      <c r="E56" s="33" t="s">
        <v>342</v>
      </c>
      <c r="F56" s="35"/>
      <c r="G56" s="103"/>
      <c r="H56" s="77"/>
      <c r="I56" s="169">
        <v>3.6</v>
      </c>
      <c r="J56" s="86" t="e">
        <f>I56/'통장내역(환율표)'!#REF!</f>
        <v>#REF!</v>
      </c>
      <c r="K56" s="82" t="e">
        <f t="shared" si="4"/>
        <v>#REF!</v>
      </c>
      <c r="L56" s="38" t="e">
        <f t="shared" si="5"/>
        <v>#REF!</v>
      </c>
      <c r="M56" s="34"/>
      <c r="N56" s="45" t="e">
        <f t="shared" si="6"/>
        <v>#REF!</v>
      </c>
    </row>
    <row r="57" spans="1:14" s="5" customFormat="1" ht="13.5" customHeight="1">
      <c r="A57" s="36">
        <v>44827</v>
      </c>
      <c r="B57" s="239" t="s">
        <v>125</v>
      </c>
      <c r="C57" s="160"/>
      <c r="D57" s="37">
        <v>7</v>
      </c>
      <c r="E57" s="33" t="s">
        <v>238</v>
      </c>
      <c r="F57" s="35" t="s">
        <v>324</v>
      </c>
      <c r="G57" s="103"/>
      <c r="H57" s="77"/>
      <c r="I57" s="169">
        <v>8344</v>
      </c>
      <c r="J57" s="86" t="e">
        <f>I57/'통장내역(환율표)'!#REF!</f>
        <v>#REF!</v>
      </c>
      <c r="K57" s="82" t="e">
        <f t="shared" si="4"/>
        <v>#REF!</v>
      </c>
      <c r="L57" s="38" t="e">
        <f t="shared" si="5"/>
        <v>#REF!</v>
      </c>
      <c r="M57" s="34" t="s">
        <v>11</v>
      </c>
      <c r="N57" s="45" t="e">
        <f t="shared" si="6"/>
        <v>#REF!</v>
      </c>
    </row>
    <row r="58" spans="1:14" s="5" customFormat="1" ht="13.5" customHeight="1">
      <c r="A58" s="36">
        <v>44827</v>
      </c>
      <c r="B58" s="239" t="s">
        <v>250</v>
      </c>
      <c r="C58" s="160"/>
      <c r="D58" s="37">
        <v>7</v>
      </c>
      <c r="E58" s="33" t="s">
        <v>107</v>
      </c>
      <c r="F58" s="35"/>
      <c r="G58" s="103"/>
      <c r="H58" s="77"/>
      <c r="I58" s="169">
        <v>3.6</v>
      </c>
      <c r="J58" s="86" t="e">
        <f>I58/'통장내역(환율표)'!#REF!</f>
        <v>#REF!</v>
      </c>
      <c r="K58" s="82" t="e">
        <f t="shared" si="4"/>
        <v>#REF!</v>
      </c>
      <c r="L58" s="38" t="e">
        <f t="shared" si="5"/>
        <v>#REF!</v>
      </c>
      <c r="M58" s="34"/>
      <c r="N58" s="45" t="e">
        <f t="shared" si="6"/>
        <v>#REF!</v>
      </c>
    </row>
    <row r="59" spans="1:14" s="5" customFormat="1" ht="13.5" customHeight="1">
      <c r="A59" s="36">
        <v>44827</v>
      </c>
      <c r="B59" s="239" t="s">
        <v>339</v>
      </c>
      <c r="C59" s="160"/>
      <c r="D59" s="37">
        <v>11</v>
      </c>
      <c r="E59" s="33" t="s">
        <v>296</v>
      </c>
      <c r="F59" s="35" t="s">
        <v>327</v>
      </c>
      <c r="G59" s="103"/>
      <c r="H59" s="77"/>
      <c r="I59" s="169">
        <v>199</v>
      </c>
      <c r="J59" s="86" t="e">
        <f>I59/'통장내역(환율표)'!#REF!</f>
        <v>#REF!</v>
      </c>
      <c r="K59" s="82" t="e">
        <f t="shared" si="4"/>
        <v>#REF!</v>
      </c>
      <c r="L59" s="38" t="e">
        <f t="shared" si="5"/>
        <v>#REF!</v>
      </c>
      <c r="M59" s="34"/>
      <c r="N59" s="45" t="e">
        <f t="shared" si="6"/>
        <v>#REF!</v>
      </c>
    </row>
    <row r="60" spans="1:14" s="5" customFormat="1" ht="13.5" customHeight="1">
      <c r="A60" s="36">
        <v>44827</v>
      </c>
      <c r="B60" s="239" t="s">
        <v>250</v>
      </c>
      <c r="C60" s="160"/>
      <c r="D60" s="37">
        <v>11</v>
      </c>
      <c r="E60" s="33" t="s">
        <v>107</v>
      </c>
      <c r="F60" s="35"/>
      <c r="G60" s="103"/>
      <c r="H60" s="77"/>
      <c r="I60" s="169">
        <v>3.6</v>
      </c>
      <c r="J60" s="86" t="e">
        <f>I60/'통장내역(환율표)'!#REF!</f>
        <v>#REF!</v>
      </c>
      <c r="K60" s="82" t="e">
        <f t="shared" si="4"/>
        <v>#REF!</v>
      </c>
      <c r="L60" s="38" t="e">
        <f t="shared" si="5"/>
        <v>#REF!</v>
      </c>
      <c r="M60" s="34"/>
      <c r="N60" s="45" t="e">
        <f t="shared" si="6"/>
        <v>#REF!</v>
      </c>
    </row>
    <row r="61" spans="1:14" s="5" customFormat="1" ht="13.5" customHeight="1">
      <c r="A61" s="36">
        <v>44827</v>
      </c>
      <c r="B61" s="239" t="s">
        <v>341</v>
      </c>
      <c r="C61" s="160"/>
      <c r="D61" s="37">
        <v>12</v>
      </c>
      <c r="E61" s="33" t="s">
        <v>342</v>
      </c>
      <c r="F61" s="35"/>
      <c r="G61" s="103"/>
      <c r="H61" s="77"/>
      <c r="I61" s="169">
        <v>216</v>
      </c>
      <c r="J61" s="86" t="e">
        <f>I61/'통장내역(환율표)'!#REF!</f>
        <v>#REF!</v>
      </c>
      <c r="K61" s="82" t="e">
        <f t="shared" si="4"/>
        <v>#REF!</v>
      </c>
      <c r="L61" s="38" t="e">
        <f t="shared" si="5"/>
        <v>#REF!</v>
      </c>
      <c r="M61" s="34" t="s">
        <v>338</v>
      </c>
      <c r="N61" s="45" t="e">
        <f t="shared" si="6"/>
        <v>#REF!</v>
      </c>
    </row>
    <row r="62" spans="1:14" s="5" customFormat="1" ht="13.5" customHeight="1">
      <c r="A62" s="36">
        <v>44827</v>
      </c>
      <c r="B62" s="239" t="s">
        <v>340</v>
      </c>
      <c r="C62" s="160"/>
      <c r="D62" s="37">
        <v>12</v>
      </c>
      <c r="E62" s="33" t="s">
        <v>342</v>
      </c>
      <c r="F62" s="35"/>
      <c r="G62" s="103"/>
      <c r="H62" s="77"/>
      <c r="I62" s="169">
        <v>3.6</v>
      </c>
      <c r="J62" s="86" t="e">
        <f>I62/'통장내역(환율표)'!#REF!</f>
        <v>#REF!</v>
      </c>
      <c r="K62" s="82" t="e">
        <f t="shared" si="4"/>
        <v>#REF!</v>
      </c>
      <c r="L62" s="38" t="e">
        <f t="shared" si="5"/>
        <v>#REF!</v>
      </c>
      <c r="M62" s="34"/>
      <c r="N62" s="45" t="e">
        <f t="shared" si="6"/>
        <v>#REF!</v>
      </c>
    </row>
  </sheetData>
  <autoFilter ref="A16:N62" xr:uid="{00000000-0009-0000-0000-000008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N73"/>
  <sheetViews>
    <sheetView showGridLines="0" topLeftCell="A19" zoomScaleNormal="100" workbookViewId="0">
      <selection activeCell="E53" sqref="E52:E53"/>
    </sheetView>
  </sheetViews>
  <sheetFormatPr defaultRowHeight="17.399999999999999"/>
  <cols>
    <col min="1" max="1" width="10.19921875" bestFit="1" customWidth="1"/>
    <col min="2" max="2" width="30.69921875" customWidth="1"/>
    <col min="3" max="3" width="9.5976562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9.59765625" bestFit="1" customWidth="1"/>
  </cols>
  <sheetData>
    <row r="1" spans="1:13" ht="24">
      <c r="A1" s="1" t="s">
        <v>383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420</v>
      </c>
      <c r="B2" s="2"/>
      <c r="C2" s="2"/>
      <c r="E2" s="4">
        <v>100068838</v>
      </c>
      <c r="F2" s="7"/>
      <c r="G2" s="5" t="s">
        <v>419</v>
      </c>
      <c r="H2" s="2"/>
      <c r="I2" s="2"/>
      <c r="K2" s="4">
        <v>100062087</v>
      </c>
      <c r="L2" s="139">
        <v>1200000696</v>
      </c>
    </row>
    <row r="3" spans="1:13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25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292</v>
      </c>
      <c r="B4" s="115"/>
      <c r="C4" s="116"/>
      <c r="D4" s="116"/>
      <c r="E4" s="117"/>
      <c r="F4" s="258"/>
      <c r="G4" s="114" t="s">
        <v>292</v>
      </c>
      <c r="H4" s="115"/>
      <c r="I4" s="116"/>
      <c r="J4" s="116"/>
      <c r="K4" s="117"/>
      <c r="L4" s="119"/>
    </row>
    <row r="5" spans="1:13" s="5" customFormat="1" ht="15.6">
      <c r="A5" s="114" t="s">
        <v>238</v>
      </c>
      <c r="B5" s="115" t="s">
        <v>12</v>
      </c>
      <c r="C5" s="120"/>
      <c r="D5" s="116"/>
      <c r="E5" s="117"/>
      <c r="F5" s="259">
        <v>51131050</v>
      </c>
      <c r="G5" s="114" t="s">
        <v>238</v>
      </c>
      <c r="H5" s="115" t="s">
        <v>12</v>
      </c>
      <c r="I5" s="120">
        <v>2088</v>
      </c>
      <c r="J5" s="116">
        <v>292.3411402908219</v>
      </c>
      <c r="K5" s="117">
        <v>412287</v>
      </c>
      <c r="L5" s="240">
        <f>K5+E5</f>
        <v>412287</v>
      </c>
    </row>
    <row r="6" spans="1:13" s="5" customFormat="1" ht="15.6">
      <c r="A6" s="114" t="s">
        <v>294</v>
      </c>
      <c r="B6" s="115" t="s">
        <v>14</v>
      </c>
      <c r="C6" s="116"/>
      <c r="D6" s="116"/>
      <c r="E6" s="117"/>
      <c r="F6" s="259">
        <v>51061030</v>
      </c>
      <c r="G6" s="114" t="s">
        <v>294</v>
      </c>
      <c r="H6" s="115" t="s">
        <v>14</v>
      </c>
      <c r="I6" s="116">
        <v>16155.48</v>
      </c>
      <c r="J6" s="116">
        <v>2261.9307687478772</v>
      </c>
      <c r="K6" s="117">
        <v>3190000</v>
      </c>
      <c r="L6" s="240">
        <f t="shared" ref="L6:L10" si="0">K6+E6</f>
        <v>3190000</v>
      </c>
    </row>
    <row r="7" spans="1:13" s="5" customFormat="1" ht="15.6">
      <c r="A7" s="114" t="s">
        <v>75</v>
      </c>
      <c r="B7" s="115" t="s">
        <v>16</v>
      </c>
      <c r="C7" s="116">
        <v>11215.00050557043</v>
      </c>
      <c r="D7" s="116">
        <v>1615.4941497308878</v>
      </c>
      <c r="E7" s="117">
        <v>2231315</v>
      </c>
      <c r="F7" s="259">
        <v>51201020</v>
      </c>
      <c r="G7" s="114" t="s">
        <v>75</v>
      </c>
      <c r="H7" s="115" t="s">
        <v>16</v>
      </c>
      <c r="I7" s="116">
        <v>8224.9994944295704</v>
      </c>
      <c r="J7" s="116">
        <v>1151.5832045464438</v>
      </c>
      <c r="K7" s="117">
        <v>1624073</v>
      </c>
      <c r="L7" s="240">
        <f t="shared" si="0"/>
        <v>3855388</v>
      </c>
    </row>
    <row r="8" spans="1:13" s="5" customFormat="1" ht="15.6">
      <c r="A8" s="114" t="s">
        <v>75</v>
      </c>
      <c r="B8" s="114" t="s">
        <v>17</v>
      </c>
      <c r="C8" s="116"/>
      <c r="D8" s="116"/>
      <c r="E8" s="117"/>
      <c r="F8" s="259">
        <v>51201030</v>
      </c>
      <c r="G8" s="114" t="s">
        <v>75</v>
      </c>
      <c r="H8" s="114" t="s">
        <v>17</v>
      </c>
      <c r="I8" s="116">
        <v>10500</v>
      </c>
      <c r="J8" s="116">
        <v>1470.106308933731</v>
      </c>
      <c r="K8" s="117">
        <v>2073296</v>
      </c>
      <c r="L8" s="240">
        <f t="shared" si="0"/>
        <v>2073296</v>
      </c>
    </row>
    <row r="9" spans="1:13" s="5" customFormat="1" ht="15.6">
      <c r="A9" s="114" t="s">
        <v>296</v>
      </c>
      <c r="B9" s="114" t="s">
        <v>20</v>
      </c>
      <c r="C9" s="116"/>
      <c r="D9" s="116"/>
      <c r="E9" s="117"/>
      <c r="F9" s="259">
        <v>51071700</v>
      </c>
      <c r="G9" s="114" t="s">
        <v>296</v>
      </c>
      <c r="H9" s="114" t="s">
        <v>20</v>
      </c>
      <c r="I9" s="116">
        <v>1129</v>
      </c>
      <c r="J9" s="116">
        <v>158.07143074154118</v>
      </c>
      <c r="K9" s="117">
        <v>222926</v>
      </c>
      <c r="L9" s="240">
        <f t="shared" si="0"/>
        <v>222926</v>
      </c>
    </row>
    <row r="10" spans="1:13" s="5" customFormat="1" ht="15.6">
      <c r="A10" s="114" t="s">
        <v>62</v>
      </c>
      <c r="B10" s="115"/>
      <c r="C10" s="116">
        <v>23259.73</v>
      </c>
      <c r="D10" s="116">
        <v>3350.5087869283866</v>
      </c>
      <c r="E10" s="117">
        <v>4627724</v>
      </c>
      <c r="F10" s="259">
        <v>51321010</v>
      </c>
      <c r="G10" s="114" t="s">
        <v>62</v>
      </c>
      <c r="H10" s="115"/>
      <c r="I10" s="116">
        <v>135794.10132952614</v>
      </c>
      <c r="J10" s="116">
        <v>19272.370163774391</v>
      </c>
      <c r="K10" s="117">
        <v>27179823</v>
      </c>
      <c r="L10" s="240">
        <f t="shared" si="0"/>
        <v>31807547</v>
      </c>
    </row>
    <row r="11" spans="1:13" s="5" customFormat="1" ht="15.6">
      <c r="A11" s="122" t="s">
        <v>23</v>
      </c>
      <c r="B11" s="123"/>
      <c r="C11" s="116"/>
      <c r="D11" s="116"/>
      <c r="E11" s="117"/>
      <c r="F11" s="259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5.6">
      <c r="A12" s="2045" t="s">
        <v>299</v>
      </c>
      <c r="B12" s="2046"/>
      <c r="C12" s="124">
        <f>SUM(C4:C11)</f>
        <v>34474.730505570427</v>
      </c>
      <c r="D12" s="124">
        <f>SUM(D4:D11)</f>
        <v>4966.0029366592744</v>
      </c>
      <c r="E12" s="125">
        <f>SUM(E4:E11)</f>
        <v>6859039</v>
      </c>
      <c r="F12" s="259">
        <v>52981010</v>
      </c>
      <c r="G12" s="2045" t="s">
        <v>299</v>
      </c>
      <c r="H12" s="2046"/>
      <c r="I12" s="124">
        <f>SUM(I4:I11)</f>
        <v>173891.58082395571</v>
      </c>
      <c r="J12" s="124">
        <f>SUM(J4:J11)</f>
        <v>24606.403017034805</v>
      </c>
      <c r="K12" s="125">
        <f>SUM(K4:K10)</f>
        <v>34702405</v>
      </c>
      <c r="L12" s="119"/>
    </row>
    <row r="13" spans="1:13" s="5" customFormat="1" ht="15.6">
      <c r="A13" s="126"/>
      <c r="B13" s="127"/>
      <c r="C13" s="128">
        <f>C12+I12</f>
        <v>208366.31132952613</v>
      </c>
      <c r="D13" s="128">
        <f t="shared" ref="D13:E13" si="1">D12+J12</f>
        <v>29572.40595369408</v>
      </c>
      <c r="E13" s="242">
        <f t="shared" si="1"/>
        <v>41561444</v>
      </c>
      <c r="F13" s="118"/>
      <c r="G13" s="130"/>
      <c r="H13" s="130"/>
      <c r="I13" s="131"/>
      <c r="J13" s="130"/>
      <c r="K13" s="119">
        <v>16280.085986968166</v>
      </c>
      <c r="L13" s="245">
        <v>2425.7418328151257</v>
      </c>
    </row>
    <row r="14" spans="1:13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 t="e">
        <f>SUBTOTAL(9,H17:H69)</f>
        <v>#REF!</v>
      </c>
      <c r="I14" s="137" t="e">
        <f>SUBTOTAL(9,I17:I87)</f>
        <v>#REF!</v>
      </c>
      <c r="J14" s="137" t="e">
        <f>SUBTOTAL(9,J17:J85)</f>
        <v>#REF!</v>
      </c>
      <c r="K14" s="139"/>
      <c r="L14" s="45"/>
    </row>
    <row r="15" spans="1:13" s="5" customFormat="1" ht="15.6">
      <c r="A15" s="2047" t="s">
        <v>300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232</v>
      </c>
      <c r="H15" s="2055"/>
      <c r="I15" s="2053" t="s">
        <v>30</v>
      </c>
      <c r="J15" s="2055"/>
      <c r="K15" s="2056" t="s">
        <v>31</v>
      </c>
      <c r="L15" s="2042"/>
      <c r="M15" s="2043" t="s">
        <v>32</v>
      </c>
    </row>
    <row r="16" spans="1:13" s="5" customFormat="1" ht="14.25" customHeight="1">
      <c r="A16" s="2058"/>
      <c r="B16" s="2059"/>
      <c r="C16" s="2059"/>
      <c r="D16" s="2059"/>
      <c r="E16" s="2059"/>
      <c r="F16" s="2060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57"/>
    </row>
    <row r="17" spans="1:14" s="5" customFormat="1" ht="13.5" customHeight="1">
      <c r="A17" s="105">
        <v>44804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31377.200000000001</v>
      </c>
      <c r="L17" s="108">
        <v>4519.8520258024637</v>
      </c>
      <c r="M17" s="106"/>
      <c r="N17" s="45">
        <v>4519.8500000000004</v>
      </c>
    </row>
    <row r="18" spans="1:14" s="5" customFormat="1" ht="13.5" customHeight="1">
      <c r="A18" s="57">
        <v>44848</v>
      </c>
      <c r="B18" s="173" t="s">
        <v>232</v>
      </c>
      <c r="C18" s="174"/>
      <c r="D18" s="60">
        <v>1</v>
      </c>
      <c r="E18" s="59"/>
      <c r="F18" s="61"/>
      <c r="G18" s="175">
        <v>210653.98</v>
      </c>
      <c r="H18" s="78">
        <v>29519.69</v>
      </c>
      <c r="I18" s="176"/>
      <c r="J18" s="102"/>
      <c r="K18" s="83">
        <f>K17+G18-I18</f>
        <v>242031.18000000002</v>
      </c>
      <c r="L18" s="62">
        <f>L17+H18-J18</f>
        <v>34039.542025802461</v>
      </c>
      <c r="M18" s="58" t="s">
        <v>232</v>
      </c>
      <c r="N18" s="45"/>
    </row>
    <row r="19" spans="1:14" s="5" customFormat="1" ht="13.5" customHeight="1">
      <c r="A19" s="57">
        <v>44848</v>
      </c>
      <c r="B19" s="252" t="s">
        <v>288</v>
      </c>
      <c r="C19" s="174"/>
      <c r="D19" s="60"/>
      <c r="E19" s="59" t="s">
        <v>107</v>
      </c>
      <c r="F19" s="61"/>
      <c r="G19" s="175"/>
      <c r="H19" s="78"/>
      <c r="I19" s="176"/>
      <c r="J19" s="86">
        <v>26</v>
      </c>
      <c r="K19" s="83">
        <f t="shared" ref="K19:K20" si="2">K18+G19-I19</f>
        <v>242031.18000000002</v>
      </c>
      <c r="L19" s="62">
        <f t="shared" ref="L19:L20" si="3">L18+H19-J19</f>
        <v>34013.542025802461</v>
      </c>
      <c r="M19" s="58"/>
      <c r="N19" s="45"/>
    </row>
    <row r="20" spans="1:14" s="5" customFormat="1" ht="13.5" customHeight="1">
      <c r="A20" s="255">
        <v>44858</v>
      </c>
      <c r="B20" s="253" t="s">
        <v>386</v>
      </c>
      <c r="C20" s="160"/>
      <c r="D20" s="37">
        <v>2</v>
      </c>
      <c r="E20" s="33" t="s">
        <v>321</v>
      </c>
      <c r="F20" s="35"/>
      <c r="G20" s="103">
        <v>3097.26</v>
      </c>
      <c r="H20" s="77" t="e">
        <f>G20/'통장내역(환율표)'!#REF!</f>
        <v>#REF!</v>
      </c>
      <c r="I20" s="169">
        <v>0</v>
      </c>
      <c r="J20" s="250" t="e">
        <f>I20/'통장내역(환율표)'!#REF!</f>
        <v>#REF!</v>
      </c>
      <c r="K20" s="82">
        <f t="shared" si="2"/>
        <v>245128.44000000003</v>
      </c>
      <c r="L20" s="38" t="e">
        <f t="shared" si="3"/>
        <v>#REF!</v>
      </c>
      <c r="M20" s="34"/>
      <c r="N20" s="45" t="e">
        <f>N17-J20+H20</f>
        <v>#REF!</v>
      </c>
    </row>
    <row r="21" spans="1:14" s="5" customFormat="1" ht="13.5" customHeight="1">
      <c r="A21" s="255">
        <v>44859</v>
      </c>
      <c r="B21" s="253" t="s">
        <v>387</v>
      </c>
      <c r="C21" s="160"/>
      <c r="D21" s="37">
        <v>3</v>
      </c>
      <c r="E21" s="33" t="s">
        <v>321</v>
      </c>
      <c r="F21" s="35"/>
      <c r="G21" s="103"/>
      <c r="H21" s="77"/>
      <c r="I21" s="169">
        <v>23259.73</v>
      </c>
      <c r="J21" s="250" t="e">
        <f>I21/'통장내역(환율표)'!#REF!</f>
        <v>#REF!</v>
      </c>
      <c r="K21" s="82">
        <f t="shared" ref="K21:K52" si="4">K20+G21-I21</f>
        <v>221868.71000000002</v>
      </c>
      <c r="L21" s="38" t="e">
        <f t="shared" ref="L21:L52" si="5">L20+H21-J21</f>
        <v>#REF!</v>
      </c>
      <c r="M21" s="34"/>
      <c r="N21" s="45" t="e">
        <f>N20-J21+H21</f>
        <v>#REF!</v>
      </c>
    </row>
    <row r="22" spans="1:14" s="5" customFormat="1" ht="13.5" customHeight="1">
      <c r="A22" s="256">
        <v>44859</v>
      </c>
      <c r="B22" s="254" t="s">
        <v>406</v>
      </c>
      <c r="C22" s="214"/>
      <c r="D22" s="42">
        <v>4</v>
      </c>
      <c r="E22" s="41" t="s">
        <v>75</v>
      </c>
      <c r="F22" s="43" t="s">
        <v>360</v>
      </c>
      <c r="G22" s="53"/>
      <c r="H22" s="76"/>
      <c r="I22" s="87" t="e">
        <f>J22*'통장내역(환율표)'!#REF!</f>
        <v>#REF!</v>
      </c>
      <c r="J22" s="250">
        <v>1615.4941497308878</v>
      </c>
      <c r="K22" s="81" t="e">
        <f t="shared" si="4"/>
        <v>#REF!</v>
      </c>
      <c r="L22" s="44" t="e">
        <f t="shared" si="5"/>
        <v>#REF!</v>
      </c>
      <c r="M22" s="51"/>
      <c r="N22" s="45" t="e">
        <f>N21-J22+H22</f>
        <v>#REF!</v>
      </c>
    </row>
    <row r="23" spans="1:14" s="5" customFormat="1" ht="13.5" customHeight="1">
      <c r="A23" s="256">
        <v>44859</v>
      </c>
      <c r="B23" s="254" t="s">
        <v>407</v>
      </c>
      <c r="C23" s="214"/>
      <c r="D23" s="42">
        <v>4</v>
      </c>
      <c r="E23" s="41" t="s">
        <v>75</v>
      </c>
      <c r="F23" s="43" t="s">
        <v>360</v>
      </c>
      <c r="G23" s="53"/>
      <c r="H23" s="76"/>
      <c r="I23" s="87" t="e">
        <f>19440-I22</f>
        <v>#REF!</v>
      </c>
      <c r="J23" s="86" t="e">
        <f>I23/'통장내역(환율표)'!#REF!</f>
        <v>#REF!</v>
      </c>
      <c r="K23" s="82" t="e">
        <f t="shared" si="4"/>
        <v>#REF!</v>
      </c>
      <c r="L23" s="82" t="e">
        <f t="shared" si="5"/>
        <v>#REF!</v>
      </c>
      <c r="M23" s="51"/>
      <c r="N23" s="45" t="e">
        <f>29493.69-J23</f>
        <v>#REF!</v>
      </c>
    </row>
    <row r="24" spans="1:14" s="5" customFormat="1" ht="13.5" customHeight="1">
      <c r="A24" s="255">
        <v>44859</v>
      </c>
      <c r="B24" s="253" t="s">
        <v>385</v>
      </c>
      <c r="C24" s="160"/>
      <c r="D24" s="37">
        <v>4</v>
      </c>
      <c r="E24" s="33" t="s">
        <v>321</v>
      </c>
      <c r="F24" s="35"/>
      <c r="G24" s="103"/>
      <c r="H24" s="77"/>
      <c r="I24" s="169">
        <v>7.2</v>
      </c>
      <c r="J24" s="86" t="e">
        <f>I24/'통장내역(환율표)'!#REF!</f>
        <v>#REF!</v>
      </c>
      <c r="K24" s="82" t="e">
        <f t="shared" si="4"/>
        <v>#REF!</v>
      </c>
      <c r="L24" s="82" t="e">
        <f t="shared" si="5"/>
        <v>#REF!</v>
      </c>
      <c r="M24" s="34"/>
      <c r="N24" s="45" t="e">
        <f t="shared" ref="N24:N70" si="6">N23-J24+H24</f>
        <v>#REF!</v>
      </c>
    </row>
    <row r="25" spans="1:14" s="5" customFormat="1" ht="13.5" customHeight="1">
      <c r="A25" s="255">
        <v>44859</v>
      </c>
      <c r="B25" s="253" t="s">
        <v>388</v>
      </c>
      <c r="C25" s="160"/>
      <c r="D25" s="37">
        <v>5</v>
      </c>
      <c r="E25" s="33" t="s">
        <v>409</v>
      </c>
      <c r="F25" s="35" t="s">
        <v>410</v>
      </c>
      <c r="G25" s="103"/>
      <c r="H25" s="77"/>
      <c r="I25" s="169">
        <v>10500</v>
      </c>
      <c r="J25" s="86" t="e">
        <f>I25/'통장내역(환율표)'!#REF!</f>
        <v>#REF!</v>
      </c>
      <c r="K25" s="82" t="e">
        <f t="shared" si="4"/>
        <v>#REF!</v>
      </c>
      <c r="L25" s="82" t="e">
        <f t="shared" si="5"/>
        <v>#REF!</v>
      </c>
      <c r="M25" s="34"/>
      <c r="N25" s="45" t="e">
        <f t="shared" si="6"/>
        <v>#REF!</v>
      </c>
    </row>
    <row r="26" spans="1:14" s="5" customFormat="1" ht="13.5" customHeight="1">
      <c r="A26" s="255">
        <v>44859</v>
      </c>
      <c r="B26" s="253" t="s">
        <v>389</v>
      </c>
      <c r="C26" s="160"/>
      <c r="D26" s="37">
        <v>5</v>
      </c>
      <c r="E26" s="33" t="s">
        <v>411</v>
      </c>
      <c r="F26" s="35"/>
      <c r="G26" s="103"/>
      <c r="H26" s="77"/>
      <c r="I26" s="169">
        <v>6000</v>
      </c>
      <c r="J26" s="86" t="e">
        <f>I26/'통장내역(환율표)'!#REF!</f>
        <v>#REF!</v>
      </c>
      <c r="K26" s="82" t="e">
        <f t="shared" si="4"/>
        <v>#REF!</v>
      </c>
      <c r="L26" s="82" t="e">
        <f t="shared" si="5"/>
        <v>#REF!</v>
      </c>
      <c r="M26" s="34"/>
      <c r="N26" s="45" t="e">
        <f t="shared" si="6"/>
        <v>#REF!</v>
      </c>
    </row>
    <row r="27" spans="1:14" s="5" customFormat="1" ht="13.5" customHeight="1">
      <c r="A27" s="255">
        <v>44859</v>
      </c>
      <c r="B27" s="253" t="s">
        <v>390</v>
      </c>
      <c r="C27" s="160"/>
      <c r="D27" s="37">
        <v>5</v>
      </c>
      <c r="E27" s="33" t="s">
        <v>411</v>
      </c>
      <c r="F27" s="35"/>
      <c r="G27" s="103"/>
      <c r="H27" s="77"/>
      <c r="I27" s="169">
        <v>300</v>
      </c>
      <c r="J27" s="86" t="e">
        <f>I27/'통장내역(환율표)'!#REF!</f>
        <v>#REF!</v>
      </c>
      <c r="K27" s="82" t="e">
        <f t="shared" si="4"/>
        <v>#REF!</v>
      </c>
      <c r="L27" s="82" t="e">
        <f t="shared" si="5"/>
        <v>#REF!</v>
      </c>
      <c r="M27" s="34"/>
      <c r="N27" s="45" t="e">
        <f t="shared" si="6"/>
        <v>#REF!</v>
      </c>
    </row>
    <row r="28" spans="1:14" s="5" customFormat="1" ht="13.5" customHeight="1">
      <c r="A28" s="255">
        <v>44859</v>
      </c>
      <c r="B28" s="253" t="s">
        <v>385</v>
      </c>
      <c r="C28" s="160"/>
      <c r="D28" s="37">
        <v>5</v>
      </c>
      <c r="E28" s="33" t="s">
        <v>411</v>
      </c>
      <c r="F28" s="35"/>
      <c r="G28" s="103"/>
      <c r="H28" s="77"/>
      <c r="I28" s="169">
        <v>7.2</v>
      </c>
      <c r="J28" s="86" t="e">
        <f>I28/'통장내역(환율표)'!#REF!</f>
        <v>#REF!</v>
      </c>
      <c r="K28" s="82" t="e">
        <f t="shared" si="4"/>
        <v>#REF!</v>
      </c>
      <c r="L28" s="82" t="e">
        <f t="shared" si="5"/>
        <v>#REF!</v>
      </c>
      <c r="M28" s="34"/>
      <c r="N28" s="45" t="e">
        <f t="shared" si="6"/>
        <v>#REF!</v>
      </c>
    </row>
    <row r="29" spans="1:14" s="5" customFormat="1" ht="13.5" customHeight="1">
      <c r="A29" s="255">
        <v>44859</v>
      </c>
      <c r="B29" s="253" t="s">
        <v>391</v>
      </c>
      <c r="C29" s="160"/>
      <c r="D29" s="37">
        <v>6</v>
      </c>
      <c r="E29" s="33" t="s">
        <v>411</v>
      </c>
      <c r="F29" s="35"/>
      <c r="G29" s="103"/>
      <c r="H29" s="77"/>
      <c r="I29" s="169">
        <v>1000</v>
      </c>
      <c r="J29" s="86" t="e">
        <f>I29/'통장내역(환율표)'!#REF!</f>
        <v>#REF!</v>
      </c>
      <c r="K29" s="82" t="e">
        <f t="shared" si="4"/>
        <v>#REF!</v>
      </c>
      <c r="L29" s="82" t="e">
        <f t="shared" si="5"/>
        <v>#REF!</v>
      </c>
      <c r="M29" s="34"/>
      <c r="N29" s="45" t="e">
        <f t="shared" si="6"/>
        <v>#REF!</v>
      </c>
    </row>
    <row r="30" spans="1:14" s="5" customFormat="1" ht="13.5" customHeight="1">
      <c r="A30" s="255">
        <v>44859</v>
      </c>
      <c r="B30" s="253" t="s">
        <v>385</v>
      </c>
      <c r="C30" s="160"/>
      <c r="D30" s="37">
        <v>6</v>
      </c>
      <c r="E30" s="33" t="s">
        <v>411</v>
      </c>
      <c r="F30" s="35"/>
      <c r="G30" s="103"/>
      <c r="H30" s="77"/>
      <c r="I30" s="169">
        <v>3.6</v>
      </c>
      <c r="J30" s="86" t="e">
        <f>I30/'통장내역(환율표)'!#REF!</f>
        <v>#REF!</v>
      </c>
      <c r="K30" s="82" t="e">
        <f t="shared" si="4"/>
        <v>#REF!</v>
      </c>
      <c r="L30" s="82" t="e">
        <f t="shared" si="5"/>
        <v>#REF!</v>
      </c>
      <c r="M30" s="34"/>
      <c r="N30" s="45" t="e">
        <f t="shared" si="6"/>
        <v>#REF!</v>
      </c>
    </row>
    <row r="31" spans="1:14" s="5" customFormat="1" ht="13.5" customHeight="1">
      <c r="A31" s="255">
        <v>44859</v>
      </c>
      <c r="B31" s="253" t="s">
        <v>392</v>
      </c>
      <c r="C31" s="160"/>
      <c r="D31" s="37">
        <v>7</v>
      </c>
      <c r="E31" s="33" t="s">
        <v>411</v>
      </c>
      <c r="F31" s="35"/>
      <c r="G31" s="103"/>
      <c r="H31" s="77"/>
      <c r="I31" s="169">
        <v>2040.13</v>
      </c>
      <c r="J31" s="86" t="e">
        <f>I31/'통장내역(환율표)'!#REF!</f>
        <v>#REF!</v>
      </c>
      <c r="K31" s="82" t="e">
        <f t="shared" si="4"/>
        <v>#REF!</v>
      </c>
      <c r="L31" s="82" t="e">
        <f t="shared" si="5"/>
        <v>#REF!</v>
      </c>
      <c r="M31" s="34" t="s">
        <v>393</v>
      </c>
      <c r="N31" s="45" t="e">
        <f t="shared" si="6"/>
        <v>#REF!</v>
      </c>
    </row>
    <row r="32" spans="1:14" s="5" customFormat="1" ht="13.5" customHeight="1">
      <c r="A32" s="255">
        <v>44859</v>
      </c>
      <c r="B32" s="253" t="s">
        <v>385</v>
      </c>
      <c r="C32" s="160"/>
      <c r="D32" s="37">
        <v>7</v>
      </c>
      <c r="E32" s="33" t="s">
        <v>411</v>
      </c>
      <c r="F32" s="35"/>
      <c r="G32" s="103"/>
      <c r="H32" s="77"/>
      <c r="I32" s="169">
        <v>3.6</v>
      </c>
      <c r="J32" s="86" t="e">
        <f>I32/'통장내역(환율표)'!#REF!</f>
        <v>#REF!</v>
      </c>
      <c r="K32" s="82" t="e">
        <f t="shared" si="4"/>
        <v>#REF!</v>
      </c>
      <c r="L32" s="82" t="e">
        <f t="shared" si="5"/>
        <v>#REF!</v>
      </c>
      <c r="M32" s="34"/>
      <c r="N32" s="45" t="e">
        <f t="shared" si="6"/>
        <v>#REF!</v>
      </c>
    </row>
    <row r="33" spans="1:14" s="5" customFormat="1" ht="13.5" customHeight="1">
      <c r="A33" s="255">
        <v>44859</v>
      </c>
      <c r="B33" s="253" t="s">
        <v>394</v>
      </c>
      <c r="C33" s="160"/>
      <c r="D33" s="37">
        <v>8</v>
      </c>
      <c r="E33" s="33" t="s">
        <v>412</v>
      </c>
      <c r="F33" s="35" t="s">
        <v>413</v>
      </c>
      <c r="G33" s="103"/>
      <c r="H33" s="77"/>
      <c r="I33" s="169">
        <v>2205</v>
      </c>
      <c r="J33" s="86" t="e">
        <f>I33/'통장내역(환율표)'!#REF!</f>
        <v>#REF!</v>
      </c>
      <c r="K33" s="82" t="e">
        <f t="shared" si="4"/>
        <v>#REF!</v>
      </c>
      <c r="L33" s="82" t="e">
        <f t="shared" si="5"/>
        <v>#REF!</v>
      </c>
      <c r="M33" s="34" t="s">
        <v>395</v>
      </c>
      <c r="N33" s="45" t="e">
        <f t="shared" si="6"/>
        <v>#REF!</v>
      </c>
    </row>
    <row r="34" spans="1:14" s="5" customFormat="1" ht="13.5" customHeight="1">
      <c r="A34" s="255">
        <v>44859</v>
      </c>
      <c r="B34" s="253" t="s">
        <v>385</v>
      </c>
      <c r="C34" s="160"/>
      <c r="D34" s="37">
        <v>8</v>
      </c>
      <c r="E34" s="33" t="s">
        <v>411</v>
      </c>
      <c r="F34" s="35"/>
      <c r="G34" s="103"/>
      <c r="H34" s="77"/>
      <c r="I34" s="169">
        <v>3.6</v>
      </c>
      <c r="J34" s="86" t="e">
        <f>I34/'통장내역(환율표)'!#REF!</f>
        <v>#REF!</v>
      </c>
      <c r="K34" s="82" t="e">
        <f t="shared" si="4"/>
        <v>#REF!</v>
      </c>
      <c r="L34" s="82" t="e">
        <f t="shared" si="5"/>
        <v>#REF!</v>
      </c>
      <c r="M34" s="34"/>
      <c r="N34" s="45" t="e">
        <f t="shared" si="6"/>
        <v>#REF!</v>
      </c>
    </row>
    <row r="35" spans="1:14" s="5" customFormat="1" ht="13.5" customHeight="1">
      <c r="A35" s="255">
        <v>44859</v>
      </c>
      <c r="B35" s="253" t="s">
        <v>130</v>
      </c>
      <c r="C35" s="160"/>
      <c r="D35" s="37">
        <v>9</v>
      </c>
      <c r="E35" s="33" t="s">
        <v>411</v>
      </c>
      <c r="F35" s="35"/>
      <c r="G35" s="103"/>
      <c r="H35" s="77"/>
      <c r="I35" s="169">
        <v>300</v>
      </c>
      <c r="J35" s="86" t="e">
        <f>I35/'통장내역(환율표)'!#REF!</f>
        <v>#REF!</v>
      </c>
      <c r="K35" s="82" t="e">
        <f t="shared" si="4"/>
        <v>#REF!</v>
      </c>
      <c r="L35" s="82" t="e">
        <f t="shared" si="5"/>
        <v>#REF!</v>
      </c>
      <c r="M35" s="34" t="s">
        <v>188</v>
      </c>
      <c r="N35" s="45" t="e">
        <f t="shared" si="6"/>
        <v>#REF!</v>
      </c>
    </row>
    <row r="36" spans="1:14" s="5" customFormat="1" ht="13.5" customHeight="1">
      <c r="A36" s="255">
        <v>44859</v>
      </c>
      <c r="B36" s="253" t="s">
        <v>131</v>
      </c>
      <c r="C36" s="160"/>
      <c r="D36" s="37">
        <v>9</v>
      </c>
      <c r="E36" s="33" t="s">
        <v>411</v>
      </c>
      <c r="F36" s="35"/>
      <c r="G36" s="103"/>
      <c r="H36" s="77"/>
      <c r="I36" s="169">
        <v>7599.43</v>
      </c>
      <c r="J36" s="86" t="e">
        <f>I36/'통장내역(환율표)'!#REF!</f>
        <v>#REF!</v>
      </c>
      <c r="K36" s="82" t="e">
        <f t="shared" si="4"/>
        <v>#REF!</v>
      </c>
      <c r="L36" s="82" t="e">
        <f t="shared" si="5"/>
        <v>#REF!</v>
      </c>
      <c r="M36" s="34" t="s">
        <v>188</v>
      </c>
      <c r="N36" s="45" t="e">
        <f t="shared" si="6"/>
        <v>#REF!</v>
      </c>
    </row>
    <row r="37" spans="1:14" s="5" customFormat="1" ht="13.5" customHeight="1">
      <c r="A37" s="255">
        <v>44859</v>
      </c>
      <c r="B37" s="253" t="s">
        <v>133</v>
      </c>
      <c r="C37" s="160"/>
      <c r="D37" s="37">
        <v>9</v>
      </c>
      <c r="E37" s="33" t="s">
        <v>411</v>
      </c>
      <c r="F37" s="35"/>
      <c r="G37" s="103"/>
      <c r="H37" s="77"/>
      <c r="I37" s="169">
        <v>5104.5800000000017</v>
      </c>
      <c r="J37" s="86" t="e">
        <f>I37/'통장내역(환율표)'!#REF!</f>
        <v>#REF!</v>
      </c>
      <c r="K37" s="82" t="e">
        <f t="shared" si="4"/>
        <v>#REF!</v>
      </c>
      <c r="L37" s="82" t="e">
        <f t="shared" si="5"/>
        <v>#REF!</v>
      </c>
      <c r="M37" s="34" t="s">
        <v>188</v>
      </c>
      <c r="N37" s="45" t="e">
        <f t="shared" si="6"/>
        <v>#REF!</v>
      </c>
    </row>
    <row r="38" spans="1:14" s="5" customFormat="1" ht="13.5" customHeight="1">
      <c r="A38" s="255">
        <v>44859</v>
      </c>
      <c r="B38" s="253" t="s">
        <v>132</v>
      </c>
      <c r="C38" s="160"/>
      <c r="D38" s="37">
        <v>9</v>
      </c>
      <c r="E38" s="33" t="s">
        <v>411</v>
      </c>
      <c r="F38" s="35"/>
      <c r="G38" s="103"/>
      <c r="H38" s="77"/>
      <c r="I38" s="169">
        <v>13500</v>
      </c>
      <c r="J38" s="86" t="e">
        <f>I38/'통장내역(환율표)'!#REF!</f>
        <v>#REF!</v>
      </c>
      <c r="K38" s="82" t="e">
        <f t="shared" si="4"/>
        <v>#REF!</v>
      </c>
      <c r="L38" s="82" t="e">
        <f t="shared" si="5"/>
        <v>#REF!</v>
      </c>
      <c r="M38" s="34" t="s">
        <v>188</v>
      </c>
      <c r="N38" s="45" t="e">
        <f t="shared" si="6"/>
        <v>#REF!</v>
      </c>
    </row>
    <row r="39" spans="1:14" s="5" customFormat="1" ht="13.5" customHeight="1">
      <c r="A39" s="255">
        <v>44859</v>
      </c>
      <c r="B39" s="253" t="s">
        <v>134</v>
      </c>
      <c r="C39" s="160"/>
      <c r="D39" s="37">
        <v>9</v>
      </c>
      <c r="E39" s="33" t="s">
        <v>411</v>
      </c>
      <c r="F39" s="35"/>
      <c r="G39" s="103"/>
      <c r="H39" s="77"/>
      <c r="I39" s="169">
        <v>20000</v>
      </c>
      <c r="J39" s="86" t="e">
        <f>I39/'통장내역(환율표)'!#REF!</f>
        <v>#REF!</v>
      </c>
      <c r="K39" s="82" t="e">
        <f t="shared" si="4"/>
        <v>#REF!</v>
      </c>
      <c r="L39" s="82" t="e">
        <f t="shared" si="5"/>
        <v>#REF!</v>
      </c>
      <c r="M39" s="34" t="s">
        <v>188</v>
      </c>
      <c r="N39" s="45" t="e">
        <f t="shared" si="6"/>
        <v>#REF!</v>
      </c>
    </row>
    <row r="40" spans="1:14" s="5" customFormat="1" ht="13.5" customHeight="1">
      <c r="A40" s="255">
        <v>44859</v>
      </c>
      <c r="B40" s="253" t="s">
        <v>130</v>
      </c>
      <c r="C40" s="160"/>
      <c r="D40" s="37">
        <v>9</v>
      </c>
      <c r="E40" s="33" t="s">
        <v>411</v>
      </c>
      <c r="F40" s="35"/>
      <c r="G40" s="103"/>
      <c r="H40" s="77"/>
      <c r="I40" s="169">
        <v>300</v>
      </c>
      <c r="J40" s="86" t="e">
        <f>I40/'통장내역(환율표)'!#REF!</f>
        <v>#REF!</v>
      </c>
      <c r="K40" s="82" t="e">
        <f t="shared" si="4"/>
        <v>#REF!</v>
      </c>
      <c r="L40" s="82" t="e">
        <f t="shared" si="5"/>
        <v>#REF!</v>
      </c>
      <c r="M40" s="34" t="s">
        <v>211</v>
      </c>
      <c r="N40" s="45" t="e">
        <f t="shared" si="6"/>
        <v>#REF!</v>
      </c>
    </row>
    <row r="41" spans="1:14" s="5" customFormat="1" ht="13.5" customHeight="1">
      <c r="A41" s="255">
        <v>44859</v>
      </c>
      <c r="B41" s="253" t="s">
        <v>131</v>
      </c>
      <c r="C41" s="160"/>
      <c r="D41" s="37">
        <v>9</v>
      </c>
      <c r="E41" s="33" t="s">
        <v>411</v>
      </c>
      <c r="F41" s="35"/>
      <c r="G41" s="103"/>
      <c r="H41" s="77"/>
      <c r="I41" s="169">
        <v>4224.43</v>
      </c>
      <c r="J41" s="86" t="e">
        <f>I41/'통장내역(환율표)'!#REF!</f>
        <v>#REF!</v>
      </c>
      <c r="K41" s="82" t="e">
        <f t="shared" si="4"/>
        <v>#REF!</v>
      </c>
      <c r="L41" s="82" t="e">
        <f t="shared" si="5"/>
        <v>#REF!</v>
      </c>
      <c r="M41" s="34" t="s">
        <v>211</v>
      </c>
      <c r="N41" s="45" t="e">
        <f t="shared" si="6"/>
        <v>#REF!</v>
      </c>
    </row>
    <row r="42" spans="1:14" s="5" customFormat="1" ht="13.5" customHeight="1">
      <c r="A42" s="255">
        <v>44859</v>
      </c>
      <c r="B42" s="253" t="s">
        <v>133</v>
      </c>
      <c r="C42" s="160"/>
      <c r="D42" s="37">
        <v>9</v>
      </c>
      <c r="E42" s="33" t="s">
        <v>411</v>
      </c>
      <c r="F42" s="35"/>
      <c r="G42" s="103"/>
      <c r="H42" s="77"/>
      <c r="I42" s="169">
        <v>2114.29</v>
      </c>
      <c r="J42" s="86" t="e">
        <f>I42/'통장내역(환율표)'!#REF!</f>
        <v>#REF!</v>
      </c>
      <c r="K42" s="82" t="e">
        <f t="shared" si="4"/>
        <v>#REF!</v>
      </c>
      <c r="L42" s="82" t="e">
        <f t="shared" si="5"/>
        <v>#REF!</v>
      </c>
      <c r="M42" s="34" t="s">
        <v>211</v>
      </c>
      <c r="N42" s="45" t="e">
        <f t="shared" si="6"/>
        <v>#REF!</v>
      </c>
    </row>
    <row r="43" spans="1:14" s="5" customFormat="1" ht="13.5" customHeight="1">
      <c r="A43" s="255">
        <v>44859</v>
      </c>
      <c r="B43" s="253" t="s">
        <v>345</v>
      </c>
      <c r="C43" s="160"/>
      <c r="D43" s="37">
        <v>9</v>
      </c>
      <c r="E43" s="33" t="s">
        <v>411</v>
      </c>
      <c r="F43" s="35"/>
      <c r="G43" s="103"/>
      <c r="H43" s="77"/>
      <c r="I43" s="169">
        <v>13500</v>
      </c>
      <c r="J43" s="86" t="e">
        <f>I43/'통장내역(환율표)'!#REF!</f>
        <v>#REF!</v>
      </c>
      <c r="K43" s="82" t="e">
        <f t="shared" si="4"/>
        <v>#REF!</v>
      </c>
      <c r="L43" s="82" t="e">
        <f t="shared" si="5"/>
        <v>#REF!</v>
      </c>
      <c r="M43" s="34" t="s">
        <v>211</v>
      </c>
      <c r="N43" s="45" t="e">
        <f t="shared" si="6"/>
        <v>#REF!</v>
      </c>
    </row>
    <row r="44" spans="1:14" s="5" customFormat="1" ht="13.5" customHeight="1">
      <c r="A44" s="255">
        <v>44859</v>
      </c>
      <c r="B44" s="253" t="s">
        <v>134</v>
      </c>
      <c r="C44" s="160"/>
      <c r="D44" s="37">
        <v>9</v>
      </c>
      <c r="E44" s="33" t="s">
        <v>411</v>
      </c>
      <c r="F44" s="35"/>
      <c r="G44" s="103"/>
      <c r="H44" s="77"/>
      <c r="I44" s="169">
        <v>14000</v>
      </c>
      <c r="J44" s="86" t="e">
        <f>I44/'통장내역(환율표)'!#REF!</f>
        <v>#REF!</v>
      </c>
      <c r="K44" s="82" t="e">
        <f t="shared" si="4"/>
        <v>#REF!</v>
      </c>
      <c r="L44" s="82" t="e">
        <f t="shared" si="5"/>
        <v>#REF!</v>
      </c>
      <c r="M44" s="34" t="s">
        <v>211</v>
      </c>
      <c r="N44" s="45" t="e">
        <f t="shared" si="6"/>
        <v>#REF!</v>
      </c>
    </row>
    <row r="45" spans="1:14" s="5" customFormat="1" ht="13.5" customHeight="1">
      <c r="A45" s="255">
        <v>44859</v>
      </c>
      <c r="B45" s="253" t="s">
        <v>130</v>
      </c>
      <c r="C45" s="160"/>
      <c r="D45" s="37">
        <v>9</v>
      </c>
      <c r="E45" s="33" t="s">
        <v>411</v>
      </c>
      <c r="F45" s="35"/>
      <c r="G45" s="103"/>
      <c r="H45" s="77"/>
      <c r="I45" s="169">
        <v>300</v>
      </c>
      <c r="J45" s="86" t="e">
        <f>I45/'통장내역(환율표)'!#REF!</f>
        <v>#REF!</v>
      </c>
      <c r="K45" s="82" t="e">
        <f t="shared" si="4"/>
        <v>#REF!</v>
      </c>
      <c r="L45" s="82" t="e">
        <f t="shared" si="5"/>
        <v>#REF!</v>
      </c>
      <c r="M45" s="34" t="s">
        <v>378</v>
      </c>
      <c r="N45" s="45" t="e">
        <f t="shared" si="6"/>
        <v>#REF!</v>
      </c>
    </row>
    <row r="46" spans="1:14" s="5" customFormat="1" ht="13.5" customHeight="1">
      <c r="A46" s="255">
        <v>44859</v>
      </c>
      <c r="B46" s="253" t="s">
        <v>343</v>
      </c>
      <c r="C46" s="160"/>
      <c r="D46" s="37">
        <v>9</v>
      </c>
      <c r="E46" s="33" t="s">
        <v>411</v>
      </c>
      <c r="F46" s="35"/>
      <c r="G46" s="103"/>
      <c r="H46" s="77"/>
      <c r="I46" s="169">
        <v>8308.0999999999985</v>
      </c>
      <c r="J46" s="86" t="e">
        <f>I46/'통장내역(환율표)'!#REF!</f>
        <v>#REF!</v>
      </c>
      <c r="K46" s="82" t="e">
        <f t="shared" si="4"/>
        <v>#REF!</v>
      </c>
      <c r="L46" s="82" t="e">
        <f t="shared" si="5"/>
        <v>#REF!</v>
      </c>
      <c r="M46" s="34" t="s">
        <v>287</v>
      </c>
      <c r="N46" s="45" t="e">
        <f t="shared" si="6"/>
        <v>#REF!</v>
      </c>
    </row>
    <row r="47" spans="1:14" s="5" customFormat="1" ht="13.5" customHeight="1">
      <c r="A47" s="255">
        <v>44859</v>
      </c>
      <c r="B47" s="253" t="s">
        <v>344</v>
      </c>
      <c r="C47" s="160"/>
      <c r="D47" s="37">
        <v>9</v>
      </c>
      <c r="E47" s="33" t="s">
        <v>411</v>
      </c>
      <c r="F47" s="35"/>
      <c r="G47" s="103"/>
      <c r="H47" s="77"/>
      <c r="I47" s="169">
        <v>1672.2599999999998</v>
      </c>
      <c r="J47" s="86" t="e">
        <f>I47/'통장내역(환율표)'!#REF!</f>
        <v>#REF!</v>
      </c>
      <c r="K47" s="82" t="e">
        <f t="shared" si="4"/>
        <v>#REF!</v>
      </c>
      <c r="L47" s="82" t="e">
        <f t="shared" si="5"/>
        <v>#REF!</v>
      </c>
      <c r="M47" s="34" t="s">
        <v>287</v>
      </c>
      <c r="N47" s="45" t="e">
        <f t="shared" si="6"/>
        <v>#REF!</v>
      </c>
    </row>
    <row r="48" spans="1:14" s="5" customFormat="1" ht="13.5" customHeight="1">
      <c r="A48" s="255">
        <v>44859</v>
      </c>
      <c r="B48" s="253" t="s">
        <v>345</v>
      </c>
      <c r="C48" s="160"/>
      <c r="D48" s="37">
        <v>9</v>
      </c>
      <c r="E48" s="33" t="s">
        <v>411</v>
      </c>
      <c r="F48" s="35"/>
      <c r="G48" s="103"/>
      <c r="H48" s="77"/>
      <c r="I48" s="169">
        <v>20050.329999999998</v>
      </c>
      <c r="J48" s="86" t="e">
        <f>I48/'통장내역(환율표)'!#REF!</f>
        <v>#REF!</v>
      </c>
      <c r="K48" s="82" t="e">
        <f t="shared" si="4"/>
        <v>#REF!</v>
      </c>
      <c r="L48" s="82" t="e">
        <f t="shared" si="5"/>
        <v>#REF!</v>
      </c>
      <c r="M48" s="34" t="s">
        <v>287</v>
      </c>
      <c r="N48" s="45" t="e">
        <f t="shared" si="6"/>
        <v>#REF!</v>
      </c>
    </row>
    <row r="49" spans="1:14" s="5" customFormat="1" ht="13.5" customHeight="1">
      <c r="A49" s="255">
        <v>44859</v>
      </c>
      <c r="B49" s="253" t="s">
        <v>340</v>
      </c>
      <c r="C49" s="160"/>
      <c r="D49" s="37">
        <v>9</v>
      </c>
      <c r="E49" s="33" t="s">
        <v>411</v>
      </c>
      <c r="F49" s="35"/>
      <c r="G49" s="103"/>
      <c r="H49" s="77"/>
      <c r="I49" s="169">
        <v>12</v>
      </c>
      <c r="J49" s="86" t="e">
        <f>I49/'통장내역(환율표)'!#REF!</f>
        <v>#REF!</v>
      </c>
      <c r="K49" s="82" t="e">
        <f t="shared" si="4"/>
        <v>#REF!</v>
      </c>
      <c r="L49" s="82" t="e">
        <f t="shared" si="5"/>
        <v>#REF!</v>
      </c>
      <c r="M49" s="34"/>
      <c r="N49" s="45" t="e">
        <f t="shared" si="6"/>
        <v>#REF!</v>
      </c>
    </row>
    <row r="50" spans="1:14" s="5" customFormat="1" ht="13.5" customHeight="1">
      <c r="A50" s="255">
        <v>44859</v>
      </c>
      <c r="B50" s="253" t="s">
        <v>396</v>
      </c>
      <c r="C50" s="160"/>
      <c r="D50" s="37">
        <v>10</v>
      </c>
      <c r="E50" s="33" t="s">
        <v>412</v>
      </c>
      <c r="F50" s="35" t="s">
        <v>413</v>
      </c>
      <c r="G50" s="103"/>
      <c r="H50" s="77"/>
      <c r="I50" s="169">
        <v>13071</v>
      </c>
      <c r="J50" s="86" t="e">
        <f>I50/'통장내역(환율표)'!#REF!</f>
        <v>#REF!</v>
      </c>
      <c r="K50" s="82" t="e">
        <f t="shared" si="4"/>
        <v>#REF!</v>
      </c>
      <c r="L50" s="82" t="e">
        <f t="shared" si="5"/>
        <v>#REF!</v>
      </c>
      <c r="M50" s="34"/>
      <c r="N50" s="45" t="e">
        <f t="shared" si="6"/>
        <v>#REF!</v>
      </c>
    </row>
    <row r="51" spans="1:14" s="5" customFormat="1" ht="13.5" customHeight="1">
      <c r="A51" s="255">
        <v>44859</v>
      </c>
      <c r="B51" s="253" t="s">
        <v>385</v>
      </c>
      <c r="C51" s="160"/>
      <c r="D51" s="37">
        <v>10</v>
      </c>
      <c r="E51" s="33" t="s">
        <v>411</v>
      </c>
      <c r="F51" s="35"/>
      <c r="G51" s="103"/>
      <c r="H51" s="77"/>
      <c r="I51" s="169">
        <v>7.2</v>
      </c>
      <c r="J51" s="86" t="e">
        <f>I51/'통장내역(환율표)'!#REF!</f>
        <v>#REF!</v>
      </c>
      <c r="K51" s="82" t="e">
        <f t="shared" si="4"/>
        <v>#REF!</v>
      </c>
      <c r="L51" s="82" t="e">
        <f t="shared" si="5"/>
        <v>#REF!</v>
      </c>
      <c r="M51" s="34"/>
      <c r="N51" s="45" t="e">
        <f t="shared" si="6"/>
        <v>#REF!</v>
      </c>
    </row>
    <row r="52" spans="1:14" s="5" customFormat="1" ht="13.5" customHeight="1">
      <c r="A52" s="255">
        <v>44859</v>
      </c>
      <c r="B52" s="253" t="s">
        <v>397</v>
      </c>
      <c r="C52" s="160"/>
      <c r="D52" s="37">
        <v>11</v>
      </c>
      <c r="E52" s="33" t="s">
        <v>412</v>
      </c>
      <c r="F52" s="35" t="s">
        <v>413</v>
      </c>
      <c r="G52" s="103"/>
      <c r="H52" s="77"/>
      <c r="I52" s="169">
        <v>879.48</v>
      </c>
      <c r="J52" s="86" t="e">
        <f>I52/'통장내역(환율표)'!#REF!</f>
        <v>#REF!</v>
      </c>
      <c r="K52" s="82" t="e">
        <f t="shared" si="4"/>
        <v>#REF!</v>
      </c>
      <c r="L52" s="82" t="e">
        <f t="shared" si="5"/>
        <v>#REF!</v>
      </c>
      <c r="M52" s="34"/>
      <c r="N52" s="45" t="e">
        <f t="shared" si="6"/>
        <v>#REF!</v>
      </c>
    </row>
    <row r="53" spans="1:14" s="5" customFormat="1" ht="13.5" customHeight="1">
      <c r="A53" s="255">
        <v>44859</v>
      </c>
      <c r="B53" s="253" t="s">
        <v>385</v>
      </c>
      <c r="C53" s="160"/>
      <c r="D53" s="37">
        <v>11</v>
      </c>
      <c r="E53" s="33" t="s">
        <v>411</v>
      </c>
      <c r="F53" s="35"/>
      <c r="G53" s="103"/>
      <c r="H53" s="77"/>
      <c r="I53" s="169">
        <v>3.6</v>
      </c>
      <c r="J53" s="86" t="e">
        <f>I53/'통장내역(환율표)'!#REF!</f>
        <v>#REF!</v>
      </c>
      <c r="K53" s="82" t="e">
        <f t="shared" ref="K53:K70" si="7">K52+G53-I53</f>
        <v>#REF!</v>
      </c>
      <c r="L53" s="82" t="e">
        <f t="shared" ref="L53:L70" si="8">L52+H53-J53</f>
        <v>#REF!</v>
      </c>
      <c r="M53" s="34"/>
      <c r="N53" s="45" t="e">
        <f t="shared" si="6"/>
        <v>#REF!</v>
      </c>
    </row>
    <row r="54" spans="1:14" s="5" customFormat="1" ht="13.5" customHeight="1">
      <c r="A54" s="255">
        <v>44859</v>
      </c>
      <c r="B54" s="253" t="s">
        <v>398</v>
      </c>
      <c r="C54" s="160"/>
      <c r="D54" s="37">
        <v>12</v>
      </c>
      <c r="E54" s="33" t="s">
        <v>414</v>
      </c>
      <c r="F54" s="35" t="s">
        <v>416</v>
      </c>
      <c r="G54" s="103"/>
      <c r="H54" s="77"/>
      <c r="I54" s="169">
        <v>133.5</v>
      </c>
      <c r="J54" s="86" t="e">
        <f>I54/'통장내역(환율표)'!#REF!</f>
        <v>#REF!</v>
      </c>
      <c r="K54" s="82" t="e">
        <f t="shared" si="7"/>
        <v>#REF!</v>
      </c>
      <c r="L54" s="82" t="e">
        <f t="shared" si="8"/>
        <v>#REF!</v>
      </c>
      <c r="M54" s="34"/>
      <c r="N54" s="45" t="e">
        <f t="shared" si="6"/>
        <v>#REF!</v>
      </c>
    </row>
    <row r="55" spans="1:14" s="5" customFormat="1" ht="13.5" customHeight="1">
      <c r="A55" s="255">
        <v>44859</v>
      </c>
      <c r="B55" s="253" t="s">
        <v>385</v>
      </c>
      <c r="C55" s="160"/>
      <c r="D55" s="37">
        <v>12</v>
      </c>
      <c r="E55" s="33" t="s">
        <v>411</v>
      </c>
      <c r="F55" s="35"/>
      <c r="G55" s="103"/>
      <c r="H55" s="77"/>
      <c r="I55" s="169">
        <v>3.6</v>
      </c>
      <c r="J55" s="86" t="e">
        <f>I55/'통장내역(환율표)'!#REF!</f>
        <v>#REF!</v>
      </c>
      <c r="K55" s="82" t="e">
        <f t="shared" si="7"/>
        <v>#REF!</v>
      </c>
      <c r="L55" s="82" t="e">
        <f t="shared" si="8"/>
        <v>#REF!</v>
      </c>
      <c r="M55" s="34"/>
      <c r="N55" s="45" t="e">
        <f t="shared" si="6"/>
        <v>#REF!</v>
      </c>
    </row>
    <row r="56" spans="1:14" s="5" customFormat="1" ht="13.5" customHeight="1">
      <c r="A56" s="255">
        <v>44859</v>
      </c>
      <c r="B56" s="253" t="s">
        <v>399</v>
      </c>
      <c r="C56" s="160"/>
      <c r="D56" s="37">
        <v>13</v>
      </c>
      <c r="E56" s="33" t="s">
        <v>415</v>
      </c>
      <c r="F56" s="35"/>
      <c r="G56" s="103"/>
      <c r="H56" s="77"/>
      <c r="I56" s="169">
        <v>2088</v>
      </c>
      <c r="J56" s="86" t="e">
        <f>I56/'통장내역(환율표)'!#REF!</f>
        <v>#REF!</v>
      </c>
      <c r="K56" s="82" t="e">
        <f t="shared" si="7"/>
        <v>#REF!</v>
      </c>
      <c r="L56" s="82" t="e">
        <f t="shared" si="8"/>
        <v>#REF!</v>
      </c>
      <c r="M56" s="34"/>
      <c r="N56" s="45" t="e">
        <f t="shared" si="6"/>
        <v>#REF!</v>
      </c>
    </row>
    <row r="57" spans="1:14" s="5" customFormat="1" ht="13.5" customHeight="1">
      <c r="A57" s="255">
        <v>44859</v>
      </c>
      <c r="B57" s="253" t="s">
        <v>385</v>
      </c>
      <c r="C57" s="160"/>
      <c r="D57" s="37">
        <v>13</v>
      </c>
      <c r="E57" s="33" t="s">
        <v>411</v>
      </c>
      <c r="F57" s="35"/>
      <c r="G57" s="103"/>
      <c r="H57" s="77"/>
      <c r="I57" s="169">
        <v>3.6</v>
      </c>
      <c r="J57" s="86" t="e">
        <f>I57/'통장내역(환율표)'!#REF!</f>
        <v>#REF!</v>
      </c>
      <c r="K57" s="82" t="e">
        <f t="shared" si="7"/>
        <v>#REF!</v>
      </c>
      <c r="L57" s="82" t="e">
        <f t="shared" si="8"/>
        <v>#REF!</v>
      </c>
      <c r="M57" s="34"/>
      <c r="N57" s="45" t="e">
        <f t="shared" si="6"/>
        <v>#REF!</v>
      </c>
    </row>
    <row r="58" spans="1:14" s="5" customFormat="1" ht="13.5" customHeight="1">
      <c r="A58" s="255">
        <v>44859</v>
      </c>
      <c r="B58" s="253" t="s">
        <v>400</v>
      </c>
      <c r="C58" s="160"/>
      <c r="D58" s="37">
        <v>14</v>
      </c>
      <c r="E58" s="33" t="s">
        <v>414</v>
      </c>
      <c r="F58" s="35" t="s">
        <v>416</v>
      </c>
      <c r="G58" s="103"/>
      <c r="H58" s="77"/>
      <c r="I58" s="169">
        <v>199</v>
      </c>
      <c r="J58" s="86" t="e">
        <f>I58/'통장내역(환율표)'!#REF!</f>
        <v>#REF!</v>
      </c>
      <c r="K58" s="82" t="e">
        <f t="shared" si="7"/>
        <v>#REF!</v>
      </c>
      <c r="L58" s="82" t="e">
        <f t="shared" si="8"/>
        <v>#REF!</v>
      </c>
      <c r="M58" s="34"/>
      <c r="N58" s="45" t="e">
        <f t="shared" si="6"/>
        <v>#REF!</v>
      </c>
    </row>
    <row r="59" spans="1:14" s="5" customFormat="1" ht="13.5" customHeight="1">
      <c r="A59" s="255">
        <v>44859</v>
      </c>
      <c r="B59" s="253" t="s">
        <v>385</v>
      </c>
      <c r="C59" s="160"/>
      <c r="D59" s="37">
        <v>14</v>
      </c>
      <c r="E59" s="33" t="s">
        <v>411</v>
      </c>
      <c r="F59" s="35"/>
      <c r="G59" s="103"/>
      <c r="H59" s="77"/>
      <c r="I59" s="169">
        <v>3.6</v>
      </c>
      <c r="J59" s="86" t="e">
        <f>I59/'통장내역(환율표)'!#REF!</f>
        <v>#REF!</v>
      </c>
      <c r="K59" s="82" t="e">
        <f t="shared" si="7"/>
        <v>#REF!</v>
      </c>
      <c r="L59" s="82" t="e">
        <f t="shared" si="8"/>
        <v>#REF!</v>
      </c>
      <c r="M59" s="34"/>
      <c r="N59" s="45" t="e">
        <f t="shared" si="6"/>
        <v>#REF!</v>
      </c>
    </row>
    <row r="60" spans="1:14" s="5" customFormat="1" ht="13.5" customHeight="1">
      <c r="A60" s="255">
        <v>44859</v>
      </c>
      <c r="B60" s="253" t="s">
        <v>401</v>
      </c>
      <c r="C60" s="160"/>
      <c r="D60" s="37">
        <v>15</v>
      </c>
      <c r="E60" s="33" t="s">
        <v>411</v>
      </c>
      <c r="F60" s="35"/>
      <c r="G60" s="103"/>
      <c r="H60" s="77"/>
      <c r="I60" s="169">
        <v>600</v>
      </c>
      <c r="J60" s="86" t="e">
        <f>I60/'통장내역(환율표)'!#REF!</f>
        <v>#REF!</v>
      </c>
      <c r="K60" s="82" t="e">
        <f t="shared" si="7"/>
        <v>#REF!</v>
      </c>
      <c r="L60" s="82" t="e">
        <f t="shared" si="8"/>
        <v>#REF!</v>
      </c>
      <c r="M60" s="34"/>
      <c r="N60" s="45" t="e">
        <f t="shared" si="6"/>
        <v>#REF!</v>
      </c>
    </row>
    <row r="61" spans="1:14" s="5" customFormat="1" ht="13.5" customHeight="1">
      <c r="A61" s="255">
        <v>44859</v>
      </c>
      <c r="B61" s="253" t="s">
        <v>402</v>
      </c>
      <c r="C61" s="160"/>
      <c r="D61" s="37">
        <v>15</v>
      </c>
      <c r="E61" s="33" t="s">
        <v>411</v>
      </c>
      <c r="F61" s="35"/>
      <c r="G61" s="103"/>
      <c r="H61" s="77"/>
      <c r="I61" s="169">
        <v>36</v>
      </c>
      <c r="J61" s="86" t="e">
        <f>I61/'통장내역(환율표)'!#REF!</f>
        <v>#REF!</v>
      </c>
      <c r="K61" s="82" t="e">
        <f t="shared" si="7"/>
        <v>#REF!</v>
      </c>
      <c r="L61" s="82" t="e">
        <f t="shared" si="8"/>
        <v>#REF!</v>
      </c>
      <c r="M61" s="34"/>
      <c r="N61" s="45" t="e">
        <f t="shared" si="6"/>
        <v>#REF!</v>
      </c>
    </row>
    <row r="62" spans="1:14" s="5" customFormat="1" ht="13.5" customHeight="1">
      <c r="A62" s="255">
        <v>44859</v>
      </c>
      <c r="B62" s="253" t="s">
        <v>403</v>
      </c>
      <c r="C62" s="160"/>
      <c r="D62" s="37">
        <v>15</v>
      </c>
      <c r="E62" s="33" t="s">
        <v>411</v>
      </c>
      <c r="F62" s="35"/>
      <c r="G62" s="103"/>
      <c r="H62" s="77"/>
      <c r="I62" s="169">
        <v>146</v>
      </c>
      <c r="J62" s="86" t="e">
        <f>I62/'통장내역(환율표)'!#REF!</f>
        <v>#REF!</v>
      </c>
      <c r="K62" s="82" t="e">
        <f t="shared" si="7"/>
        <v>#REF!</v>
      </c>
      <c r="L62" s="82" t="e">
        <f t="shared" si="8"/>
        <v>#REF!</v>
      </c>
      <c r="M62" s="34"/>
      <c r="N62" s="45" t="e">
        <f t="shared" si="6"/>
        <v>#REF!</v>
      </c>
    </row>
    <row r="63" spans="1:14" s="5" customFormat="1" ht="13.5" customHeight="1">
      <c r="A63" s="255">
        <v>44859</v>
      </c>
      <c r="B63" s="253" t="s">
        <v>385</v>
      </c>
      <c r="C63" s="160"/>
      <c r="D63" s="37">
        <v>15</v>
      </c>
      <c r="E63" s="33" t="s">
        <v>411</v>
      </c>
      <c r="F63" s="35"/>
      <c r="G63" s="103"/>
      <c r="H63" s="77"/>
      <c r="I63" s="169">
        <v>3.6</v>
      </c>
      <c r="J63" s="86" t="e">
        <f>I63/'통장내역(환율표)'!#REF!</f>
        <v>#REF!</v>
      </c>
      <c r="K63" s="82" t="e">
        <f t="shared" si="7"/>
        <v>#REF!</v>
      </c>
      <c r="L63" s="82" t="e">
        <f t="shared" si="8"/>
        <v>#REF!</v>
      </c>
      <c r="M63" s="34"/>
      <c r="N63" s="45" t="e">
        <f t="shared" si="6"/>
        <v>#REF!</v>
      </c>
    </row>
    <row r="64" spans="1:14" s="5" customFormat="1" ht="13.5" customHeight="1">
      <c r="A64" s="255">
        <v>44859</v>
      </c>
      <c r="B64" s="253" t="s">
        <v>384</v>
      </c>
      <c r="C64" s="160"/>
      <c r="D64" s="37">
        <v>16</v>
      </c>
      <c r="E64" s="33" t="s">
        <v>414</v>
      </c>
      <c r="F64" s="35" t="s">
        <v>416</v>
      </c>
      <c r="G64" s="103"/>
      <c r="H64" s="77"/>
      <c r="I64" s="169">
        <v>796.5</v>
      </c>
      <c r="J64" s="86" t="e">
        <f>I64/'통장내역(환율표)'!#REF!</f>
        <v>#REF!</v>
      </c>
      <c r="K64" s="82" t="e">
        <f t="shared" si="7"/>
        <v>#REF!</v>
      </c>
      <c r="L64" s="82" t="e">
        <f t="shared" si="8"/>
        <v>#REF!</v>
      </c>
      <c r="M64" s="34"/>
      <c r="N64" s="45" t="e">
        <f t="shared" si="6"/>
        <v>#REF!</v>
      </c>
    </row>
    <row r="65" spans="1:14" s="5" customFormat="1" ht="13.5" customHeight="1">
      <c r="A65" s="255">
        <v>44859</v>
      </c>
      <c r="B65" s="253" t="s">
        <v>385</v>
      </c>
      <c r="C65" s="160"/>
      <c r="D65" s="37">
        <v>16</v>
      </c>
      <c r="E65" s="33" t="s">
        <v>411</v>
      </c>
      <c r="F65" s="35"/>
      <c r="G65" s="103"/>
      <c r="H65" s="77"/>
      <c r="I65" s="169">
        <v>3.6</v>
      </c>
      <c r="J65" s="86" t="e">
        <f>I65/'통장내역(환율표)'!#REF!</f>
        <v>#REF!</v>
      </c>
      <c r="K65" s="82" t="e">
        <f t="shared" si="7"/>
        <v>#REF!</v>
      </c>
      <c r="L65" s="82" t="e">
        <f t="shared" si="8"/>
        <v>#REF!</v>
      </c>
      <c r="N65" s="45" t="e">
        <f t="shared" si="6"/>
        <v>#REF!</v>
      </c>
    </row>
    <row r="66" spans="1:14" s="5" customFormat="1" ht="13.5" customHeight="1">
      <c r="A66" s="255">
        <v>44859</v>
      </c>
      <c r="B66" s="253" t="s">
        <v>385</v>
      </c>
      <c r="C66" s="160"/>
      <c r="D66" s="37">
        <v>17</v>
      </c>
      <c r="E66" s="33" t="s">
        <v>411</v>
      </c>
      <c r="F66" s="35"/>
      <c r="G66" s="103"/>
      <c r="H66" s="77"/>
      <c r="I66" s="169">
        <v>3.6</v>
      </c>
      <c r="J66" s="86" t="e">
        <f>I66/'통장내역(환율표)'!#REF!</f>
        <v>#REF!</v>
      </c>
      <c r="K66" s="82" t="e">
        <f t="shared" si="7"/>
        <v>#REF!</v>
      </c>
      <c r="L66" s="82" t="e">
        <f t="shared" si="8"/>
        <v>#REF!</v>
      </c>
      <c r="M66" s="34" t="s">
        <v>418</v>
      </c>
      <c r="N66" s="45" t="e">
        <f t="shared" si="6"/>
        <v>#REF!</v>
      </c>
    </row>
    <row r="67" spans="1:14" s="5" customFormat="1" ht="13.5" customHeight="1">
      <c r="A67" s="255">
        <v>44859</v>
      </c>
      <c r="B67" s="253" t="s">
        <v>408</v>
      </c>
      <c r="C67" s="160"/>
      <c r="D67" s="37">
        <v>18</v>
      </c>
      <c r="E67" s="33" t="s">
        <v>411</v>
      </c>
      <c r="F67" s="35"/>
      <c r="G67" s="103"/>
      <c r="H67" s="77"/>
      <c r="I67" s="169">
        <v>12868.42</v>
      </c>
      <c r="J67" s="86" t="e">
        <f>I67/'통장내역(환율표)'!#REF!</f>
        <v>#REF!</v>
      </c>
      <c r="K67" s="82" t="e">
        <f t="shared" si="7"/>
        <v>#REF!</v>
      </c>
      <c r="L67" s="82" t="e">
        <f t="shared" si="8"/>
        <v>#REF!</v>
      </c>
      <c r="M67" s="34" t="s">
        <v>417</v>
      </c>
      <c r="N67" s="45" t="e">
        <f t="shared" si="6"/>
        <v>#REF!</v>
      </c>
    </row>
    <row r="68" spans="1:14" s="5" customFormat="1" ht="13.5" customHeight="1">
      <c r="A68" s="255">
        <v>44859</v>
      </c>
      <c r="B68" s="253" t="s">
        <v>385</v>
      </c>
      <c r="C68" s="160"/>
      <c r="D68" s="37">
        <v>18</v>
      </c>
      <c r="E68" s="33" t="s">
        <v>411</v>
      </c>
      <c r="F68" s="35"/>
      <c r="G68" s="103"/>
      <c r="H68" s="77"/>
      <c r="I68" s="169">
        <v>7.2</v>
      </c>
      <c r="J68" s="86" t="e">
        <f>I68/'통장내역(환율표)'!#REF!</f>
        <v>#REF!</v>
      </c>
      <c r="K68" s="82" t="e">
        <f t="shared" si="7"/>
        <v>#REF!</v>
      </c>
      <c r="L68" s="82" t="e">
        <f t="shared" si="8"/>
        <v>#REF!</v>
      </c>
      <c r="M68" s="34"/>
      <c r="N68" s="45" t="e">
        <f t="shared" si="6"/>
        <v>#REF!</v>
      </c>
    </row>
    <row r="69" spans="1:14" s="5" customFormat="1" ht="13.5" customHeight="1">
      <c r="A69" s="255">
        <v>44859</v>
      </c>
      <c r="B69" s="253" t="s">
        <v>404</v>
      </c>
      <c r="C69" s="160"/>
      <c r="D69" s="37">
        <v>19</v>
      </c>
      <c r="E69" s="33" t="s">
        <v>411</v>
      </c>
      <c r="F69" s="35"/>
      <c r="G69" s="103"/>
      <c r="H69" s="77"/>
      <c r="I69" s="169">
        <v>1753.3313295260996</v>
      </c>
      <c r="J69" s="86" t="e">
        <f>I69/'통장내역(환율표)'!#REF!</f>
        <v>#REF!</v>
      </c>
      <c r="K69" s="82" t="e">
        <f t="shared" si="7"/>
        <v>#REF!</v>
      </c>
      <c r="L69" s="82" t="e">
        <f t="shared" si="8"/>
        <v>#REF!</v>
      </c>
      <c r="M69" s="34"/>
      <c r="N69" s="45" t="e">
        <f t="shared" si="6"/>
        <v>#REF!</v>
      </c>
    </row>
    <row r="70" spans="1:14" s="5" customFormat="1" ht="13.5" customHeight="1">
      <c r="A70" s="255">
        <v>44859</v>
      </c>
      <c r="B70" s="253" t="s">
        <v>385</v>
      </c>
      <c r="C70" s="160"/>
      <c r="D70" s="37">
        <v>19</v>
      </c>
      <c r="E70" s="33" t="s">
        <v>411</v>
      </c>
      <c r="F70" s="35"/>
      <c r="G70" s="103"/>
      <c r="H70" s="77"/>
      <c r="I70" s="169">
        <v>3.6</v>
      </c>
      <c r="J70" s="86" t="e">
        <f>I70/'통장내역(환율표)'!#REF!</f>
        <v>#REF!</v>
      </c>
      <c r="K70" s="82" t="e">
        <f t="shared" si="7"/>
        <v>#REF!</v>
      </c>
      <c r="L70" s="82" t="e">
        <f t="shared" si="8"/>
        <v>#REF!</v>
      </c>
      <c r="M70" s="34"/>
      <c r="N70" s="45" t="e">
        <f t="shared" si="6"/>
        <v>#REF!</v>
      </c>
    </row>
    <row r="71" spans="1:14" s="5" customFormat="1" ht="13.5" customHeight="1">
      <c r="A71" s="255">
        <v>44862</v>
      </c>
      <c r="B71" s="253" t="s">
        <v>405</v>
      </c>
      <c r="C71" s="160"/>
      <c r="D71" s="37">
        <v>20</v>
      </c>
      <c r="E71" s="33" t="s">
        <v>411</v>
      </c>
      <c r="F71" s="35"/>
      <c r="G71" s="103"/>
      <c r="H71" s="77"/>
      <c r="I71" s="169">
        <v>1662.83</v>
      </c>
      <c r="J71" s="86" t="e">
        <f>I71/'통장내역(환율표)'!#REF!</f>
        <v>#REF!</v>
      </c>
      <c r="K71" s="82" t="e">
        <f t="shared" ref="K71:K72" si="9">K70+G71-I71</f>
        <v>#REF!</v>
      </c>
      <c r="L71" s="82" t="e">
        <f t="shared" ref="L71:L72" si="10">L70+H71-J71</f>
        <v>#REF!</v>
      </c>
      <c r="M71" s="34"/>
      <c r="N71" s="45" t="e">
        <f t="shared" ref="N71:N72" si="11">N70-J71+H71</f>
        <v>#REF!</v>
      </c>
    </row>
    <row r="72" spans="1:14" s="5" customFormat="1" ht="13.5" customHeight="1">
      <c r="A72" s="255">
        <v>44862</v>
      </c>
      <c r="B72" s="253" t="s">
        <v>385</v>
      </c>
      <c r="C72" s="160"/>
      <c r="D72" s="37">
        <v>20</v>
      </c>
      <c r="E72" s="33" t="s">
        <v>411</v>
      </c>
      <c r="F72" s="35"/>
      <c r="G72" s="103"/>
      <c r="H72" s="77"/>
      <c r="I72" s="169">
        <v>3.6</v>
      </c>
      <c r="J72" s="86" t="e">
        <f>I72/'통장내역(환율표)'!#REF!</f>
        <v>#REF!</v>
      </c>
      <c r="K72" s="82" t="e">
        <f t="shared" si="9"/>
        <v>#REF!</v>
      </c>
      <c r="L72" s="82" t="e">
        <f t="shared" si="10"/>
        <v>#REF!</v>
      </c>
      <c r="M72" s="34"/>
      <c r="N72" s="45" t="e">
        <f t="shared" si="11"/>
        <v>#REF!</v>
      </c>
    </row>
    <row r="73" spans="1:14">
      <c r="I73" s="251"/>
    </row>
  </sheetData>
  <autoFilter ref="A16:N76" xr:uid="{00000000-0009-0000-0000-000009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4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N65"/>
  <sheetViews>
    <sheetView showGridLines="0" topLeftCell="A10" zoomScaleNormal="100" workbookViewId="0">
      <selection activeCell="E53" sqref="E52:E53"/>
    </sheetView>
  </sheetViews>
  <sheetFormatPr defaultRowHeight="17.399999999999999"/>
  <cols>
    <col min="1" max="1" width="10.19921875" bestFit="1" customWidth="1"/>
    <col min="2" max="2" width="30.69921875" customWidth="1"/>
    <col min="3" max="3" width="9.5976562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9.59765625" bestFit="1" customWidth="1"/>
  </cols>
  <sheetData>
    <row r="1" spans="1:13" ht="24">
      <c r="A1" s="1" t="s">
        <v>446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3" s="5" customFormat="1">
      <c r="A2" s="5" t="s">
        <v>419</v>
      </c>
      <c r="B2" s="2"/>
      <c r="C2" s="2"/>
      <c r="E2" s="4">
        <v>100069659</v>
      </c>
      <c r="F2" s="7"/>
      <c r="G2" s="5" t="s">
        <v>448</v>
      </c>
      <c r="H2" s="2"/>
      <c r="I2" s="2"/>
      <c r="K2" s="4">
        <v>100069665</v>
      </c>
      <c r="L2" s="139">
        <v>1200000696</v>
      </c>
    </row>
    <row r="3" spans="1:13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3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3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4902</v>
      </c>
      <c r="J5" s="116">
        <v>685.39111303621496</v>
      </c>
      <c r="K5" s="117">
        <v>937819</v>
      </c>
      <c r="L5" s="240">
        <f>K5+E5</f>
        <v>937819</v>
      </c>
    </row>
    <row r="6" spans="1:13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3271.04</v>
      </c>
      <c r="J6" s="116">
        <v>457.35245744308054</v>
      </c>
      <c r="K6" s="117">
        <v>625792</v>
      </c>
      <c r="L6" s="240">
        <f t="shared" ref="L6:L10" si="0">K6+E6</f>
        <v>625792</v>
      </c>
    </row>
    <row r="7" spans="1:13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2718.0749158351732</v>
      </c>
      <c r="K7" s="117">
        <v>3719135</v>
      </c>
      <c r="L7" s="240">
        <f t="shared" si="0"/>
        <v>3719135</v>
      </c>
    </row>
    <row r="8" spans="1:13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1468.0960193554176</v>
      </c>
      <c r="K8" s="117">
        <v>2008801</v>
      </c>
      <c r="L8" s="240">
        <f t="shared" si="0"/>
        <v>2008801</v>
      </c>
    </row>
    <row r="9" spans="1:13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695</v>
      </c>
      <c r="J9" s="116">
        <v>97.173974614477657</v>
      </c>
      <c r="K9" s="117">
        <v>132958</v>
      </c>
      <c r="L9" s="240">
        <f t="shared" si="0"/>
        <v>132958</v>
      </c>
    </row>
    <row r="10" spans="1:13" s="5" customFormat="1" ht="15.6">
      <c r="A10" s="114" t="s">
        <v>62</v>
      </c>
      <c r="B10" s="115"/>
      <c r="C10" s="116">
        <v>35092.369176044333</v>
      </c>
      <c r="D10" s="116">
        <v>4913.286982965179</v>
      </c>
      <c r="E10" s="117">
        <v>6929213</v>
      </c>
      <c r="F10" s="121">
        <v>51321010</v>
      </c>
      <c r="G10" s="114" t="s">
        <v>62</v>
      </c>
      <c r="H10" s="115"/>
      <c r="I10" s="116">
        <v>87962.150823955686</v>
      </c>
      <c r="J10" s="116">
        <v>12324.750807484785</v>
      </c>
      <c r="K10" s="117">
        <v>16863955</v>
      </c>
      <c r="L10" s="240">
        <f t="shared" si="0"/>
        <v>23793168</v>
      </c>
    </row>
    <row r="11" spans="1:13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3" s="5" customFormat="1" ht="15.6">
      <c r="A12" s="2045" t="s">
        <v>299</v>
      </c>
      <c r="B12" s="2046"/>
      <c r="C12" s="124">
        <f>SUM(C4:C11)</f>
        <v>35092.369176044333</v>
      </c>
      <c r="D12" s="124">
        <f>SUM(D4:D11)</f>
        <v>4913.286982965179</v>
      </c>
      <c r="E12" s="125">
        <f>SUM(E4:E11)</f>
        <v>6929213</v>
      </c>
      <c r="F12" s="121">
        <v>52981010</v>
      </c>
      <c r="G12" s="2045" t="s">
        <v>299</v>
      </c>
      <c r="H12" s="2046"/>
      <c r="I12" s="124">
        <f>SUM(I4:I11)</f>
        <v>126770.19082395569</v>
      </c>
      <c r="J12" s="124">
        <f>SUM(J4:J11)</f>
        <v>17750.839287769148</v>
      </c>
      <c r="K12" s="125">
        <f>SUM(K4:K10)</f>
        <v>24288460</v>
      </c>
      <c r="L12" s="119"/>
    </row>
    <row r="13" spans="1:13" s="5" customFormat="1" ht="15.6">
      <c r="A13" s="126"/>
      <c r="B13" s="127"/>
      <c r="C13" s="128">
        <f>C12+I12</f>
        <v>161862.56000000003</v>
      </c>
      <c r="D13" s="128">
        <f t="shared" ref="D13:E13" si="1">D12+J12</f>
        <v>22664.126270734327</v>
      </c>
      <c r="E13" s="242">
        <f t="shared" si="1"/>
        <v>31217673</v>
      </c>
      <c r="F13" s="118"/>
      <c r="G13" s="130"/>
      <c r="H13" s="130"/>
      <c r="I13" s="131"/>
      <c r="J13" s="130"/>
      <c r="K13" s="119">
        <v>16280.085986968166</v>
      </c>
      <c r="L13" s="245">
        <v>2425.7418328151257</v>
      </c>
    </row>
    <row r="14" spans="1:13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SUBTOTAL(9,H17:H64)</f>
        <v>22744.400000000001</v>
      </c>
      <c r="I14" s="137" t="e">
        <f>SUBTOTAL(9,I17:I79)</f>
        <v>#REF!</v>
      </c>
      <c r="J14" s="137" t="e">
        <f>SUBTOTAL(9,J17:J77)</f>
        <v>#REF!</v>
      </c>
      <c r="K14" s="139"/>
      <c r="L14" s="45"/>
    </row>
    <row r="15" spans="1:13" s="5" customFormat="1" ht="15.6">
      <c r="A15" s="2047" t="s">
        <v>300</v>
      </c>
      <c r="B15" s="2049" t="s">
        <v>25</v>
      </c>
      <c r="C15" s="2049"/>
      <c r="D15" s="2049" t="s">
        <v>26</v>
      </c>
      <c r="E15" s="2049" t="s">
        <v>1</v>
      </c>
      <c r="F15" s="2051" t="s">
        <v>2</v>
      </c>
      <c r="G15" s="2053" t="s">
        <v>232</v>
      </c>
      <c r="H15" s="2055"/>
      <c r="I15" s="2053" t="s">
        <v>30</v>
      </c>
      <c r="J15" s="2055"/>
      <c r="K15" s="2056" t="s">
        <v>31</v>
      </c>
      <c r="L15" s="2042"/>
      <c r="M15" s="2043" t="s">
        <v>32</v>
      </c>
    </row>
    <row r="16" spans="1:13" s="5" customFormat="1" ht="14.25" customHeight="1">
      <c r="A16" s="2058"/>
      <c r="B16" s="2059"/>
      <c r="C16" s="2059"/>
      <c r="D16" s="2059"/>
      <c r="E16" s="2059"/>
      <c r="F16" s="2060"/>
      <c r="G16" s="142" t="s">
        <v>302</v>
      </c>
      <c r="H16" s="143" t="s">
        <v>34</v>
      </c>
      <c r="I16" s="144" t="s">
        <v>33</v>
      </c>
      <c r="J16" s="144" t="s">
        <v>34</v>
      </c>
      <c r="K16" s="145" t="s">
        <v>33</v>
      </c>
      <c r="L16" s="146" t="s">
        <v>34</v>
      </c>
      <c r="M16" s="2057"/>
    </row>
    <row r="17" spans="1:14" s="5" customFormat="1" ht="13.5" customHeight="1">
      <c r="A17" s="105">
        <v>44865</v>
      </c>
      <c r="B17" s="155" t="s">
        <v>65</v>
      </c>
      <c r="C17" s="156"/>
      <c r="D17" s="106"/>
      <c r="E17" s="107"/>
      <c r="F17" s="106"/>
      <c r="G17" s="108"/>
      <c r="H17" s="109"/>
      <c r="I17" s="110"/>
      <c r="J17" s="111"/>
      <c r="K17" s="112">
        <v>35092.098670473933</v>
      </c>
      <c r="L17" s="108">
        <v>4913.2890087676451</v>
      </c>
      <c r="M17" s="106"/>
      <c r="N17" s="45">
        <v>4913.2869829651781</v>
      </c>
    </row>
    <row r="18" spans="1:14" s="5" customFormat="1" ht="13.5" customHeight="1">
      <c r="A18" s="57">
        <v>44876</v>
      </c>
      <c r="B18" s="173" t="s">
        <v>421</v>
      </c>
      <c r="C18" s="174"/>
      <c r="D18" s="60"/>
      <c r="E18" s="59"/>
      <c r="F18" s="61"/>
      <c r="G18" s="175">
        <v>162484.74</v>
      </c>
      <c r="H18" s="78">
        <v>22744.400000000001</v>
      </c>
      <c r="I18" s="176"/>
      <c r="J18" s="102"/>
      <c r="K18" s="83">
        <f t="shared" ref="K18:K64" si="2">K17+G18-I18</f>
        <v>197576.83867047392</v>
      </c>
      <c r="L18" s="62">
        <f t="shared" ref="L18:L64" si="3">L17+H18-J18</f>
        <v>27657.689008767647</v>
      </c>
      <c r="M18" s="58"/>
      <c r="N18" s="45"/>
    </row>
    <row r="19" spans="1:14" s="5" customFormat="1" ht="13.5" customHeight="1">
      <c r="A19" s="57">
        <v>44876</v>
      </c>
      <c r="B19" s="252" t="s">
        <v>445</v>
      </c>
      <c r="C19" s="174"/>
      <c r="D19" s="60">
        <v>1</v>
      </c>
      <c r="E19" s="59" t="s">
        <v>435</v>
      </c>
      <c r="F19" s="61"/>
      <c r="G19" s="175"/>
      <c r="H19" s="78"/>
      <c r="I19" s="176"/>
      <c r="J19" s="250">
        <v>26</v>
      </c>
      <c r="K19" s="83">
        <f t="shared" si="2"/>
        <v>197576.83867047392</v>
      </c>
      <c r="L19" s="62">
        <f t="shared" si="3"/>
        <v>27631.689008767647</v>
      </c>
      <c r="M19" s="58"/>
      <c r="N19" s="45"/>
    </row>
    <row r="20" spans="1:14" s="5" customFormat="1" ht="13.5" customHeight="1">
      <c r="A20" s="255">
        <v>44890</v>
      </c>
      <c r="B20" s="253" t="s">
        <v>130</v>
      </c>
      <c r="C20" s="160"/>
      <c r="D20" s="37">
        <v>2</v>
      </c>
      <c r="E20" s="33" t="s">
        <v>435</v>
      </c>
      <c r="F20" s="35"/>
      <c r="G20" s="103"/>
      <c r="H20" s="77"/>
      <c r="I20" s="169">
        <v>300</v>
      </c>
      <c r="J20" s="86" t="e">
        <f>I20/'통장내역(환율표)'!#REF!</f>
        <v>#REF!</v>
      </c>
      <c r="K20" s="82">
        <f t="shared" si="2"/>
        <v>197276.83867047392</v>
      </c>
      <c r="L20" s="38" t="e">
        <f t="shared" si="3"/>
        <v>#REF!</v>
      </c>
      <c r="M20" s="34" t="s">
        <v>188</v>
      </c>
      <c r="N20" s="45" t="e">
        <f>N17-J20+H20</f>
        <v>#REF!</v>
      </c>
    </row>
    <row r="21" spans="1:14" s="5" customFormat="1" ht="13.5" customHeight="1">
      <c r="A21" s="255">
        <v>44890</v>
      </c>
      <c r="B21" s="253" t="s">
        <v>131</v>
      </c>
      <c r="C21" s="160"/>
      <c r="D21" s="37">
        <v>2</v>
      </c>
      <c r="E21" s="33" t="s">
        <v>435</v>
      </c>
      <c r="F21" s="35"/>
      <c r="G21" s="103"/>
      <c r="H21" s="77"/>
      <c r="I21" s="169">
        <v>7599.43</v>
      </c>
      <c r="J21" s="86" t="e">
        <f>I21/'통장내역(환율표)'!#REF!</f>
        <v>#REF!</v>
      </c>
      <c r="K21" s="82">
        <f t="shared" si="2"/>
        <v>189677.40867047393</v>
      </c>
      <c r="L21" s="38" t="e">
        <f t="shared" si="3"/>
        <v>#REF!</v>
      </c>
      <c r="M21" s="34" t="s">
        <v>188</v>
      </c>
      <c r="N21" s="45" t="e">
        <f>N20-J21+H21</f>
        <v>#REF!</v>
      </c>
    </row>
    <row r="22" spans="1:14" s="5" customFormat="1" ht="13.5" customHeight="1">
      <c r="A22" s="255">
        <v>44890</v>
      </c>
      <c r="B22" s="253" t="s">
        <v>133</v>
      </c>
      <c r="C22" s="160"/>
      <c r="D22" s="37">
        <v>2</v>
      </c>
      <c r="E22" s="33" t="s">
        <v>435</v>
      </c>
      <c r="F22" s="35"/>
      <c r="G22" s="103"/>
      <c r="H22" s="77"/>
      <c r="I22" s="169">
        <v>5104.5799999999981</v>
      </c>
      <c r="J22" s="86" t="e">
        <f>I22/'통장내역(환율표)'!#REF!</f>
        <v>#REF!</v>
      </c>
      <c r="K22" s="82">
        <f t="shared" si="2"/>
        <v>184572.82867047394</v>
      </c>
      <c r="L22" s="38" t="e">
        <f t="shared" si="3"/>
        <v>#REF!</v>
      </c>
      <c r="M22" s="34" t="s">
        <v>188</v>
      </c>
      <c r="N22" s="45" t="e">
        <f>N21-J22+H22</f>
        <v>#REF!</v>
      </c>
    </row>
    <row r="23" spans="1:14" s="5" customFormat="1" ht="13.5" customHeight="1">
      <c r="A23" s="255">
        <v>44890</v>
      </c>
      <c r="B23" s="253" t="s">
        <v>132</v>
      </c>
      <c r="C23" s="160"/>
      <c r="D23" s="37">
        <v>2</v>
      </c>
      <c r="E23" s="33" t="s">
        <v>435</v>
      </c>
      <c r="F23" s="35"/>
      <c r="G23" s="103"/>
      <c r="H23" s="77"/>
      <c r="I23" s="169">
        <v>13500</v>
      </c>
      <c r="J23" s="86" t="e">
        <f>I23/'통장내역(환율표)'!#REF!</f>
        <v>#REF!</v>
      </c>
      <c r="K23" s="82">
        <f t="shared" si="2"/>
        <v>171072.82867047394</v>
      </c>
      <c r="L23" s="38" t="e">
        <f t="shared" si="3"/>
        <v>#REF!</v>
      </c>
      <c r="M23" s="34" t="s">
        <v>188</v>
      </c>
      <c r="N23" s="45" t="e">
        <f>N22-J23+H23</f>
        <v>#REF!</v>
      </c>
    </row>
    <row r="24" spans="1:14" s="5" customFormat="1" ht="13.5" customHeight="1">
      <c r="A24" s="255">
        <v>44890</v>
      </c>
      <c r="B24" s="253" t="s">
        <v>433</v>
      </c>
      <c r="C24" s="160"/>
      <c r="D24" s="37">
        <v>2</v>
      </c>
      <c r="E24" s="33" t="s">
        <v>435</v>
      </c>
      <c r="F24" s="35"/>
      <c r="G24" s="103"/>
      <c r="H24" s="77"/>
      <c r="I24" s="169" t="e">
        <f>J24*'통장내역(환율표)'!#REF!</f>
        <v>#REF!</v>
      </c>
      <c r="J24" s="86">
        <v>1202.4572388658744</v>
      </c>
      <c r="K24" s="82" t="e">
        <f t="shared" si="2"/>
        <v>#REF!</v>
      </c>
      <c r="L24" s="38" t="e">
        <f t="shared" si="3"/>
        <v>#REF!</v>
      </c>
      <c r="M24" s="34" t="s">
        <v>188</v>
      </c>
      <c r="N24" s="45" t="e">
        <f>N23-J24+H24</f>
        <v>#REF!</v>
      </c>
    </row>
    <row r="25" spans="1:14" s="5" customFormat="1" ht="13.5" customHeight="1">
      <c r="A25" s="255">
        <v>44890</v>
      </c>
      <c r="B25" s="253" t="s">
        <v>434</v>
      </c>
      <c r="C25" s="160"/>
      <c r="D25" s="37">
        <v>2</v>
      </c>
      <c r="E25" s="33" t="s">
        <v>435</v>
      </c>
      <c r="F25" s="35"/>
      <c r="G25" s="103"/>
      <c r="H25" s="77"/>
      <c r="I25" s="169" t="e">
        <f>20000-I24</f>
        <v>#REF!</v>
      </c>
      <c r="J25" s="250" t="e">
        <f>I25/'통장내역(환율표)'!#REF!</f>
        <v>#REF!</v>
      </c>
      <c r="K25" s="82" t="e">
        <f t="shared" si="2"/>
        <v>#REF!</v>
      </c>
      <c r="L25" s="38" t="e">
        <f t="shared" si="3"/>
        <v>#REF!</v>
      </c>
      <c r="M25" s="34" t="s">
        <v>188</v>
      </c>
      <c r="N25" s="45" t="e">
        <f>22718.4-J25</f>
        <v>#REF!</v>
      </c>
    </row>
    <row r="26" spans="1:14" s="5" customFormat="1" ht="12.75" customHeight="1">
      <c r="A26" s="255">
        <v>44890</v>
      </c>
      <c r="B26" s="253" t="s">
        <v>130</v>
      </c>
      <c r="C26" s="160"/>
      <c r="D26" s="37">
        <v>2</v>
      </c>
      <c r="E26" s="33" t="s">
        <v>435</v>
      </c>
      <c r="F26" s="35"/>
      <c r="G26" s="103"/>
      <c r="H26" s="77"/>
      <c r="I26" s="169">
        <v>300</v>
      </c>
      <c r="J26" s="250" t="e">
        <f>I26/'통장내역(환율표)'!#REF!</f>
        <v>#REF!</v>
      </c>
      <c r="K26" s="82" t="e">
        <f t="shared" si="2"/>
        <v>#REF!</v>
      </c>
      <c r="L26" s="38" t="e">
        <f t="shared" si="3"/>
        <v>#REF!</v>
      </c>
      <c r="M26" s="34" t="s">
        <v>211</v>
      </c>
      <c r="N26" s="45" t="e">
        <f t="shared" ref="N26:N64" si="4">N25-J26+H26</f>
        <v>#REF!</v>
      </c>
    </row>
    <row r="27" spans="1:14" s="5" customFormat="1" ht="13.5" customHeight="1">
      <c r="A27" s="255">
        <v>44890</v>
      </c>
      <c r="B27" s="253" t="s">
        <v>131</v>
      </c>
      <c r="C27" s="160"/>
      <c r="D27" s="37">
        <v>2</v>
      </c>
      <c r="E27" s="33" t="s">
        <v>435</v>
      </c>
      <c r="F27" s="35"/>
      <c r="G27" s="103"/>
      <c r="H27" s="77"/>
      <c r="I27" s="169">
        <v>4224.43</v>
      </c>
      <c r="J27" s="250" t="e">
        <f>I27/'통장내역(환율표)'!#REF!</f>
        <v>#REF!</v>
      </c>
      <c r="K27" s="82" t="e">
        <f t="shared" si="2"/>
        <v>#REF!</v>
      </c>
      <c r="L27" s="38" t="e">
        <f t="shared" si="3"/>
        <v>#REF!</v>
      </c>
      <c r="M27" s="34" t="s">
        <v>211</v>
      </c>
      <c r="N27" s="45" t="e">
        <f t="shared" si="4"/>
        <v>#REF!</v>
      </c>
    </row>
    <row r="28" spans="1:14" s="5" customFormat="1" ht="13.5" customHeight="1">
      <c r="A28" s="255">
        <v>44890</v>
      </c>
      <c r="B28" s="253" t="s">
        <v>133</v>
      </c>
      <c r="C28" s="160"/>
      <c r="D28" s="37">
        <v>2</v>
      </c>
      <c r="E28" s="33" t="s">
        <v>435</v>
      </c>
      <c r="F28" s="35"/>
      <c r="G28" s="103"/>
      <c r="H28" s="77"/>
      <c r="I28" s="169">
        <v>2114.2899999999991</v>
      </c>
      <c r="J28" s="250" t="e">
        <f>I28/'통장내역(환율표)'!#REF!</f>
        <v>#REF!</v>
      </c>
      <c r="K28" s="82" t="e">
        <f t="shared" si="2"/>
        <v>#REF!</v>
      </c>
      <c r="L28" s="38" t="e">
        <f t="shared" si="3"/>
        <v>#REF!</v>
      </c>
      <c r="M28" s="34" t="s">
        <v>211</v>
      </c>
      <c r="N28" s="45" t="e">
        <f t="shared" si="4"/>
        <v>#REF!</v>
      </c>
    </row>
    <row r="29" spans="1:14" s="5" customFormat="1" ht="13.5" customHeight="1">
      <c r="A29" s="255">
        <v>44890</v>
      </c>
      <c r="B29" s="253" t="s">
        <v>345</v>
      </c>
      <c r="C29" s="160"/>
      <c r="D29" s="37">
        <v>2</v>
      </c>
      <c r="E29" s="33" t="s">
        <v>435</v>
      </c>
      <c r="F29" s="35"/>
      <c r="G29" s="103"/>
      <c r="H29" s="77"/>
      <c r="I29" s="169">
        <v>13500</v>
      </c>
      <c r="J29" s="250" t="e">
        <f>I29/'통장내역(환율표)'!#REF!</f>
        <v>#REF!</v>
      </c>
      <c r="K29" s="82" t="e">
        <f t="shared" si="2"/>
        <v>#REF!</v>
      </c>
      <c r="L29" s="38" t="e">
        <f t="shared" si="3"/>
        <v>#REF!</v>
      </c>
      <c r="M29" s="34" t="s">
        <v>211</v>
      </c>
      <c r="N29" s="45" t="e">
        <f t="shared" si="4"/>
        <v>#REF!</v>
      </c>
    </row>
    <row r="30" spans="1:14" s="5" customFormat="1" ht="13.5" customHeight="1">
      <c r="A30" s="255">
        <v>44890</v>
      </c>
      <c r="B30" s="253" t="s">
        <v>134</v>
      </c>
      <c r="C30" s="160"/>
      <c r="D30" s="37">
        <v>2</v>
      </c>
      <c r="E30" s="33" t="s">
        <v>435</v>
      </c>
      <c r="F30" s="35"/>
      <c r="G30" s="103"/>
      <c r="H30" s="77"/>
      <c r="I30" s="169">
        <v>14000</v>
      </c>
      <c r="J30" s="250" t="e">
        <f>I30/'통장내역(환율표)'!#REF!</f>
        <v>#REF!</v>
      </c>
      <c r="K30" s="82" t="e">
        <f t="shared" si="2"/>
        <v>#REF!</v>
      </c>
      <c r="L30" s="38" t="e">
        <f t="shared" si="3"/>
        <v>#REF!</v>
      </c>
      <c r="M30" s="34" t="s">
        <v>211</v>
      </c>
      <c r="N30" s="45" t="e">
        <f t="shared" si="4"/>
        <v>#REF!</v>
      </c>
    </row>
    <row r="31" spans="1:14" s="5" customFormat="1" ht="13.5" customHeight="1">
      <c r="A31" s="255">
        <v>44890</v>
      </c>
      <c r="B31" s="253" t="s">
        <v>130</v>
      </c>
      <c r="C31" s="160"/>
      <c r="D31" s="37">
        <v>2</v>
      </c>
      <c r="E31" s="33" t="s">
        <v>435</v>
      </c>
      <c r="F31" s="35"/>
      <c r="G31" s="103"/>
      <c r="H31" s="77"/>
      <c r="I31" s="169">
        <v>300</v>
      </c>
      <c r="J31" s="250" t="e">
        <f>I31/'통장내역(환율표)'!#REF!</f>
        <v>#REF!</v>
      </c>
      <c r="K31" s="82" t="e">
        <f t="shared" si="2"/>
        <v>#REF!</v>
      </c>
      <c r="L31" s="38" t="e">
        <f t="shared" si="3"/>
        <v>#REF!</v>
      </c>
      <c r="M31" s="34" t="s">
        <v>287</v>
      </c>
      <c r="N31" s="45" t="e">
        <f t="shared" si="4"/>
        <v>#REF!</v>
      </c>
    </row>
    <row r="32" spans="1:14" s="5" customFormat="1" ht="13.5" customHeight="1">
      <c r="A32" s="255">
        <v>44890</v>
      </c>
      <c r="B32" s="253" t="s">
        <v>131</v>
      </c>
      <c r="C32" s="160"/>
      <c r="D32" s="37">
        <v>2</v>
      </c>
      <c r="E32" s="33" t="s">
        <v>435</v>
      </c>
      <c r="F32" s="35"/>
      <c r="G32" s="103"/>
      <c r="H32" s="77"/>
      <c r="I32" s="169">
        <v>8308.0999999999985</v>
      </c>
      <c r="J32" s="250" t="e">
        <f>I32/'통장내역(환율표)'!#REF!</f>
        <v>#REF!</v>
      </c>
      <c r="K32" s="82" t="e">
        <f t="shared" si="2"/>
        <v>#REF!</v>
      </c>
      <c r="L32" s="38" t="e">
        <f t="shared" si="3"/>
        <v>#REF!</v>
      </c>
      <c r="M32" s="34" t="s">
        <v>287</v>
      </c>
      <c r="N32" s="45" t="e">
        <f t="shared" si="4"/>
        <v>#REF!</v>
      </c>
    </row>
    <row r="33" spans="1:14" s="5" customFormat="1" ht="13.5" customHeight="1">
      <c r="A33" s="255">
        <v>44890</v>
      </c>
      <c r="B33" s="253" t="s">
        <v>133</v>
      </c>
      <c r="C33" s="160"/>
      <c r="D33" s="37">
        <v>2</v>
      </c>
      <c r="E33" s="33" t="s">
        <v>435</v>
      </c>
      <c r="F33" s="35"/>
      <c r="G33" s="103"/>
      <c r="H33" s="77"/>
      <c r="I33" s="169">
        <v>1832.2600000000002</v>
      </c>
      <c r="J33" s="250" t="e">
        <f>I33/'통장내역(환율표)'!#REF!</f>
        <v>#REF!</v>
      </c>
      <c r="K33" s="82" t="e">
        <f t="shared" si="2"/>
        <v>#REF!</v>
      </c>
      <c r="L33" s="38" t="e">
        <f t="shared" si="3"/>
        <v>#REF!</v>
      </c>
      <c r="M33" s="34" t="s">
        <v>287</v>
      </c>
      <c r="N33" s="45" t="e">
        <f t="shared" si="4"/>
        <v>#REF!</v>
      </c>
    </row>
    <row r="34" spans="1:14" s="5" customFormat="1" ht="13.5" customHeight="1">
      <c r="A34" s="255">
        <v>44890</v>
      </c>
      <c r="B34" s="253" t="s">
        <v>345</v>
      </c>
      <c r="C34" s="160"/>
      <c r="D34" s="37">
        <v>2</v>
      </c>
      <c r="E34" s="33" t="s">
        <v>435</v>
      </c>
      <c r="F34" s="35"/>
      <c r="G34" s="103"/>
      <c r="H34" s="77"/>
      <c r="I34" s="169">
        <v>21490.329999999994</v>
      </c>
      <c r="J34" s="250" t="e">
        <f>I34/'통장내역(환율표)'!#REF!</f>
        <v>#REF!</v>
      </c>
      <c r="K34" s="82" t="e">
        <f t="shared" si="2"/>
        <v>#REF!</v>
      </c>
      <c r="L34" s="38" t="e">
        <f t="shared" si="3"/>
        <v>#REF!</v>
      </c>
      <c r="M34" s="34" t="s">
        <v>287</v>
      </c>
      <c r="N34" s="45" t="e">
        <f t="shared" si="4"/>
        <v>#REF!</v>
      </c>
    </row>
    <row r="35" spans="1:14" s="5" customFormat="1" ht="13.5" customHeight="1">
      <c r="A35" s="255">
        <v>44890</v>
      </c>
      <c r="B35" s="253" t="s">
        <v>250</v>
      </c>
      <c r="C35" s="160"/>
      <c r="D35" s="37">
        <v>2</v>
      </c>
      <c r="E35" s="33" t="s">
        <v>435</v>
      </c>
      <c r="F35" s="35"/>
      <c r="G35" s="103"/>
      <c r="H35" s="77"/>
      <c r="I35" s="169">
        <v>12</v>
      </c>
      <c r="J35" s="250" t="e">
        <f>I35/'통장내역(환율표)'!#REF!</f>
        <v>#REF!</v>
      </c>
      <c r="K35" s="82" t="e">
        <f t="shared" si="2"/>
        <v>#REF!</v>
      </c>
      <c r="L35" s="38" t="e">
        <f t="shared" si="3"/>
        <v>#REF!</v>
      </c>
      <c r="M35" s="34"/>
      <c r="N35" s="45" t="e">
        <f t="shared" si="4"/>
        <v>#REF!</v>
      </c>
    </row>
    <row r="36" spans="1:14" s="5" customFormat="1" ht="13.5" customHeight="1">
      <c r="A36" s="255">
        <v>44890</v>
      </c>
      <c r="B36" s="253" t="s">
        <v>304</v>
      </c>
      <c r="C36" s="160"/>
      <c r="D36" s="37">
        <v>3</v>
      </c>
      <c r="E36" s="33" t="s">
        <v>436</v>
      </c>
      <c r="F36" s="35" t="s">
        <v>437</v>
      </c>
      <c r="G36" s="103"/>
      <c r="H36" s="77"/>
      <c r="I36" s="169">
        <v>19440</v>
      </c>
      <c r="J36" s="250" t="e">
        <f>I36/'통장내역(환율표)'!#REF!</f>
        <v>#REF!</v>
      </c>
      <c r="K36" s="82" t="e">
        <f t="shared" si="2"/>
        <v>#REF!</v>
      </c>
      <c r="L36" s="38" t="e">
        <f t="shared" si="3"/>
        <v>#REF!</v>
      </c>
      <c r="M36" s="34"/>
      <c r="N36" s="45" t="e">
        <f t="shared" si="4"/>
        <v>#REF!</v>
      </c>
    </row>
    <row r="37" spans="1:14" s="5" customFormat="1" ht="13.5" customHeight="1">
      <c r="A37" s="255">
        <v>44890</v>
      </c>
      <c r="B37" s="253" t="s">
        <v>250</v>
      </c>
      <c r="C37" s="160"/>
      <c r="D37" s="37">
        <v>3</v>
      </c>
      <c r="E37" s="33" t="s">
        <v>435</v>
      </c>
      <c r="F37" s="35"/>
      <c r="G37" s="103"/>
      <c r="H37" s="77"/>
      <c r="I37" s="169">
        <v>7.2</v>
      </c>
      <c r="J37" s="250" t="e">
        <f>I37/'통장내역(환율표)'!#REF!</f>
        <v>#REF!</v>
      </c>
      <c r="K37" s="82" t="e">
        <f t="shared" si="2"/>
        <v>#REF!</v>
      </c>
      <c r="L37" s="38" t="e">
        <f t="shared" si="3"/>
        <v>#REF!</v>
      </c>
      <c r="M37" s="34"/>
      <c r="N37" s="45" t="e">
        <f t="shared" si="4"/>
        <v>#REF!</v>
      </c>
    </row>
    <row r="38" spans="1:14" s="5" customFormat="1" ht="13.5" customHeight="1">
      <c r="A38" s="255">
        <v>44890</v>
      </c>
      <c r="B38" s="253" t="s">
        <v>306</v>
      </c>
      <c r="C38" s="160"/>
      <c r="D38" s="37">
        <v>4</v>
      </c>
      <c r="E38" s="33" t="s">
        <v>435</v>
      </c>
      <c r="F38" s="35"/>
      <c r="G38" s="103"/>
      <c r="H38" s="77"/>
      <c r="I38" s="169">
        <v>1000</v>
      </c>
      <c r="J38" s="250" t="e">
        <f>I38/'통장내역(환율표)'!#REF!</f>
        <v>#REF!</v>
      </c>
      <c r="K38" s="82" t="e">
        <f t="shared" si="2"/>
        <v>#REF!</v>
      </c>
      <c r="L38" s="38" t="e">
        <f t="shared" si="3"/>
        <v>#REF!</v>
      </c>
      <c r="M38" s="34" t="s">
        <v>306</v>
      </c>
      <c r="N38" s="45" t="e">
        <f t="shared" si="4"/>
        <v>#REF!</v>
      </c>
    </row>
    <row r="39" spans="1:14" s="5" customFormat="1" ht="13.5" customHeight="1">
      <c r="A39" s="255">
        <v>44890</v>
      </c>
      <c r="B39" s="253" t="s">
        <v>250</v>
      </c>
      <c r="C39" s="160"/>
      <c r="D39" s="37">
        <v>4</v>
      </c>
      <c r="E39" s="33" t="s">
        <v>435</v>
      </c>
      <c r="F39" s="35"/>
      <c r="G39" s="103"/>
      <c r="H39" s="77"/>
      <c r="I39" s="169">
        <v>3.6</v>
      </c>
      <c r="J39" s="250" t="e">
        <f>I39/'통장내역(환율표)'!#REF!</f>
        <v>#REF!</v>
      </c>
      <c r="K39" s="82" t="e">
        <f t="shared" si="2"/>
        <v>#REF!</v>
      </c>
      <c r="L39" s="38" t="e">
        <f t="shared" si="3"/>
        <v>#REF!</v>
      </c>
      <c r="M39" s="34"/>
      <c r="N39" s="45" t="e">
        <f t="shared" si="4"/>
        <v>#REF!</v>
      </c>
    </row>
    <row r="40" spans="1:14" s="5" customFormat="1" ht="13.5" customHeight="1">
      <c r="A40" s="255">
        <v>44890</v>
      </c>
      <c r="B40" s="253" t="s">
        <v>423</v>
      </c>
      <c r="C40" s="160"/>
      <c r="D40" s="37">
        <v>5</v>
      </c>
      <c r="E40" s="33" t="s">
        <v>435</v>
      </c>
      <c r="F40" s="35"/>
      <c r="G40" s="103"/>
      <c r="H40" s="77"/>
      <c r="I40" s="169">
        <v>1262.51</v>
      </c>
      <c r="J40" s="250" t="e">
        <f>I40/'통장내역(환율표)'!#REF!</f>
        <v>#REF!</v>
      </c>
      <c r="K40" s="82" t="e">
        <f t="shared" si="2"/>
        <v>#REF!</v>
      </c>
      <c r="L40" s="38" t="e">
        <f t="shared" si="3"/>
        <v>#REF!</v>
      </c>
      <c r="M40" s="34" t="s">
        <v>438</v>
      </c>
      <c r="N40" s="45" t="e">
        <f t="shared" si="4"/>
        <v>#REF!</v>
      </c>
    </row>
    <row r="41" spans="1:14" s="5" customFormat="1" ht="13.5" customHeight="1">
      <c r="A41" s="255">
        <v>44890</v>
      </c>
      <c r="B41" s="253" t="s">
        <v>250</v>
      </c>
      <c r="C41" s="160"/>
      <c r="D41" s="37">
        <v>5</v>
      </c>
      <c r="E41" s="33" t="s">
        <v>435</v>
      </c>
      <c r="F41" s="35"/>
      <c r="G41" s="103"/>
      <c r="H41" s="77"/>
      <c r="I41" s="169">
        <v>3.6</v>
      </c>
      <c r="J41" s="250" t="e">
        <f>I41/'통장내역(환율표)'!#REF!</f>
        <v>#REF!</v>
      </c>
      <c r="K41" s="82" t="e">
        <f t="shared" si="2"/>
        <v>#REF!</v>
      </c>
      <c r="L41" s="38" t="e">
        <f t="shared" si="3"/>
        <v>#REF!</v>
      </c>
      <c r="M41" s="34"/>
      <c r="N41" s="45" t="e">
        <f t="shared" si="4"/>
        <v>#REF!</v>
      </c>
    </row>
    <row r="42" spans="1:14" s="5" customFormat="1" ht="13.5" customHeight="1">
      <c r="A42" s="255">
        <v>44890</v>
      </c>
      <c r="B42" s="253" t="s">
        <v>346</v>
      </c>
      <c r="C42" s="160"/>
      <c r="D42" s="37">
        <v>6</v>
      </c>
      <c r="E42" s="33" t="s">
        <v>75</v>
      </c>
      <c r="F42" s="35" t="s">
        <v>227</v>
      </c>
      <c r="G42" s="103"/>
      <c r="H42" s="77"/>
      <c r="I42" s="169">
        <v>10500</v>
      </c>
      <c r="J42" s="250" t="e">
        <f>I42/'통장내역(환율표)'!#REF!</f>
        <v>#REF!</v>
      </c>
      <c r="K42" s="82" t="e">
        <f t="shared" si="2"/>
        <v>#REF!</v>
      </c>
      <c r="L42" s="38" t="e">
        <f t="shared" si="3"/>
        <v>#REF!</v>
      </c>
      <c r="M42" s="34"/>
      <c r="N42" s="45" t="e">
        <f t="shared" si="4"/>
        <v>#REF!</v>
      </c>
    </row>
    <row r="43" spans="1:14" s="5" customFormat="1" ht="13.5" customHeight="1">
      <c r="A43" s="255">
        <v>44890</v>
      </c>
      <c r="B43" s="253" t="s">
        <v>347</v>
      </c>
      <c r="C43" s="160"/>
      <c r="D43" s="37">
        <v>6</v>
      </c>
      <c r="E43" s="33" t="s">
        <v>435</v>
      </c>
      <c r="F43" s="35"/>
      <c r="G43" s="103"/>
      <c r="H43" s="77"/>
      <c r="I43" s="169">
        <v>6000</v>
      </c>
      <c r="J43" s="250" t="e">
        <f>I43/'통장내역(환율표)'!#REF!</f>
        <v>#REF!</v>
      </c>
      <c r="K43" s="82" t="e">
        <f t="shared" si="2"/>
        <v>#REF!</v>
      </c>
      <c r="L43" s="38" t="e">
        <f t="shared" si="3"/>
        <v>#REF!</v>
      </c>
      <c r="M43" s="34"/>
      <c r="N43" s="45" t="e">
        <f t="shared" si="4"/>
        <v>#REF!</v>
      </c>
    </row>
    <row r="44" spans="1:14" s="5" customFormat="1" ht="13.5" customHeight="1">
      <c r="A44" s="255">
        <v>44890</v>
      </c>
      <c r="B44" s="253" t="s">
        <v>351</v>
      </c>
      <c r="C44" s="160"/>
      <c r="D44" s="37">
        <v>6</v>
      </c>
      <c r="E44" s="33" t="s">
        <v>435</v>
      </c>
      <c r="F44" s="35"/>
      <c r="G44" s="103"/>
      <c r="H44" s="77"/>
      <c r="I44" s="169">
        <v>270</v>
      </c>
      <c r="J44" s="250" t="e">
        <f>I44/'통장내역(환율표)'!#REF!</f>
        <v>#REF!</v>
      </c>
      <c r="K44" s="82" t="e">
        <f t="shared" si="2"/>
        <v>#REF!</v>
      </c>
      <c r="L44" s="38" t="e">
        <f t="shared" si="3"/>
        <v>#REF!</v>
      </c>
      <c r="M44" s="34"/>
      <c r="N44" s="45" t="e">
        <f t="shared" si="4"/>
        <v>#REF!</v>
      </c>
    </row>
    <row r="45" spans="1:14" s="5" customFormat="1" ht="13.5" customHeight="1">
      <c r="A45" s="255">
        <v>44890</v>
      </c>
      <c r="B45" s="253" t="s">
        <v>250</v>
      </c>
      <c r="C45" s="160"/>
      <c r="D45" s="37">
        <v>6</v>
      </c>
      <c r="E45" s="33" t="s">
        <v>435</v>
      </c>
      <c r="F45" s="35"/>
      <c r="G45" s="103"/>
      <c r="H45" s="77"/>
      <c r="I45" s="169">
        <v>7.2</v>
      </c>
      <c r="J45" s="250" t="e">
        <f>I45/'통장내역(환율표)'!#REF!</f>
        <v>#REF!</v>
      </c>
      <c r="K45" s="82" t="e">
        <f t="shared" si="2"/>
        <v>#REF!</v>
      </c>
      <c r="L45" s="38" t="e">
        <f t="shared" si="3"/>
        <v>#REF!</v>
      </c>
      <c r="M45" s="34"/>
      <c r="N45" s="45" t="e">
        <f t="shared" si="4"/>
        <v>#REF!</v>
      </c>
    </row>
    <row r="46" spans="1:14" s="5" customFormat="1" ht="13.5" customHeight="1">
      <c r="A46" s="255">
        <v>44890</v>
      </c>
      <c r="B46" s="253" t="s">
        <v>424</v>
      </c>
      <c r="C46" s="160"/>
      <c r="D46" s="37">
        <v>7</v>
      </c>
      <c r="E46" s="33" t="s">
        <v>439</v>
      </c>
      <c r="F46" s="35" t="s">
        <v>440</v>
      </c>
      <c r="G46" s="103"/>
      <c r="H46" s="77"/>
      <c r="I46" s="169">
        <v>1712</v>
      </c>
      <c r="J46" s="250" t="e">
        <f>I46/'통장내역(환율표)'!#REF!</f>
        <v>#REF!</v>
      </c>
      <c r="K46" s="82" t="e">
        <f t="shared" si="2"/>
        <v>#REF!</v>
      </c>
      <c r="L46" s="38" t="e">
        <f t="shared" si="3"/>
        <v>#REF!</v>
      </c>
      <c r="M46" s="34"/>
      <c r="N46" s="45" t="e">
        <f t="shared" si="4"/>
        <v>#REF!</v>
      </c>
    </row>
    <row r="47" spans="1:14" s="5" customFormat="1" ht="13.5" customHeight="1">
      <c r="A47" s="255">
        <v>44890</v>
      </c>
      <c r="B47" s="253" t="s">
        <v>425</v>
      </c>
      <c r="C47" s="160"/>
      <c r="D47" s="37">
        <v>7</v>
      </c>
      <c r="E47" s="33" t="s">
        <v>439</v>
      </c>
      <c r="F47" s="35" t="s">
        <v>440</v>
      </c>
      <c r="G47" s="103"/>
      <c r="H47" s="77"/>
      <c r="I47" s="169">
        <v>920</v>
      </c>
      <c r="J47" s="250" t="e">
        <f>I47/'통장내역(환율표)'!#REF!</f>
        <v>#REF!</v>
      </c>
      <c r="K47" s="82" t="e">
        <f t="shared" si="2"/>
        <v>#REF!</v>
      </c>
      <c r="L47" s="38" t="e">
        <f t="shared" si="3"/>
        <v>#REF!</v>
      </c>
      <c r="M47" s="34"/>
      <c r="N47" s="45" t="e">
        <f t="shared" si="4"/>
        <v>#REF!</v>
      </c>
    </row>
    <row r="48" spans="1:14" s="5" customFormat="1" ht="13.5" customHeight="1">
      <c r="A48" s="255">
        <v>44890</v>
      </c>
      <c r="B48" s="253" t="s">
        <v>426</v>
      </c>
      <c r="C48" s="160"/>
      <c r="D48" s="37">
        <v>7</v>
      </c>
      <c r="E48" s="33" t="s">
        <v>439</v>
      </c>
      <c r="F48" s="35" t="s">
        <v>440</v>
      </c>
      <c r="G48" s="103"/>
      <c r="H48" s="77"/>
      <c r="I48" s="169">
        <v>56</v>
      </c>
      <c r="J48" s="250" t="e">
        <f>I48/'통장내역(환율표)'!#REF!</f>
        <v>#REF!</v>
      </c>
      <c r="K48" s="82" t="e">
        <f t="shared" si="2"/>
        <v>#REF!</v>
      </c>
      <c r="L48" s="38" t="e">
        <f t="shared" si="3"/>
        <v>#REF!</v>
      </c>
      <c r="M48" s="34"/>
      <c r="N48" s="45" t="e">
        <f t="shared" si="4"/>
        <v>#REF!</v>
      </c>
    </row>
    <row r="49" spans="1:14" s="5" customFormat="1" ht="13.5" customHeight="1">
      <c r="A49" s="255">
        <v>44890</v>
      </c>
      <c r="B49" s="253" t="s">
        <v>250</v>
      </c>
      <c r="C49" s="160"/>
      <c r="D49" s="37">
        <v>7</v>
      </c>
      <c r="E49" s="33" t="s">
        <v>435</v>
      </c>
      <c r="F49" s="35"/>
      <c r="G49" s="103"/>
      <c r="H49" s="77"/>
      <c r="I49" s="169">
        <v>3.6</v>
      </c>
      <c r="J49" s="250" t="e">
        <f>I49/'통장내역(환율표)'!#REF!</f>
        <v>#REF!</v>
      </c>
      <c r="K49" s="82" t="e">
        <f t="shared" si="2"/>
        <v>#REF!</v>
      </c>
      <c r="L49" s="38" t="e">
        <f t="shared" si="3"/>
        <v>#REF!</v>
      </c>
      <c r="M49" s="34"/>
      <c r="N49" s="45" t="e">
        <f t="shared" si="4"/>
        <v>#REF!</v>
      </c>
    </row>
    <row r="50" spans="1:14" s="5" customFormat="1" ht="13.5" customHeight="1">
      <c r="A50" s="255">
        <v>44890</v>
      </c>
      <c r="B50" s="253" t="s">
        <v>400</v>
      </c>
      <c r="C50" s="160"/>
      <c r="D50" s="37">
        <v>8</v>
      </c>
      <c r="E50" s="33" t="s">
        <v>441</v>
      </c>
      <c r="F50" s="35" t="s">
        <v>444</v>
      </c>
      <c r="G50" s="103"/>
      <c r="H50" s="77"/>
      <c r="I50" s="169">
        <v>200</v>
      </c>
      <c r="J50" s="250">
        <v>27.96</v>
      </c>
      <c r="K50" s="82" t="e">
        <f t="shared" si="2"/>
        <v>#REF!</v>
      </c>
      <c r="L50" s="38" t="e">
        <f t="shared" si="3"/>
        <v>#REF!</v>
      </c>
      <c r="M50" s="34"/>
      <c r="N50" s="45" t="e">
        <f t="shared" si="4"/>
        <v>#REF!</v>
      </c>
    </row>
    <row r="51" spans="1:14" s="5" customFormat="1" ht="13.5" customHeight="1">
      <c r="A51" s="255">
        <v>44890</v>
      </c>
      <c r="B51" s="253" t="s">
        <v>427</v>
      </c>
      <c r="C51" s="160"/>
      <c r="D51" s="37">
        <v>8</v>
      </c>
      <c r="E51" s="33" t="s">
        <v>442</v>
      </c>
      <c r="F51" s="35"/>
      <c r="G51" s="103"/>
      <c r="H51" s="77"/>
      <c r="I51" s="169">
        <v>4902</v>
      </c>
      <c r="J51" s="250" t="e">
        <f>I51/'통장내역(환율표)'!#REF!</f>
        <v>#REF!</v>
      </c>
      <c r="K51" s="82" t="e">
        <f t="shared" si="2"/>
        <v>#REF!</v>
      </c>
      <c r="L51" s="38" t="e">
        <f t="shared" si="3"/>
        <v>#REF!</v>
      </c>
      <c r="M51" s="34"/>
      <c r="N51" s="45" t="e">
        <f t="shared" si="4"/>
        <v>#REF!</v>
      </c>
    </row>
    <row r="52" spans="1:14" s="5" customFormat="1" ht="13.5" customHeight="1">
      <c r="A52" s="255">
        <v>44890</v>
      </c>
      <c r="B52" s="253" t="s">
        <v>250</v>
      </c>
      <c r="C52" s="160"/>
      <c r="D52" s="37">
        <v>8</v>
      </c>
      <c r="E52" s="33" t="s">
        <v>435</v>
      </c>
      <c r="F52" s="35"/>
      <c r="G52" s="103"/>
      <c r="H52" s="77"/>
      <c r="I52" s="169">
        <v>3.6</v>
      </c>
      <c r="J52" s="250" t="e">
        <f>I52/'통장내역(환율표)'!#REF!</f>
        <v>#REF!</v>
      </c>
      <c r="K52" s="82" t="e">
        <f t="shared" si="2"/>
        <v>#REF!</v>
      </c>
      <c r="L52" s="38" t="e">
        <f t="shared" si="3"/>
        <v>#REF!</v>
      </c>
      <c r="M52" s="34"/>
      <c r="N52" s="45" t="e">
        <f t="shared" si="4"/>
        <v>#REF!</v>
      </c>
    </row>
    <row r="53" spans="1:14" s="5" customFormat="1" ht="13.5" customHeight="1">
      <c r="A53" s="255">
        <v>44890</v>
      </c>
      <c r="B53" s="253" t="s">
        <v>428</v>
      </c>
      <c r="C53" s="160"/>
      <c r="D53" s="37">
        <v>9</v>
      </c>
      <c r="E53" s="33" t="s">
        <v>441</v>
      </c>
      <c r="F53" s="35" t="s">
        <v>444</v>
      </c>
      <c r="G53" s="103"/>
      <c r="H53" s="77"/>
      <c r="I53" s="169">
        <v>98.5</v>
      </c>
      <c r="J53" s="250">
        <v>13.77</v>
      </c>
      <c r="K53" s="82" t="e">
        <f t="shared" si="2"/>
        <v>#REF!</v>
      </c>
      <c r="L53" s="38" t="e">
        <f t="shared" si="3"/>
        <v>#REF!</v>
      </c>
      <c r="M53" s="34"/>
      <c r="N53" s="45" t="e">
        <f t="shared" si="4"/>
        <v>#REF!</v>
      </c>
    </row>
    <row r="54" spans="1:14" s="5" customFormat="1" ht="13.5" customHeight="1">
      <c r="A54" s="255">
        <v>44890</v>
      </c>
      <c r="B54" s="253" t="s">
        <v>429</v>
      </c>
      <c r="C54" s="160"/>
      <c r="D54" s="37">
        <v>9</v>
      </c>
      <c r="E54" s="33" t="s">
        <v>439</v>
      </c>
      <c r="F54" s="35" t="s">
        <v>440</v>
      </c>
      <c r="G54" s="103"/>
      <c r="H54" s="77"/>
      <c r="I54" s="169">
        <v>583.04</v>
      </c>
      <c r="J54" s="250" t="e">
        <f>I54/'통장내역(환율표)'!#REF!</f>
        <v>#REF!</v>
      </c>
      <c r="K54" s="82" t="e">
        <f t="shared" si="2"/>
        <v>#REF!</v>
      </c>
      <c r="L54" s="38" t="e">
        <f t="shared" si="3"/>
        <v>#REF!</v>
      </c>
      <c r="M54" s="34"/>
      <c r="N54" s="45" t="e">
        <f t="shared" si="4"/>
        <v>#REF!</v>
      </c>
    </row>
    <row r="55" spans="1:14" s="5" customFormat="1" ht="13.5" customHeight="1">
      <c r="A55" s="255">
        <v>44890</v>
      </c>
      <c r="B55" s="253" t="s">
        <v>430</v>
      </c>
      <c r="C55" s="160"/>
      <c r="D55" s="37">
        <v>9</v>
      </c>
      <c r="E55" s="33" t="s">
        <v>435</v>
      </c>
      <c r="F55" s="35"/>
      <c r="G55" s="103"/>
      <c r="H55" s="77"/>
      <c r="I55" s="169">
        <v>172.21</v>
      </c>
      <c r="J55" s="250" t="e">
        <f>I55/'통장내역(환율표)'!#REF!</f>
        <v>#REF!</v>
      </c>
      <c r="K55" s="82" t="e">
        <f t="shared" si="2"/>
        <v>#REF!</v>
      </c>
      <c r="L55" s="38" t="e">
        <f t="shared" si="3"/>
        <v>#REF!</v>
      </c>
      <c r="M55" s="34"/>
      <c r="N55" s="45" t="e">
        <f t="shared" si="4"/>
        <v>#REF!</v>
      </c>
    </row>
    <row r="56" spans="1:14" s="5" customFormat="1" ht="13.5" customHeight="1">
      <c r="A56" s="255">
        <v>44890</v>
      </c>
      <c r="B56" s="253" t="s">
        <v>431</v>
      </c>
      <c r="C56" s="160"/>
      <c r="D56" s="37">
        <v>9</v>
      </c>
      <c r="E56" s="33" t="s">
        <v>435</v>
      </c>
      <c r="F56" s="35"/>
      <c r="G56" s="103"/>
      <c r="H56" s="77"/>
      <c r="I56" s="169">
        <f>19.7+1003</f>
        <v>1022.7</v>
      </c>
      <c r="J56" s="250" t="e">
        <f>I56/'통장내역(환율표)'!#REF!</f>
        <v>#REF!</v>
      </c>
      <c r="K56" s="82" t="e">
        <f t="shared" si="2"/>
        <v>#REF!</v>
      </c>
      <c r="L56" s="38" t="e">
        <f t="shared" si="3"/>
        <v>#REF!</v>
      </c>
      <c r="M56" s="34"/>
      <c r="N56" s="45" t="e">
        <f t="shared" si="4"/>
        <v>#REF!</v>
      </c>
    </row>
    <row r="57" spans="1:14" s="5" customFormat="1" ht="13.5" customHeight="1">
      <c r="A57" s="255">
        <v>44890</v>
      </c>
      <c r="B57" s="253" t="s">
        <v>250</v>
      </c>
      <c r="C57" s="160"/>
      <c r="D57" s="37">
        <v>9</v>
      </c>
      <c r="E57" s="33" t="s">
        <v>435</v>
      </c>
      <c r="F57" s="35"/>
      <c r="G57" s="103"/>
      <c r="H57" s="77"/>
      <c r="I57" s="169">
        <v>3.6</v>
      </c>
      <c r="J57" s="250" t="e">
        <f>I57/'통장내역(환율표)'!#REF!</f>
        <v>#REF!</v>
      </c>
      <c r="K57" s="82" t="e">
        <f t="shared" si="2"/>
        <v>#REF!</v>
      </c>
      <c r="L57" s="38" t="e">
        <f t="shared" si="3"/>
        <v>#REF!</v>
      </c>
      <c r="M57" s="34"/>
      <c r="N57" s="45" t="e">
        <f t="shared" si="4"/>
        <v>#REF!</v>
      </c>
    </row>
    <row r="58" spans="1:14" s="5" customFormat="1" ht="13.5" customHeight="1">
      <c r="A58" s="255">
        <v>44890</v>
      </c>
      <c r="B58" s="253" t="s">
        <v>432</v>
      </c>
      <c r="C58" s="160"/>
      <c r="D58" s="37">
        <v>10</v>
      </c>
      <c r="E58" s="33" t="s">
        <v>435</v>
      </c>
      <c r="F58" s="35"/>
      <c r="G58" s="103"/>
      <c r="H58" s="77"/>
      <c r="I58" s="169">
        <v>300</v>
      </c>
      <c r="J58" s="250" t="e">
        <f>I58/'통장내역(환율표)'!#REF!</f>
        <v>#REF!</v>
      </c>
      <c r="K58" s="82" t="e">
        <f t="shared" si="2"/>
        <v>#REF!</v>
      </c>
      <c r="L58" s="38" t="e">
        <f t="shared" si="3"/>
        <v>#REF!</v>
      </c>
      <c r="M58" s="34"/>
      <c r="N58" s="45" t="e">
        <f t="shared" si="4"/>
        <v>#REF!</v>
      </c>
    </row>
    <row r="59" spans="1:14" s="5" customFormat="1" ht="13.5" customHeight="1">
      <c r="A59" s="255">
        <v>44890</v>
      </c>
      <c r="B59" s="253" t="s">
        <v>447</v>
      </c>
      <c r="C59" s="160"/>
      <c r="D59" s="37">
        <v>10</v>
      </c>
      <c r="E59" s="33" t="s">
        <v>435</v>
      </c>
      <c r="F59" s="35"/>
      <c r="G59" s="103"/>
      <c r="H59" s="77"/>
      <c r="I59" s="169">
        <f>227.46-34.98</f>
        <v>192.48000000000002</v>
      </c>
      <c r="J59" s="250" t="e">
        <f>I59/'통장내역(환율표)'!#REF!</f>
        <v>#REF!</v>
      </c>
      <c r="K59" s="82" t="e">
        <f t="shared" si="2"/>
        <v>#REF!</v>
      </c>
      <c r="L59" s="38" t="e">
        <f t="shared" si="3"/>
        <v>#REF!</v>
      </c>
      <c r="M59" s="34"/>
      <c r="N59" s="45" t="e">
        <f t="shared" si="4"/>
        <v>#REF!</v>
      </c>
    </row>
    <row r="60" spans="1:14" s="5" customFormat="1" ht="13.5" customHeight="1">
      <c r="A60" s="255">
        <v>44890</v>
      </c>
      <c r="B60" s="253" t="s">
        <v>250</v>
      </c>
      <c r="C60" s="160"/>
      <c r="D60" s="37">
        <v>10</v>
      </c>
      <c r="E60" s="33" t="s">
        <v>435</v>
      </c>
      <c r="F60" s="35"/>
      <c r="G60" s="103"/>
      <c r="H60" s="77"/>
      <c r="I60" s="169">
        <v>3.6</v>
      </c>
      <c r="J60" s="250" t="e">
        <f>I60/'통장내역(환율표)'!#REF!</f>
        <v>#REF!</v>
      </c>
      <c r="K60" s="82" t="e">
        <f t="shared" si="2"/>
        <v>#REF!</v>
      </c>
      <c r="L60" s="38" t="e">
        <f t="shared" si="3"/>
        <v>#REF!</v>
      </c>
      <c r="M60" s="34"/>
      <c r="N60" s="45" t="e">
        <f t="shared" si="4"/>
        <v>#REF!</v>
      </c>
    </row>
    <row r="61" spans="1:14" s="5" customFormat="1" ht="13.5" customHeight="1">
      <c r="A61" s="255">
        <v>44890</v>
      </c>
      <c r="B61" s="253" t="s">
        <v>422</v>
      </c>
      <c r="C61" s="160"/>
      <c r="D61" s="37">
        <v>11</v>
      </c>
      <c r="E61" s="33" t="s">
        <v>435</v>
      </c>
      <c r="F61" s="35"/>
      <c r="G61" s="103"/>
      <c r="H61" s="77"/>
      <c r="I61" s="169">
        <v>206</v>
      </c>
      <c r="J61" s="250" t="e">
        <f>I61/'통장내역(환율표)'!#REF!</f>
        <v>#REF!</v>
      </c>
      <c r="K61" s="82" t="e">
        <f t="shared" si="2"/>
        <v>#REF!</v>
      </c>
      <c r="L61" s="38" t="e">
        <f t="shared" si="3"/>
        <v>#REF!</v>
      </c>
      <c r="M61" s="34"/>
      <c r="N61" s="45" t="e">
        <f t="shared" si="4"/>
        <v>#REF!</v>
      </c>
    </row>
    <row r="62" spans="1:14" s="5" customFormat="1" ht="13.5" customHeight="1">
      <c r="A62" s="255">
        <v>44890</v>
      </c>
      <c r="B62" s="253" t="s">
        <v>250</v>
      </c>
      <c r="C62" s="160"/>
      <c r="D62" s="37">
        <v>11</v>
      </c>
      <c r="E62" s="33" t="s">
        <v>435</v>
      </c>
      <c r="F62" s="35"/>
      <c r="G62" s="103"/>
      <c r="H62" s="77"/>
      <c r="I62" s="169">
        <v>3.6</v>
      </c>
      <c r="J62" s="250" t="e">
        <f>I62/'통장내역(환율표)'!#REF!</f>
        <v>#REF!</v>
      </c>
      <c r="K62" s="82" t="e">
        <f t="shared" si="2"/>
        <v>#REF!</v>
      </c>
      <c r="L62" s="38" t="e">
        <f t="shared" si="3"/>
        <v>#REF!</v>
      </c>
      <c r="M62" s="34"/>
      <c r="N62" s="45" t="e">
        <f t="shared" si="4"/>
        <v>#REF!</v>
      </c>
    </row>
    <row r="63" spans="1:14" s="5" customFormat="1" ht="13.5" customHeight="1">
      <c r="A63" s="255">
        <v>44890</v>
      </c>
      <c r="B63" s="253" t="s">
        <v>443</v>
      </c>
      <c r="C63" s="160"/>
      <c r="D63" s="37">
        <v>12</v>
      </c>
      <c r="E63" s="33" t="s">
        <v>441</v>
      </c>
      <c r="F63" s="35" t="s">
        <v>444</v>
      </c>
      <c r="G63" s="103"/>
      <c r="H63" s="77"/>
      <c r="I63" s="169">
        <v>396.5</v>
      </c>
      <c r="J63" s="250" t="e">
        <f>I63/'통장내역(환율표)'!#REF!</f>
        <v>#REF!</v>
      </c>
      <c r="K63" s="82" t="e">
        <f t="shared" si="2"/>
        <v>#REF!</v>
      </c>
      <c r="L63" s="38" t="e">
        <f t="shared" si="3"/>
        <v>#REF!</v>
      </c>
      <c r="M63" s="34"/>
      <c r="N63" s="45" t="e">
        <f t="shared" si="4"/>
        <v>#REF!</v>
      </c>
    </row>
    <row r="64" spans="1:14" s="5" customFormat="1" ht="13.5" customHeight="1">
      <c r="A64" s="255">
        <v>44890</v>
      </c>
      <c r="B64" s="253" t="s">
        <v>250</v>
      </c>
      <c r="C64" s="160"/>
      <c r="D64" s="37">
        <v>12</v>
      </c>
      <c r="E64" s="33" t="s">
        <v>435</v>
      </c>
      <c r="F64" s="35"/>
      <c r="G64" s="103"/>
      <c r="H64" s="77"/>
      <c r="I64" s="169">
        <v>3.6</v>
      </c>
      <c r="J64" s="250" t="e">
        <f>I64/'통장내역(환율표)'!#REF!</f>
        <v>#REF!</v>
      </c>
      <c r="K64" s="82" t="e">
        <f t="shared" si="2"/>
        <v>#REF!</v>
      </c>
      <c r="L64" s="38" t="e">
        <f t="shared" si="3"/>
        <v>#REF!</v>
      </c>
      <c r="M64" s="34"/>
      <c r="N64" s="45" t="e">
        <f t="shared" si="4"/>
        <v>#REF!</v>
      </c>
    </row>
    <row r="65" spans="9:9">
      <c r="I65" s="251"/>
    </row>
  </sheetData>
  <autoFilter ref="A16:N68" xr:uid="{00000000-0009-0000-0000-00000A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5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70"/>
  <sheetViews>
    <sheetView showGridLines="0" zoomScale="85" zoomScaleNormal="85" workbookViewId="0">
      <selection activeCell="D51" sqref="D51"/>
    </sheetView>
  </sheetViews>
  <sheetFormatPr defaultRowHeight="17.399999999999999"/>
  <cols>
    <col min="1" max="1" width="10.19921875" bestFit="1" customWidth="1"/>
    <col min="2" max="2" width="30.69921875" customWidth="1"/>
    <col min="3" max="3" width="11.5976562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9.59765625" bestFit="1" customWidth="1"/>
  </cols>
  <sheetData>
    <row r="1" spans="1:14" ht="24">
      <c r="A1" s="1" t="s">
        <v>449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>
      <c r="A2" s="5" t="s">
        <v>491</v>
      </c>
      <c r="B2" s="2"/>
      <c r="C2" s="2"/>
      <c r="E2" s="4">
        <v>100077177</v>
      </c>
      <c r="F2" s="7"/>
      <c r="G2" s="5" t="s">
        <v>492</v>
      </c>
      <c r="H2" s="2"/>
      <c r="I2" s="2"/>
      <c r="K2" s="4">
        <v>100077182</v>
      </c>
      <c r="L2" s="139">
        <v>1200000696</v>
      </c>
    </row>
    <row r="3" spans="1:14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5.6">
      <c r="A4" s="114" t="s">
        <v>292</v>
      </c>
      <c r="B4" s="115"/>
      <c r="C4" s="116"/>
      <c r="D4" s="116"/>
      <c r="E4" s="117"/>
      <c r="F4" s="172"/>
      <c r="G4" s="114" t="s">
        <v>292</v>
      </c>
      <c r="H4" s="115"/>
      <c r="I4" s="116"/>
      <c r="J4" s="116"/>
      <c r="K4" s="117"/>
      <c r="L4" s="119"/>
    </row>
    <row r="5" spans="1:14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1552</v>
      </c>
      <c r="J5" s="116">
        <v>223.14857594584163</v>
      </c>
      <c r="K5" s="117">
        <v>291568</v>
      </c>
      <c r="L5" s="240">
        <f>K5+E5</f>
        <v>291568</v>
      </c>
    </row>
    <row r="6" spans="1:14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9203.1239999999998</v>
      </c>
      <c r="J6" s="116">
        <v>1323.2371229722924</v>
      </c>
      <c r="K6" s="117">
        <v>1728945</v>
      </c>
      <c r="L6" s="240">
        <f t="shared" ref="L6:L10" si="0">K6+E6</f>
        <v>1728945</v>
      </c>
    </row>
    <row r="7" spans="1:14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2795.1084512803873</v>
      </c>
      <c r="K7" s="117">
        <v>3652091</v>
      </c>
      <c r="L7" s="240">
        <f t="shared" si="0"/>
        <v>3652091</v>
      </c>
    </row>
    <row r="8" spans="1:14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1509.7036388088511</v>
      </c>
      <c r="K8" s="117">
        <v>1972574</v>
      </c>
      <c r="L8" s="240">
        <f t="shared" si="0"/>
        <v>1972574</v>
      </c>
    </row>
    <row r="9" spans="1:14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896.5</v>
      </c>
      <c r="J9" s="116">
        <v>128.89993449448906</v>
      </c>
      <c r="K9" s="117">
        <v>168421</v>
      </c>
      <c r="L9" s="240">
        <f t="shared" si="0"/>
        <v>168421</v>
      </c>
    </row>
    <row r="10" spans="1:14" s="5" customFormat="1" ht="15.6">
      <c r="A10" s="114" t="s">
        <v>62</v>
      </c>
      <c r="B10" s="115"/>
      <c r="C10" s="116">
        <v>35809.301177232832</v>
      </c>
      <c r="D10" s="116">
        <v>5006.8088108756947</v>
      </c>
      <c r="E10" s="117">
        <v>6850818</v>
      </c>
      <c r="F10" s="121">
        <v>51321010</v>
      </c>
      <c r="G10" s="114" t="s">
        <v>62</v>
      </c>
      <c r="H10" s="115"/>
      <c r="I10" s="116">
        <v>84589.078822767246</v>
      </c>
      <c r="J10" s="116">
        <v>12188.327628782899</v>
      </c>
      <c r="K10" s="117">
        <v>15925272</v>
      </c>
      <c r="L10" s="240">
        <f t="shared" si="0"/>
        <v>22776090</v>
      </c>
    </row>
    <row r="11" spans="1:14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5.6">
      <c r="A12" s="2045" t="s">
        <v>299</v>
      </c>
      <c r="B12" s="2046"/>
      <c r="C12" s="124">
        <f>SUM(C4:C11)</f>
        <v>35809.301177232832</v>
      </c>
      <c r="D12" s="124">
        <f>SUM(D4:D11)</f>
        <v>5006.8088108756947</v>
      </c>
      <c r="E12" s="125">
        <f>SUM(E4:E11)</f>
        <v>6850818</v>
      </c>
      <c r="F12" s="121">
        <v>52981010</v>
      </c>
      <c r="G12" s="2045" t="s">
        <v>299</v>
      </c>
      <c r="H12" s="2046"/>
      <c r="I12" s="124">
        <f>SUM(I4:I11)</f>
        <v>126180.70282276724</v>
      </c>
      <c r="J12" s="124">
        <f>SUM(J4:J11)</f>
        <v>18168.425352284761</v>
      </c>
      <c r="K12" s="125">
        <f>SUM(K4:K10)</f>
        <v>23738871</v>
      </c>
      <c r="L12" s="119"/>
    </row>
    <row r="13" spans="1:14" s="5" customFormat="1" ht="15.6">
      <c r="A13" s="126"/>
      <c r="B13" s="127"/>
      <c r="C13" s="128">
        <f>C12+I12</f>
        <v>161990.00400000007</v>
      </c>
      <c r="D13" s="128">
        <f t="shared" ref="D13:E13" si="1">D12+J12</f>
        <v>23175.234163160458</v>
      </c>
      <c r="E13" s="242">
        <f t="shared" si="1"/>
        <v>30589689</v>
      </c>
      <c r="F13" s="118"/>
      <c r="G13" s="130"/>
      <c r="H13" s="130"/>
      <c r="I13" s="131"/>
      <c r="J13" s="130"/>
      <c r="K13" s="119">
        <v>16280.085986968166</v>
      </c>
      <c r="L13" s="245">
        <v>2425.7418328151257</v>
      </c>
      <c r="N13" s="45"/>
    </row>
    <row r="14" spans="1:14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 t="e">
        <f>SUBTOTAL(9,H17:H69)</f>
        <v>#REF!</v>
      </c>
      <c r="I14" s="137" t="e">
        <f>SUBTOTAL(9,I17:I84)</f>
        <v>#REF!</v>
      </c>
      <c r="J14" s="137" t="e">
        <f>SUBTOTAL(9,J17:J82)</f>
        <v>#REF!</v>
      </c>
      <c r="K14" s="139"/>
      <c r="L14" s="45"/>
    </row>
    <row r="15" spans="1:14" s="5" customFormat="1" ht="15.6">
      <c r="A15" s="2063" t="s">
        <v>300</v>
      </c>
      <c r="B15" s="2063" t="s">
        <v>25</v>
      </c>
      <c r="C15" s="2063"/>
      <c r="D15" s="2063" t="s">
        <v>26</v>
      </c>
      <c r="E15" s="2063" t="s">
        <v>1</v>
      </c>
      <c r="F15" s="2063" t="s">
        <v>2</v>
      </c>
      <c r="G15" s="2061" t="s">
        <v>232</v>
      </c>
      <c r="H15" s="2061"/>
      <c r="I15" s="2061" t="s">
        <v>30</v>
      </c>
      <c r="J15" s="2061"/>
      <c r="K15" s="2062" t="s">
        <v>31</v>
      </c>
      <c r="L15" s="2062"/>
      <c r="M15" s="2063" t="s">
        <v>32</v>
      </c>
    </row>
    <row r="16" spans="1:14" s="5" customFormat="1" ht="14.25" customHeight="1">
      <c r="A16" s="2063"/>
      <c r="B16" s="2063"/>
      <c r="C16" s="2063"/>
      <c r="D16" s="2063"/>
      <c r="E16" s="2063"/>
      <c r="F16" s="2063"/>
      <c r="G16" s="260" t="s">
        <v>302</v>
      </c>
      <c r="H16" s="261" t="s">
        <v>34</v>
      </c>
      <c r="I16" s="67" t="s">
        <v>33</v>
      </c>
      <c r="J16" s="67" t="s">
        <v>34</v>
      </c>
      <c r="K16" s="261" t="s">
        <v>33</v>
      </c>
      <c r="L16" s="261" t="s">
        <v>34</v>
      </c>
      <c r="M16" s="2063"/>
    </row>
    <row r="17" spans="1:14" s="5" customFormat="1" ht="13.5" customHeight="1">
      <c r="A17" s="229">
        <v>44895</v>
      </c>
      <c r="B17" s="155" t="s">
        <v>65</v>
      </c>
      <c r="C17" s="156"/>
      <c r="D17" s="232"/>
      <c r="E17" s="231"/>
      <c r="F17" s="232"/>
      <c r="G17" s="233"/>
      <c r="H17" s="233"/>
      <c r="I17" s="233"/>
      <c r="J17" s="233"/>
      <c r="K17" s="233">
        <v>35714.278670473956</v>
      </c>
      <c r="L17" s="233">
        <v>4993.5686105835794</v>
      </c>
      <c r="M17" s="232"/>
      <c r="N17" s="45">
        <v>4993.5665847811088</v>
      </c>
    </row>
    <row r="18" spans="1:14" s="5" customFormat="1" ht="13.5" customHeight="1">
      <c r="A18" s="57">
        <v>44908</v>
      </c>
      <c r="B18" s="173" t="s">
        <v>421</v>
      </c>
      <c r="C18" s="174"/>
      <c r="D18" s="60"/>
      <c r="E18" s="59"/>
      <c r="F18" s="61"/>
      <c r="G18" s="175">
        <v>168306.45</v>
      </c>
      <c r="H18" s="62">
        <v>24225.32</v>
      </c>
      <c r="I18" s="262"/>
      <c r="J18" s="175"/>
      <c r="K18" s="262">
        <f t="shared" ref="K18:L20" si="2">K17+G18-I18</f>
        <v>204020.72867047397</v>
      </c>
      <c r="L18" s="62">
        <f t="shared" si="2"/>
        <v>29218.888610583577</v>
      </c>
      <c r="M18" s="58"/>
      <c r="N18" s="45"/>
    </row>
    <row r="19" spans="1:14" s="5" customFormat="1" ht="13.5" customHeight="1">
      <c r="A19" s="57">
        <v>44908</v>
      </c>
      <c r="B19" s="173" t="s">
        <v>445</v>
      </c>
      <c r="C19" s="174"/>
      <c r="D19" s="60">
        <v>1</v>
      </c>
      <c r="E19" s="59" t="s">
        <v>481</v>
      </c>
      <c r="F19" s="61"/>
      <c r="G19" s="175"/>
      <c r="H19" s="62"/>
      <c r="I19" s="262"/>
      <c r="J19" s="54">
        <v>26</v>
      </c>
      <c r="K19" s="262">
        <f t="shared" si="2"/>
        <v>204020.72867047397</v>
      </c>
      <c r="L19" s="62">
        <f t="shared" si="2"/>
        <v>29192.888610583577</v>
      </c>
      <c r="M19" s="58"/>
      <c r="N19" s="45"/>
    </row>
    <row r="20" spans="1:14" s="5" customFormat="1" ht="13.5" customHeight="1">
      <c r="A20" s="255">
        <v>44916</v>
      </c>
      <c r="B20" s="239" t="s">
        <v>450</v>
      </c>
      <c r="C20" s="160"/>
      <c r="D20" s="37">
        <v>2</v>
      </c>
      <c r="E20" s="33" t="s">
        <v>366</v>
      </c>
      <c r="F20" s="35"/>
      <c r="G20" s="103">
        <v>94.71</v>
      </c>
      <c r="H20" s="53" t="e">
        <f>G20/'통장내역(환율표)'!#REF!</f>
        <v>#REF!</v>
      </c>
      <c r="I20" s="263"/>
      <c r="J20" s="53" t="e">
        <f>I20/'통장내역(환율표)'!#REF!</f>
        <v>#REF!</v>
      </c>
      <c r="K20" s="263">
        <f t="shared" si="2"/>
        <v>204115.43867047396</v>
      </c>
      <c r="L20" s="38" t="e">
        <f t="shared" si="2"/>
        <v>#REF!</v>
      </c>
      <c r="M20" s="276">
        <v>18116</v>
      </c>
      <c r="N20" s="45" t="e">
        <f>N17-J20+H20</f>
        <v>#REF!</v>
      </c>
    </row>
    <row r="21" spans="1:14" s="5" customFormat="1" ht="13.5" customHeight="1">
      <c r="A21" s="255">
        <v>44920</v>
      </c>
      <c r="B21" s="239" t="s">
        <v>454</v>
      </c>
      <c r="C21" s="160"/>
      <c r="D21" s="37">
        <v>3</v>
      </c>
      <c r="E21" s="33" t="s">
        <v>481</v>
      </c>
      <c r="F21" s="35"/>
      <c r="G21" s="103"/>
      <c r="H21" s="38"/>
      <c r="I21" s="267">
        <v>7599.43</v>
      </c>
      <c r="J21" s="53" t="e">
        <f>I21/'통장내역(환율표)'!#REF!</f>
        <v>#REF!</v>
      </c>
      <c r="K21" s="263">
        <f t="shared" ref="K21:K24" si="3">K20+G21-I21</f>
        <v>196516.00867047397</v>
      </c>
      <c r="L21" s="38" t="e">
        <f t="shared" ref="L21:L24" si="4">L20+H21-J21</f>
        <v>#REF!</v>
      </c>
      <c r="M21" s="34" t="s">
        <v>451</v>
      </c>
      <c r="N21" s="45" t="e">
        <f>N20-J21+H21</f>
        <v>#REF!</v>
      </c>
    </row>
    <row r="22" spans="1:14" s="5" customFormat="1" ht="13.5" customHeight="1">
      <c r="A22" s="255">
        <v>44920</v>
      </c>
      <c r="B22" s="239" t="s">
        <v>455</v>
      </c>
      <c r="C22" s="160"/>
      <c r="D22" s="37">
        <v>3</v>
      </c>
      <c r="E22" s="33" t="s">
        <v>21</v>
      </c>
      <c r="F22" s="35"/>
      <c r="G22" s="103"/>
      <c r="H22" s="38"/>
      <c r="I22" s="267">
        <v>5104.5900000000038</v>
      </c>
      <c r="J22" s="53" t="e">
        <f>I22/'통장내역(환율표)'!#REF!</f>
        <v>#REF!</v>
      </c>
      <c r="K22" s="263">
        <f t="shared" si="3"/>
        <v>191411.41867047397</v>
      </c>
      <c r="L22" s="38" t="e">
        <f t="shared" si="4"/>
        <v>#REF!</v>
      </c>
      <c r="M22" s="34" t="s">
        <v>451</v>
      </c>
      <c r="N22" s="45" t="e">
        <f t="shared" ref="N22:N24" si="5">N21-J22+H22</f>
        <v>#REF!</v>
      </c>
    </row>
    <row r="23" spans="1:14" s="5" customFormat="1" ht="13.5" customHeight="1">
      <c r="A23" s="255">
        <v>44920</v>
      </c>
      <c r="B23" s="239" t="s">
        <v>456</v>
      </c>
      <c r="C23" s="160"/>
      <c r="D23" s="37">
        <v>3</v>
      </c>
      <c r="E23" s="33" t="s">
        <v>21</v>
      </c>
      <c r="F23" s="35"/>
      <c r="G23" s="103"/>
      <c r="H23" s="38"/>
      <c r="I23" s="267">
        <v>13500</v>
      </c>
      <c r="J23" s="53" t="e">
        <f>I23/'통장내역(환율표)'!#REF!</f>
        <v>#REF!</v>
      </c>
      <c r="K23" s="263">
        <f t="shared" si="3"/>
        <v>177911.41867047397</v>
      </c>
      <c r="L23" s="38" t="e">
        <f t="shared" si="4"/>
        <v>#REF!</v>
      </c>
      <c r="M23" s="34" t="s">
        <v>451</v>
      </c>
      <c r="N23" s="45" t="e">
        <f t="shared" si="5"/>
        <v>#REF!</v>
      </c>
    </row>
    <row r="24" spans="1:14" s="5" customFormat="1" ht="13.5" customHeight="1">
      <c r="A24" s="271">
        <v>44920</v>
      </c>
      <c r="B24" s="272" t="s">
        <v>482</v>
      </c>
      <c r="C24" s="158"/>
      <c r="D24" s="150">
        <v>3</v>
      </c>
      <c r="E24" s="151" t="s">
        <v>21</v>
      </c>
      <c r="F24" s="152"/>
      <c r="G24" s="273"/>
      <c r="H24" s="153"/>
      <c r="I24" s="274" t="e">
        <f>J24*'통장내역(환율표)'!#REF!</f>
        <v>#REF!</v>
      </c>
      <c r="J24" s="53">
        <v>1342.9976248652413</v>
      </c>
      <c r="K24" s="275" t="e">
        <f t="shared" si="3"/>
        <v>#REF!</v>
      </c>
      <c r="L24" s="153" t="e">
        <f t="shared" si="4"/>
        <v>#REF!</v>
      </c>
      <c r="M24" s="154" t="s">
        <v>451</v>
      </c>
      <c r="N24" s="45" t="e">
        <f t="shared" si="5"/>
        <v>#REF!</v>
      </c>
    </row>
    <row r="25" spans="1:14" s="5" customFormat="1" ht="13.5" customHeight="1">
      <c r="A25" s="271">
        <v>44920</v>
      </c>
      <c r="B25" s="272" t="s">
        <v>482</v>
      </c>
      <c r="C25" s="158"/>
      <c r="D25" s="150">
        <v>3</v>
      </c>
      <c r="E25" s="151" t="s">
        <v>21</v>
      </c>
      <c r="F25" s="152"/>
      <c r="G25" s="273"/>
      <c r="H25" s="153"/>
      <c r="I25" s="274" t="e">
        <f>20000-I24</f>
        <v>#REF!</v>
      </c>
      <c r="J25" s="54" t="e">
        <f>I25/'통장내역(환율표)'!#REF!</f>
        <v>#REF!</v>
      </c>
      <c r="K25" s="275" t="e">
        <f t="shared" ref="K25:K69" si="6">K24+G25-I25</f>
        <v>#REF!</v>
      </c>
      <c r="L25" s="153" t="e">
        <f t="shared" ref="L25:L69" si="7">L24+H25-J25</f>
        <v>#REF!</v>
      </c>
      <c r="M25" s="154" t="s">
        <v>451</v>
      </c>
      <c r="N25" s="45" t="e">
        <f>24199.32-J25</f>
        <v>#REF!</v>
      </c>
    </row>
    <row r="26" spans="1:14" s="5" customFormat="1" ht="12.75" customHeight="1">
      <c r="A26" s="255">
        <v>44920</v>
      </c>
      <c r="B26" s="239" t="s">
        <v>458</v>
      </c>
      <c r="C26" s="160"/>
      <c r="D26" s="37">
        <v>3</v>
      </c>
      <c r="E26" s="33" t="s">
        <v>21</v>
      </c>
      <c r="F26" s="35"/>
      <c r="G26" s="103"/>
      <c r="H26" s="38"/>
      <c r="I26" s="267">
        <v>300</v>
      </c>
      <c r="J26" s="54" t="e">
        <f>I26/'통장내역(환율표)'!#REF!</f>
        <v>#REF!</v>
      </c>
      <c r="K26" s="263" t="e">
        <f t="shared" si="6"/>
        <v>#REF!</v>
      </c>
      <c r="L26" s="38" t="e">
        <f t="shared" si="7"/>
        <v>#REF!</v>
      </c>
      <c r="M26" s="34" t="s">
        <v>451</v>
      </c>
      <c r="N26" s="45" t="e">
        <f>N25-J26+H26</f>
        <v>#REF!</v>
      </c>
    </row>
    <row r="27" spans="1:14" s="5" customFormat="1" ht="13.5" customHeight="1">
      <c r="A27" s="255">
        <v>44920</v>
      </c>
      <c r="B27" s="239" t="s">
        <v>454</v>
      </c>
      <c r="C27" s="160"/>
      <c r="D27" s="37">
        <v>3</v>
      </c>
      <c r="E27" s="33" t="s">
        <v>21</v>
      </c>
      <c r="F27" s="35"/>
      <c r="G27" s="103"/>
      <c r="H27" s="38"/>
      <c r="I27" s="267">
        <v>4224.43</v>
      </c>
      <c r="J27" s="54" t="e">
        <f>I27/'통장내역(환율표)'!#REF!</f>
        <v>#REF!</v>
      </c>
      <c r="K27" s="263" t="e">
        <f t="shared" si="6"/>
        <v>#REF!</v>
      </c>
      <c r="L27" s="38" t="e">
        <f t="shared" si="7"/>
        <v>#REF!</v>
      </c>
      <c r="M27" s="34" t="s">
        <v>452</v>
      </c>
      <c r="N27" s="45" t="e">
        <f t="shared" ref="N27:N69" si="8">N26-J27+H27</f>
        <v>#REF!</v>
      </c>
    </row>
    <row r="28" spans="1:14" s="5" customFormat="1" ht="13.5" customHeight="1">
      <c r="A28" s="255">
        <v>44920</v>
      </c>
      <c r="B28" s="239" t="s">
        <v>455</v>
      </c>
      <c r="C28" s="160"/>
      <c r="D28" s="37">
        <v>3</v>
      </c>
      <c r="E28" s="33" t="s">
        <v>21</v>
      </c>
      <c r="F28" s="35"/>
      <c r="G28" s="103"/>
      <c r="H28" s="38"/>
      <c r="I28" s="267">
        <v>2114.2900000000009</v>
      </c>
      <c r="J28" s="54" t="e">
        <f>I28/'통장내역(환율표)'!#REF!</f>
        <v>#REF!</v>
      </c>
      <c r="K28" s="263" t="e">
        <f t="shared" si="6"/>
        <v>#REF!</v>
      </c>
      <c r="L28" s="38" t="e">
        <f t="shared" si="7"/>
        <v>#REF!</v>
      </c>
      <c r="M28" s="34" t="s">
        <v>452</v>
      </c>
      <c r="N28" s="45" t="e">
        <f t="shared" si="8"/>
        <v>#REF!</v>
      </c>
    </row>
    <row r="29" spans="1:14" s="5" customFormat="1" ht="13.5" customHeight="1">
      <c r="A29" s="255">
        <v>44920</v>
      </c>
      <c r="B29" s="239" t="s">
        <v>456</v>
      </c>
      <c r="C29" s="160"/>
      <c r="D29" s="37">
        <v>3</v>
      </c>
      <c r="E29" s="33" t="s">
        <v>21</v>
      </c>
      <c r="F29" s="35"/>
      <c r="G29" s="103"/>
      <c r="H29" s="38"/>
      <c r="I29" s="267">
        <v>13500</v>
      </c>
      <c r="J29" s="54" t="e">
        <f>I29/'통장내역(환율표)'!#REF!</f>
        <v>#REF!</v>
      </c>
      <c r="K29" s="263" t="e">
        <f t="shared" si="6"/>
        <v>#REF!</v>
      </c>
      <c r="L29" s="38" t="e">
        <f t="shared" si="7"/>
        <v>#REF!</v>
      </c>
      <c r="M29" s="34" t="s">
        <v>452</v>
      </c>
      <c r="N29" s="45" t="e">
        <f t="shared" si="8"/>
        <v>#REF!</v>
      </c>
    </row>
    <row r="30" spans="1:14" s="5" customFormat="1" ht="13.5" customHeight="1">
      <c r="A30" s="255">
        <v>44920</v>
      </c>
      <c r="B30" s="239" t="s">
        <v>457</v>
      </c>
      <c r="C30" s="160"/>
      <c r="D30" s="37">
        <v>3</v>
      </c>
      <c r="E30" s="33" t="s">
        <v>21</v>
      </c>
      <c r="F30" s="35"/>
      <c r="G30" s="103"/>
      <c r="H30" s="38"/>
      <c r="I30" s="267">
        <v>14000</v>
      </c>
      <c r="J30" s="54" t="e">
        <f>I30/'통장내역(환율표)'!#REF!</f>
        <v>#REF!</v>
      </c>
      <c r="K30" s="263" t="e">
        <f t="shared" si="6"/>
        <v>#REF!</v>
      </c>
      <c r="L30" s="38" t="e">
        <f t="shared" si="7"/>
        <v>#REF!</v>
      </c>
      <c r="M30" s="34" t="s">
        <v>452</v>
      </c>
      <c r="N30" s="45" t="e">
        <f t="shared" si="8"/>
        <v>#REF!</v>
      </c>
    </row>
    <row r="31" spans="1:14" s="5" customFormat="1" ht="13.5" customHeight="1">
      <c r="A31" s="255">
        <v>44920</v>
      </c>
      <c r="B31" s="239" t="s">
        <v>458</v>
      </c>
      <c r="C31" s="160"/>
      <c r="D31" s="37">
        <v>3</v>
      </c>
      <c r="E31" s="33" t="s">
        <v>21</v>
      </c>
      <c r="F31" s="35"/>
      <c r="G31" s="103"/>
      <c r="H31" s="38"/>
      <c r="I31" s="267">
        <v>300</v>
      </c>
      <c r="J31" s="54" t="e">
        <f>I31/'통장내역(환율표)'!#REF!</f>
        <v>#REF!</v>
      </c>
      <c r="K31" s="263" t="e">
        <f t="shared" si="6"/>
        <v>#REF!</v>
      </c>
      <c r="L31" s="38" t="e">
        <f t="shared" si="7"/>
        <v>#REF!</v>
      </c>
      <c r="M31" s="34" t="s">
        <v>452</v>
      </c>
      <c r="N31" s="45" t="e">
        <f t="shared" si="8"/>
        <v>#REF!</v>
      </c>
    </row>
    <row r="32" spans="1:14" s="5" customFormat="1" ht="13.5" customHeight="1">
      <c r="A32" s="255">
        <v>44920</v>
      </c>
      <c r="B32" s="239" t="s">
        <v>454</v>
      </c>
      <c r="C32" s="160"/>
      <c r="D32" s="37">
        <v>3</v>
      </c>
      <c r="E32" s="33" t="s">
        <v>21</v>
      </c>
      <c r="F32" s="35"/>
      <c r="G32" s="103"/>
      <c r="H32" s="38"/>
      <c r="I32" s="267">
        <v>8308.0999999999985</v>
      </c>
      <c r="J32" s="54" t="e">
        <f>I32/'통장내역(환율표)'!#REF!</f>
        <v>#REF!</v>
      </c>
      <c r="K32" s="263" t="e">
        <f t="shared" si="6"/>
        <v>#REF!</v>
      </c>
      <c r="L32" s="38" t="e">
        <f t="shared" si="7"/>
        <v>#REF!</v>
      </c>
      <c r="M32" s="34" t="s">
        <v>453</v>
      </c>
      <c r="N32" s="45" t="e">
        <f t="shared" si="8"/>
        <v>#REF!</v>
      </c>
    </row>
    <row r="33" spans="1:14" s="5" customFormat="1" ht="13.5" customHeight="1">
      <c r="A33" s="255">
        <v>44920</v>
      </c>
      <c r="B33" s="239" t="s">
        <v>455</v>
      </c>
      <c r="C33" s="160"/>
      <c r="D33" s="37">
        <v>3</v>
      </c>
      <c r="E33" s="33" t="s">
        <v>21</v>
      </c>
      <c r="F33" s="35"/>
      <c r="G33" s="103"/>
      <c r="H33" s="38"/>
      <c r="I33" s="267">
        <v>1672.25</v>
      </c>
      <c r="J33" s="54" t="e">
        <f>I33/'통장내역(환율표)'!#REF!</f>
        <v>#REF!</v>
      </c>
      <c r="K33" s="263" t="e">
        <f t="shared" si="6"/>
        <v>#REF!</v>
      </c>
      <c r="L33" s="38" t="e">
        <f t="shared" si="7"/>
        <v>#REF!</v>
      </c>
      <c r="M33" s="34" t="s">
        <v>453</v>
      </c>
      <c r="N33" s="45" t="e">
        <f t="shared" si="8"/>
        <v>#REF!</v>
      </c>
    </row>
    <row r="34" spans="1:14" s="5" customFormat="1" ht="13.5" customHeight="1">
      <c r="A34" s="255">
        <v>44920</v>
      </c>
      <c r="B34" s="239" t="s">
        <v>456</v>
      </c>
      <c r="C34" s="160"/>
      <c r="D34" s="37">
        <v>3</v>
      </c>
      <c r="E34" s="33" t="s">
        <v>21</v>
      </c>
      <c r="F34" s="35"/>
      <c r="G34" s="103"/>
      <c r="H34" s="38"/>
      <c r="I34" s="267">
        <v>20050.339999999997</v>
      </c>
      <c r="J34" s="54" t="e">
        <f>I34/'통장내역(환율표)'!#REF!</f>
        <v>#REF!</v>
      </c>
      <c r="K34" s="263" t="e">
        <f t="shared" si="6"/>
        <v>#REF!</v>
      </c>
      <c r="L34" s="38" t="e">
        <f t="shared" si="7"/>
        <v>#REF!</v>
      </c>
      <c r="M34" s="34" t="s">
        <v>453</v>
      </c>
      <c r="N34" s="45" t="e">
        <f t="shared" si="8"/>
        <v>#REF!</v>
      </c>
    </row>
    <row r="35" spans="1:14" s="5" customFormat="1" ht="13.5" customHeight="1">
      <c r="A35" s="255">
        <v>44920</v>
      </c>
      <c r="B35" s="239" t="s">
        <v>458</v>
      </c>
      <c r="C35" s="160"/>
      <c r="D35" s="37">
        <v>3</v>
      </c>
      <c r="E35" s="33" t="s">
        <v>21</v>
      </c>
      <c r="F35" s="35"/>
      <c r="G35" s="103"/>
      <c r="H35" s="38"/>
      <c r="I35" s="267">
        <v>300</v>
      </c>
      <c r="J35" s="54" t="e">
        <f>I35/'통장내역(환율표)'!#REF!</f>
        <v>#REF!</v>
      </c>
      <c r="K35" s="263" t="e">
        <f t="shared" si="6"/>
        <v>#REF!</v>
      </c>
      <c r="L35" s="38" t="e">
        <f t="shared" si="7"/>
        <v>#REF!</v>
      </c>
      <c r="M35" s="34" t="s">
        <v>453</v>
      </c>
      <c r="N35" s="45" t="e">
        <f t="shared" si="8"/>
        <v>#REF!</v>
      </c>
    </row>
    <row r="36" spans="1:14" s="5" customFormat="1" ht="13.5" customHeight="1">
      <c r="A36" s="255">
        <v>44920</v>
      </c>
      <c r="B36" s="239" t="s">
        <v>459</v>
      </c>
      <c r="C36" s="264"/>
      <c r="D36" s="37">
        <v>3</v>
      </c>
      <c r="E36" s="33" t="s">
        <v>21</v>
      </c>
      <c r="F36" s="35"/>
      <c r="G36" s="103"/>
      <c r="H36" s="38"/>
      <c r="I36" s="267">
        <v>12</v>
      </c>
      <c r="J36" s="54" t="e">
        <f>I36/'통장내역(환율표)'!#REF!</f>
        <v>#REF!</v>
      </c>
      <c r="K36" s="263" t="e">
        <f t="shared" si="6"/>
        <v>#REF!</v>
      </c>
      <c r="L36" s="38" t="e">
        <f t="shared" si="7"/>
        <v>#REF!</v>
      </c>
      <c r="M36" s="34"/>
      <c r="N36" s="45" t="e">
        <f t="shared" si="8"/>
        <v>#REF!</v>
      </c>
    </row>
    <row r="37" spans="1:14" s="5" customFormat="1" ht="13.5" customHeight="1">
      <c r="A37" s="255">
        <v>44920</v>
      </c>
      <c r="B37" s="239" t="s">
        <v>460</v>
      </c>
      <c r="C37" s="264"/>
      <c r="D37" s="37" t="s">
        <v>490</v>
      </c>
      <c r="E37" s="33" t="s">
        <v>15</v>
      </c>
      <c r="F37" s="35" t="s">
        <v>483</v>
      </c>
      <c r="G37" s="103"/>
      <c r="H37" s="38"/>
      <c r="I37" s="267">
        <v>19440</v>
      </c>
      <c r="J37" s="54" t="e">
        <f>I37/'통장내역(환율표)'!#REF!</f>
        <v>#REF!</v>
      </c>
      <c r="K37" s="263" t="e">
        <f t="shared" si="6"/>
        <v>#REF!</v>
      </c>
      <c r="L37" s="38" t="e">
        <f t="shared" si="7"/>
        <v>#REF!</v>
      </c>
      <c r="M37" s="34"/>
      <c r="N37" s="45" t="e">
        <f t="shared" si="8"/>
        <v>#REF!</v>
      </c>
    </row>
    <row r="38" spans="1:14" s="5" customFormat="1" ht="13.5" customHeight="1">
      <c r="A38" s="255">
        <v>44920</v>
      </c>
      <c r="B38" s="239" t="s">
        <v>459</v>
      </c>
      <c r="C38" s="264"/>
      <c r="D38" s="37">
        <v>4</v>
      </c>
      <c r="E38" s="33" t="s">
        <v>21</v>
      </c>
      <c r="F38" s="35"/>
      <c r="G38" s="103"/>
      <c r="H38" s="38"/>
      <c r="I38" s="267">
        <v>7.2</v>
      </c>
      <c r="J38" s="54" t="e">
        <f>I38/'통장내역(환율표)'!#REF!</f>
        <v>#REF!</v>
      </c>
      <c r="K38" s="263" t="e">
        <f t="shared" si="6"/>
        <v>#REF!</v>
      </c>
      <c r="L38" s="38" t="e">
        <f t="shared" si="7"/>
        <v>#REF!</v>
      </c>
      <c r="M38" s="34"/>
      <c r="N38" s="45" t="e">
        <f t="shared" si="8"/>
        <v>#REF!</v>
      </c>
    </row>
    <row r="39" spans="1:14" s="5" customFormat="1" ht="13.5" customHeight="1">
      <c r="A39" s="255">
        <v>44920</v>
      </c>
      <c r="B39" s="239" t="s">
        <v>461</v>
      </c>
      <c r="C39" s="264"/>
      <c r="D39" s="37">
        <v>5</v>
      </c>
      <c r="E39" s="33" t="s">
        <v>21</v>
      </c>
      <c r="F39" s="35"/>
      <c r="G39" s="103"/>
      <c r="H39" s="38"/>
      <c r="I39" s="268">
        <v>1000</v>
      </c>
      <c r="J39" s="54" t="e">
        <f>I39/'통장내역(환율표)'!#REF!</f>
        <v>#REF!</v>
      </c>
      <c r="K39" s="263" t="e">
        <f t="shared" si="6"/>
        <v>#REF!</v>
      </c>
      <c r="L39" s="38" t="e">
        <f t="shared" si="7"/>
        <v>#REF!</v>
      </c>
      <c r="M39" s="34"/>
      <c r="N39" s="45" t="e">
        <f t="shared" si="8"/>
        <v>#REF!</v>
      </c>
    </row>
    <row r="40" spans="1:14" s="5" customFormat="1" ht="13.5" customHeight="1">
      <c r="A40" s="255">
        <v>44920</v>
      </c>
      <c r="B40" s="239" t="s">
        <v>459</v>
      </c>
      <c r="C40" s="264"/>
      <c r="D40" s="37">
        <v>5</v>
      </c>
      <c r="E40" s="33" t="s">
        <v>21</v>
      </c>
      <c r="F40" s="35"/>
      <c r="G40" s="103"/>
      <c r="H40" s="38"/>
      <c r="I40" s="268">
        <v>3.6</v>
      </c>
      <c r="J40" s="54" t="e">
        <f>I40/'통장내역(환율표)'!#REF!</f>
        <v>#REF!</v>
      </c>
      <c r="K40" s="263" t="e">
        <f t="shared" si="6"/>
        <v>#REF!</v>
      </c>
      <c r="L40" s="38" t="e">
        <f t="shared" si="7"/>
        <v>#REF!</v>
      </c>
      <c r="M40" s="34"/>
      <c r="N40" s="45" t="e">
        <f t="shared" si="8"/>
        <v>#REF!</v>
      </c>
    </row>
    <row r="41" spans="1:14" s="5" customFormat="1" ht="13.5" customHeight="1">
      <c r="A41" s="255">
        <v>44920</v>
      </c>
      <c r="B41" s="239" t="s">
        <v>462</v>
      </c>
      <c r="C41" s="264"/>
      <c r="D41" s="37">
        <v>6</v>
      </c>
      <c r="E41" s="33" t="s">
        <v>15</v>
      </c>
      <c r="F41" s="35" t="s">
        <v>226</v>
      </c>
      <c r="G41" s="103"/>
      <c r="H41" s="38"/>
      <c r="I41" s="268">
        <v>10500</v>
      </c>
      <c r="J41" s="54" t="e">
        <f>I41/'통장내역(환율표)'!#REF!</f>
        <v>#REF!</v>
      </c>
      <c r="K41" s="263" t="e">
        <f t="shared" si="6"/>
        <v>#REF!</v>
      </c>
      <c r="L41" s="38" t="e">
        <f t="shared" si="7"/>
        <v>#REF!</v>
      </c>
      <c r="M41" s="34"/>
      <c r="N41" s="45" t="e">
        <f t="shared" si="8"/>
        <v>#REF!</v>
      </c>
    </row>
    <row r="42" spans="1:14" s="5" customFormat="1" ht="13.5" customHeight="1">
      <c r="A42" s="255">
        <v>44920</v>
      </c>
      <c r="B42" s="239" t="s">
        <v>463</v>
      </c>
      <c r="C42" s="264"/>
      <c r="D42" s="37">
        <v>6</v>
      </c>
      <c r="E42" s="33" t="s">
        <v>21</v>
      </c>
      <c r="F42" s="35"/>
      <c r="G42" s="103"/>
      <c r="H42" s="38"/>
      <c r="I42" s="268">
        <v>6000</v>
      </c>
      <c r="J42" s="54" t="e">
        <f>I42/'통장내역(환율표)'!#REF!</f>
        <v>#REF!</v>
      </c>
      <c r="K42" s="263" t="e">
        <f t="shared" si="6"/>
        <v>#REF!</v>
      </c>
      <c r="L42" s="38" t="e">
        <f t="shared" si="7"/>
        <v>#REF!</v>
      </c>
      <c r="M42" s="34"/>
      <c r="N42" s="45" t="e">
        <f t="shared" si="8"/>
        <v>#REF!</v>
      </c>
    </row>
    <row r="43" spans="1:14" s="5" customFormat="1" ht="13.5" customHeight="1">
      <c r="A43" s="255">
        <v>44920</v>
      </c>
      <c r="B43" s="239" t="s">
        <v>464</v>
      </c>
      <c r="C43" s="264"/>
      <c r="D43" s="37">
        <v>6</v>
      </c>
      <c r="E43" s="33" t="s">
        <v>21</v>
      </c>
      <c r="F43" s="35"/>
      <c r="G43" s="103"/>
      <c r="H43" s="38"/>
      <c r="I43" s="268">
        <v>240</v>
      </c>
      <c r="J43" s="54" t="e">
        <f>I43/'통장내역(환율표)'!#REF!</f>
        <v>#REF!</v>
      </c>
      <c r="K43" s="263" t="e">
        <f t="shared" si="6"/>
        <v>#REF!</v>
      </c>
      <c r="L43" s="38" t="e">
        <f t="shared" si="7"/>
        <v>#REF!</v>
      </c>
      <c r="M43" s="34"/>
      <c r="N43" s="45" t="e">
        <f t="shared" si="8"/>
        <v>#REF!</v>
      </c>
    </row>
    <row r="44" spans="1:14" s="5" customFormat="1" ht="13.5" customHeight="1">
      <c r="A44" s="255">
        <v>44920</v>
      </c>
      <c r="B44" s="239" t="s">
        <v>459</v>
      </c>
      <c r="C44" s="264"/>
      <c r="D44" s="37">
        <v>6</v>
      </c>
      <c r="E44" s="33" t="s">
        <v>21</v>
      </c>
      <c r="F44" s="35"/>
      <c r="G44" s="103"/>
      <c r="H44" s="38"/>
      <c r="I44" s="268">
        <v>7.2</v>
      </c>
      <c r="J44" s="54" t="e">
        <f>I44/'통장내역(환율표)'!#REF!</f>
        <v>#REF!</v>
      </c>
      <c r="K44" s="263" t="e">
        <f t="shared" si="6"/>
        <v>#REF!</v>
      </c>
      <c r="L44" s="38" t="e">
        <f t="shared" si="7"/>
        <v>#REF!</v>
      </c>
      <c r="M44" s="34"/>
      <c r="N44" s="45" t="e">
        <f t="shared" si="8"/>
        <v>#REF!</v>
      </c>
    </row>
    <row r="45" spans="1:14" s="5" customFormat="1" ht="13.5" customHeight="1">
      <c r="A45" s="255">
        <v>44920</v>
      </c>
      <c r="B45" s="239" t="s">
        <v>465</v>
      </c>
      <c r="C45" s="264"/>
      <c r="D45" s="37">
        <v>7</v>
      </c>
      <c r="E45" s="33" t="s">
        <v>21</v>
      </c>
      <c r="F45" s="35"/>
      <c r="G45" s="103"/>
      <c r="H45" s="38"/>
      <c r="I45" s="269">
        <v>1267.9100000000001</v>
      </c>
      <c r="J45" s="54" t="e">
        <f>I45/'통장내역(환율표)'!#REF!</f>
        <v>#REF!</v>
      </c>
      <c r="K45" s="263" t="e">
        <f t="shared" si="6"/>
        <v>#REF!</v>
      </c>
      <c r="L45" s="38" t="e">
        <f t="shared" si="7"/>
        <v>#REF!</v>
      </c>
      <c r="M45" s="34" t="s">
        <v>478</v>
      </c>
      <c r="N45" s="45" t="e">
        <f t="shared" si="8"/>
        <v>#REF!</v>
      </c>
    </row>
    <row r="46" spans="1:14" s="5" customFormat="1" ht="13.5" customHeight="1">
      <c r="A46" s="255">
        <v>44920</v>
      </c>
      <c r="B46" s="239" t="s">
        <v>459</v>
      </c>
      <c r="C46" s="264"/>
      <c r="D46" s="37">
        <v>7</v>
      </c>
      <c r="E46" s="33" t="s">
        <v>21</v>
      </c>
      <c r="F46" s="35"/>
      <c r="G46" s="103"/>
      <c r="H46" s="38"/>
      <c r="I46" s="269">
        <v>3.6</v>
      </c>
      <c r="J46" s="54" t="e">
        <f>I46/'통장내역(환율표)'!#REF!</f>
        <v>#REF!</v>
      </c>
      <c r="K46" s="263" t="e">
        <f t="shared" si="6"/>
        <v>#REF!</v>
      </c>
      <c r="L46" s="38" t="e">
        <f t="shared" si="7"/>
        <v>#REF!</v>
      </c>
      <c r="M46" s="34"/>
      <c r="N46" s="45" t="e">
        <f t="shared" si="8"/>
        <v>#REF!</v>
      </c>
    </row>
    <row r="47" spans="1:14" s="5" customFormat="1" ht="12.75" customHeight="1">
      <c r="A47" s="255">
        <v>44920</v>
      </c>
      <c r="B47" s="239" t="s">
        <v>466</v>
      </c>
      <c r="C47" s="264"/>
      <c r="D47" s="37">
        <v>8</v>
      </c>
      <c r="E47" s="33" t="s">
        <v>13</v>
      </c>
      <c r="F47" s="35" t="s">
        <v>14</v>
      </c>
      <c r="G47" s="103"/>
      <c r="H47" s="38"/>
      <c r="I47" s="267">
        <v>1515</v>
      </c>
      <c r="J47" s="54">
        <v>217.83</v>
      </c>
      <c r="K47" s="263" t="e">
        <f t="shared" si="6"/>
        <v>#REF!</v>
      </c>
      <c r="L47" s="38" t="e">
        <f t="shared" si="7"/>
        <v>#REF!</v>
      </c>
      <c r="M47" s="34"/>
      <c r="N47" s="45" t="e">
        <f t="shared" si="8"/>
        <v>#REF!</v>
      </c>
    </row>
    <row r="48" spans="1:14" s="5" customFormat="1" ht="12.75" customHeight="1">
      <c r="A48" s="255">
        <v>44920</v>
      </c>
      <c r="B48" s="239" t="s">
        <v>467</v>
      </c>
      <c r="C48" s="264"/>
      <c r="D48" s="37">
        <v>8</v>
      </c>
      <c r="E48" s="33" t="s">
        <v>13</v>
      </c>
      <c r="F48" s="35" t="s">
        <v>14</v>
      </c>
      <c r="G48" s="103"/>
      <c r="H48" s="38"/>
      <c r="I48" s="267">
        <v>910</v>
      </c>
      <c r="J48" s="54" t="e">
        <f>I48/'통장내역(환율표)'!#REF!</f>
        <v>#REF!</v>
      </c>
      <c r="K48" s="263" t="e">
        <f t="shared" si="6"/>
        <v>#REF!</v>
      </c>
      <c r="L48" s="38" t="e">
        <f t="shared" si="7"/>
        <v>#REF!</v>
      </c>
      <c r="M48" s="34"/>
      <c r="N48" s="45" t="e">
        <f t="shared" si="8"/>
        <v>#REF!</v>
      </c>
    </row>
    <row r="49" spans="1:14" s="5" customFormat="1" ht="12.75" customHeight="1">
      <c r="A49" s="255">
        <v>44920</v>
      </c>
      <c r="B49" s="239" t="s">
        <v>468</v>
      </c>
      <c r="C49" s="264"/>
      <c r="D49" s="37">
        <v>8</v>
      </c>
      <c r="E49" s="33" t="s">
        <v>13</v>
      </c>
      <c r="F49" s="35" t="s">
        <v>14</v>
      </c>
      <c r="G49" s="103"/>
      <c r="H49" s="38"/>
      <c r="I49" s="267">
        <v>128</v>
      </c>
      <c r="J49" s="54" t="e">
        <f>I49/'통장내역(환율표)'!#REF!</f>
        <v>#REF!</v>
      </c>
      <c r="K49" s="263" t="e">
        <f t="shared" si="6"/>
        <v>#REF!</v>
      </c>
      <c r="L49" s="38" t="e">
        <f t="shared" si="7"/>
        <v>#REF!</v>
      </c>
      <c r="M49" s="34"/>
      <c r="N49" s="45" t="e">
        <f t="shared" si="8"/>
        <v>#REF!</v>
      </c>
    </row>
    <row r="50" spans="1:14" s="5" customFormat="1" ht="12.75" customHeight="1">
      <c r="A50" s="255">
        <v>44920</v>
      </c>
      <c r="B50" s="239" t="s">
        <v>459</v>
      </c>
      <c r="C50" s="264"/>
      <c r="D50" s="37">
        <v>8</v>
      </c>
      <c r="E50" s="33" t="s">
        <v>21</v>
      </c>
      <c r="F50" s="35"/>
      <c r="G50" s="103"/>
      <c r="H50" s="38"/>
      <c r="I50" s="267">
        <v>3.6</v>
      </c>
      <c r="J50" s="54" t="e">
        <f>I50/'통장내역(환율표)'!#REF!</f>
        <v>#REF!</v>
      </c>
      <c r="K50" s="263" t="e">
        <f t="shared" si="6"/>
        <v>#REF!</v>
      </c>
      <c r="L50" s="38" t="e">
        <f t="shared" si="7"/>
        <v>#REF!</v>
      </c>
      <c r="M50" s="34"/>
      <c r="N50" s="45" t="e">
        <f t="shared" si="8"/>
        <v>#REF!</v>
      </c>
    </row>
    <row r="51" spans="1:14" s="5" customFormat="1" ht="13.5" customHeight="1">
      <c r="A51" s="255">
        <v>44920</v>
      </c>
      <c r="B51" s="239" t="s">
        <v>469</v>
      </c>
      <c r="C51" s="264"/>
      <c r="D51" s="37">
        <v>9</v>
      </c>
      <c r="E51" s="33" t="s">
        <v>13</v>
      </c>
      <c r="F51" s="35" t="s">
        <v>14</v>
      </c>
      <c r="G51" s="103"/>
      <c r="H51" s="38"/>
      <c r="I51" s="267">
        <v>3229.56</v>
      </c>
      <c r="J51" s="54" t="e">
        <f>I51/'통장내역(환율표)'!#REF!</f>
        <v>#REF!</v>
      </c>
      <c r="K51" s="263" t="e">
        <f t="shared" si="6"/>
        <v>#REF!</v>
      </c>
      <c r="L51" s="38" t="e">
        <f t="shared" si="7"/>
        <v>#REF!</v>
      </c>
      <c r="M51" s="34"/>
      <c r="N51" s="45" t="e">
        <f t="shared" si="8"/>
        <v>#REF!</v>
      </c>
    </row>
    <row r="52" spans="1:14" s="5" customFormat="1" ht="13.5" customHeight="1">
      <c r="A52" s="255">
        <v>44920</v>
      </c>
      <c r="B52" s="239" t="s">
        <v>459</v>
      </c>
      <c r="C52" s="264"/>
      <c r="D52" s="37">
        <v>9</v>
      </c>
      <c r="E52" s="33" t="s">
        <v>21</v>
      </c>
      <c r="F52" s="35"/>
      <c r="G52" s="103"/>
      <c r="H52" s="38"/>
      <c r="I52" s="267">
        <v>3.6</v>
      </c>
      <c r="J52" s="54" t="e">
        <f>I52/'통장내역(환율표)'!#REF!</f>
        <v>#REF!</v>
      </c>
      <c r="K52" s="263" t="e">
        <f t="shared" si="6"/>
        <v>#REF!</v>
      </c>
      <c r="L52" s="38" t="e">
        <f t="shared" si="7"/>
        <v>#REF!</v>
      </c>
      <c r="M52" s="34"/>
      <c r="N52" s="45" t="e">
        <f t="shared" si="8"/>
        <v>#REF!</v>
      </c>
    </row>
    <row r="53" spans="1:14" s="5" customFormat="1" ht="13.5" customHeight="1">
      <c r="A53" s="255">
        <v>44920</v>
      </c>
      <c r="B53" s="239" t="s">
        <v>470</v>
      </c>
      <c r="C53" s="264"/>
      <c r="D53" s="37">
        <v>10</v>
      </c>
      <c r="E53" s="33" t="s">
        <v>484</v>
      </c>
      <c r="F53" s="35" t="s">
        <v>485</v>
      </c>
      <c r="G53" s="103"/>
      <c r="H53" s="38"/>
      <c r="I53" s="267">
        <v>788</v>
      </c>
      <c r="J53" s="54" t="e">
        <f>I53/'통장내역(환율표)'!#REF!</f>
        <v>#REF!</v>
      </c>
      <c r="K53" s="263" t="e">
        <f t="shared" si="6"/>
        <v>#REF!</v>
      </c>
      <c r="L53" s="38" t="e">
        <f t="shared" si="7"/>
        <v>#REF!</v>
      </c>
      <c r="M53" s="34"/>
      <c r="N53" s="45" t="e">
        <f t="shared" si="8"/>
        <v>#REF!</v>
      </c>
    </row>
    <row r="54" spans="1:14" s="5" customFormat="1" ht="13.5" customHeight="1">
      <c r="A54" s="255">
        <v>44920</v>
      </c>
      <c r="B54" s="239" t="s">
        <v>459</v>
      </c>
      <c r="C54" s="264"/>
      <c r="D54" s="37">
        <v>10</v>
      </c>
      <c r="E54" s="33" t="s">
        <v>21</v>
      </c>
      <c r="F54" s="35"/>
      <c r="G54" s="103"/>
      <c r="H54" s="38"/>
      <c r="I54" s="267">
        <v>3.6</v>
      </c>
      <c r="J54" s="54" t="e">
        <f>I54/'통장내역(환율표)'!#REF!</f>
        <v>#REF!</v>
      </c>
      <c r="K54" s="263" t="e">
        <f t="shared" si="6"/>
        <v>#REF!</v>
      </c>
      <c r="L54" s="38" t="e">
        <f t="shared" si="7"/>
        <v>#REF!</v>
      </c>
      <c r="M54" s="34"/>
      <c r="N54" s="45" t="e">
        <f t="shared" si="8"/>
        <v>#REF!</v>
      </c>
    </row>
    <row r="55" spans="1:14" s="5" customFormat="1" ht="13.5" customHeight="1">
      <c r="A55" s="255">
        <v>44920</v>
      </c>
      <c r="B55" s="239" t="s">
        <v>471</v>
      </c>
      <c r="C55" s="264"/>
      <c r="D55" s="37">
        <v>11</v>
      </c>
      <c r="E55" s="33" t="s">
        <v>481</v>
      </c>
      <c r="F55" s="35"/>
      <c r="G55" s="103"/>
      <c r="H55" s="38"/>
      <c r="I55" s="267">
        <v>535.44000000000005</v>
      </c>
      <c r="J55" s="54" t="e">
        <f>I55/'통장내역(환율표)'!#REF!</f>
        <v>#REF!</v>
      </c>
      <c r="K55" s="263" t="e">
        <f t="shared" si="6"/>
        <v>#REF!</v>
      </c>
      <c r="L55" s="38" t="e">
        <f t="shared" si="7"/>
        <v>#REF!</v>
      </c>
      <c r="M55" s="34" t="s">
        <v>479</v>
      </c>
      <c r="N55" s="45" t="e">
        <f t="shared" si="8"/>
        <v>#REF!</v>
      </c>
    </row>
    <row r="56" spans="1:14" s="5" customFormat="1" ht="13.5" customHeight="1">
      <c r="A56" s="255">
        <v>44920</v>
      </c>
      <c r="B56" s="239" t="s">
        <v>471</v>
      </c>
      <c r="C56" s="264"/>
      <c r="D56" s="37">
        <v>11</v>
      </c>
      <c r="E56" s="33" t="s">
        <v>481</v>
      </c>
      <c r="F56" s="35"/>
      <c r="G56" s="103"/>
      <c r="H56" s="38"/>
      <c r="I56" s="267">
        <v>12</v>
      </c>
      <c r="J56" s="54" t="e">
        <f>I56/'통장내역(환율표)'!#REF!</f>
        <v>#REF!</v>
      </c>
      <c r="K56" s="263" t="e">
        <f t="shared" si="6"/>
        <v>#REF!</v>
      </c>
      <c r="L56" s="38" t="e">
        <f t="shared" si="7"/>
        <v>#REF!</v>
      </c>
      <c r="M56" s="34" t="s">
        <v>480</v>
      </c>
      <c r="N56" s="45" t="e">
        <f t="shared" si="8"/>
        <v>#REF!</v>
      </c>
    </row>
    <row r="57" spans="1:14" s="5" customFormat="1" ht="13.5" customHeight="1">
      <c r="A57" s="255">
        <v>44920</v>
      </c>
      <c r="B57" s="239" t="s">
        <v>459</v>
      </c>
      <c r="C57" s="264"/>
      <c r="D57" s="37">
        <v>11</v>
      </c>
      <c r="E57" s="33" t="s">
        <v>21</v>
      </c>
      <c r="F57" s="35"/>
      <c r="G57" s="103"/>
      <c r="H57" s="38"/>
      <c r="I57" s="267">
        <v>3.6</v>
      </c>
      <c r="J57" s="54" t="e">
        <f>I57/'통장내역(환율표)'!#REF!</f>
        <v>#REF!</v>
      </c>
      <c r="K57" s="263" t="e">
        <f t="shared" si="6"/>
        <v>#REF!</v>
      </c>
      <c r="L57" s="38" t="e">
        <f t="shared" si="7"/>
        <v>#REF!</v>
      </c>
      <c r="M57" s="34"/>
      <c r="N57" s="45" t="e">
        <f t="shared" si="8"/>
        <v>#REF!</v>
      </c>
    </row>
    <row r="58" spans="1:14" s="5" customFormat="1" ht="13.5" customHeight="1">
      <c r="A58" s="255">
        <v>44920</v>
      </c>
      <c r="B58" s="239" t="s">
        <v>472</v>
      </c>
      <c r="C58" s="265"/>
      <c r="D58" s="37">
        <v>12</v>
      </c>
      <c r="E58" s="33" t="s">
        <v>486</v>
      </c>
      <c r="F58" s="35" t="s">
        <v>487</v>
      </c>
      <c r="G58" s="103"/>
      <c r="H58" s="35"/>
      <c r="I58" s="267">
        <v>3283.56</v>
      </c>
      <c r="J58" s="54" t="e">
        <f>I58/'통장내역(환율표)'!#REF!</f>
        <v>#REF!</v>
      </c>
      <c r="K58" s="263" t="e">
        <f t="shared" si="6"/>
        <v>#REF!</v>
      </c>
      <c r="L58" s="38" t="e">
        <f t="shared" si="7"/>
        <v>#REF!</v>
      </c>
      <c r="M58" s="34"/>
      <c r="N58" s="45" t="e">
        <f t="shared" si="8"/>
        <v>#REF!</v>
      </c>
    </row>
    <row r="59" spans="1:14" s="5" customFormat="1" ht="13.5" customHeight="1">
      <c r="A59" s="255">
        <v>44920</v>
      </c>
      <c r="B59" s="239" t="s">
        <v>459</v>
      </c>
      <c r="C59" s="265"/>
      <c r="D59" s="37">
        <v>12</v>
      </c>
      <c r="E59" s="33" t="s">
        <v>21</v>
      </c>
      <c r="F59" s="35"/>
      <c r="G59" s="103"/>
      <c r="H59" s="35"/>
      <c r="I59" s="267">
        <v>3.6</v>
      </c>
      <c r="J59" s="54" t="e">
        <f>I59/'통장내역(환율표)'!#REF!</f>
        <v>#REF!</v>
      </c>
      <c r="K59" s="263" t="e">
        <f t="shared" si="6"/>
        <v>#REF!</v>
      </c>
      <c r="L59" s="38" t="e">
        <f t="shared" si="7"/>
        <v>#REF!</v>
      </c>
      <c r="M59" s="34"/>
      <c r="N59" s="45" t="e">
        <f t="shared" si="8"/>
        <v>#REF!</v>
      </c>
    </row>
    <row r="60" spans="1:14" s="5" customFormat="1" ht="13.5" customHeight="1">
      <c r="A60" s="255">
        <v>44920</v>
      </c>
      <c r="B60" s="239" t="s">
        <v>473</v>
      </c>
      <c r="C60" s="265"/>
      <c r="D60" s="37">
        <v>13</v>
      </c>
      <c r="E60" s="33" t="s">
        <v>486</v>
      </c>
      <c r="F60" s="35" t="s">
        <v>487</v>
      </c>
      <c r="G60" s="103"/>
      <c r="H60" s="35"/>
      <c r="I60" s="267">
        <v>137</v>
      </c>
      <c r="J60" s="54">
        <v>19.7</v>
      </c>
      <c r="K60" s="263" t="e">
        <f t="shared" si="6"/>
        <v>#REF!</v>
      </c>
      <c r="L60" s="38" t="e">
        <f t="shared" si="7"/>
        <v>#REF!</v>
      </c>
      <c r="M60" s="34"/>
      <c r="N60" s="45" t="e">
        <f t="shared" si="8"/>
        <v>#REF!</v>
      </c>
    </row>
    <row r="61" spans="1:14" s="5" customFormat="1" ht="13.5" customHeight="1">
      <c r="A61" s="255">
        <v>44920</v>
      </c>
      <c r="B61" s="239" t="s">
        <v>459</v>
      </c>
      <c r="C61" s="265"/>
      <c r="D61" s="37">
        <v>13</v>
      </c>
      <c r="E61" s="33" t="s">
        <v>21</v>
      </c>
      <c r="F61" s="35"/>
      <c r="G61" s="103"/>
      <c r="H61" s="35"/>
      <c r="I61" s="267">
        <v>3.6</v>
      </c>
      <c r="J61" s="54" t="e">
        <f>I61/'통장내역(환율표)'!#REF!</f>
        <v>#REF!</v>
      </c>
      <c r="K61" s="263" t="e">
        <f t="shared" si="6"/>
        <v>#REF!</v>
      </c>
      <c r="L61" s="38" t="e">
        <f t="shared" si="7"/>
        <v>#REF!</v>
      </c>
      <c r="M61" s="34"/>
      <c r="N61" s="45" t="e">
        <f t="shared" si="8"/>
        <v>#REF!</v>
      </c>
    </row>
    <row r="62" spans="1:14" s="5" customFormat="1" ht="13.5" customHeight="1">
      <c r="A62" s="255">
        <v>44920</v>
      </c>
      <c r="B62" s="239" t="s">
        <v>474</v>
      </c>
      <c r="C62" s="264"/>
      <c r="D62" s="37">
        <v>14</v>
      </c>
      <c r="E62" s="33" t="s">
        <v>488</v>
      </c>
      <c r="F62" s="35" t="s">
        <v>489</v>
      </c>
      <c r="G62" s="103"/>
      <c r="H62" s="38"/>
      <c r="I62" s="267">
        <v>396.5</v>
      </c>
      <c r="J62" s="54" t="e">
        <f>I62/'통장내역(환율표)'!#REF!</f>
        <v>#REF!</v>
      </c>
      <c r="K62" s="263" t="e">
        <f t="shared" si="6"/>
        <v>#REF!</v>
      </c>
      <c r="L62" s="38" t="e">
        <f t="shared" si="7"/>
        <v>#REF!</v>
      </c>
      <c r="M62" s="34"/>
      <c r="N62" s="45" t="e">
        <f t="shared" si="8"/>
        <v>#REF!</v>
      </c>
    </row>
    <row r="63" spans="1:14" s="5" customFormat="1" ht="13.5" customHeight="1">
      <c r="A63" s="255">
        <v>44920</v>
      </c>
      <c r="B63" s="239" t="s">
        <v>459</v>
      </c>
      <c r="C63" s="264"/>
      <c r="D63" s="37">
        <v>14</v>
      </c>
      <c r="E63" s="33" t="s">
        <v>21</v>
      </c>
      <c r="F63" s="35"/>
      <c r="G63" s="103"/>
      <c r="H63" s="38"/>
      <c r="I63" s="267">
        <v>3.6</v>
      </c>
      <c r="J63" s="54" t="e">
        <f>I63/'통장내역(환율표)'!#REF!</f>
        <v>#REF!</v>
      </c>
      <c r="K63" s="263" t="e">
        <f t="shared" si="6"/>
        <v>#REF!</v>
      </c>
      <c r="L63" s="38" t="e">
        <f t="shared" si="7"/>
        <v>#REF!</v>
      </c>
      <c r="M63" s="34"/>
      <c r="N63" s="45" t="e">
        <f t="shared" si="8"/>
        <v>#REF!</v>
      </c>
    </row>
    <row r="64" spans="1:14" s="5" customFormat="1" ht="13.5" customHeight="1">
      <c r="A64" s="255">
        <v>44921</v>
      </c>
      <c r="B64" s="239" t="s">
        <v>475</v>
      </c>
      <c r="C64" s="266"/>
      <c r="D64" s="37">
        <v>15</v>
      </c>
      <c r="E64" s="33" t="s">
        <v>484</v>
      </c>
      <c r="F64" s="35" t="s">
        <v>485</v>
      </c>
      <c r="G64" s="103"/>
      <c r="H64" s="38"/>
      <c r="I64" s="267">
        <v>764</v>
      </c>
      <c r="J64" s="54" t="e">
        <f>I64/'통장내역(환율표)'!#REF!</f>
        <v>#REF!</v>
      </c>
      <c r="K64" s="263" t="e">
        <f t="shared" si="6"/>
        <v>#REF!</v>
      </c>
      <c r="L64" s="38" t="e">
        <f t="shared" si="7"/>
        <v>#REF!</v>
      </c>
      <c r="M64" s="34"/>
      <c r="N64" s="45" t="e">
        <f t="shared" si="8"/>
        <v>#REF!</v>
      </c>
    </row>
    <row r="65" spans="1:14" s="5" customFormat="1" ht="13.5" customHeight="1">
      <c r="A65" s="255">
        <v>44921</v>
      </c>
      <c r="B65" s="239" t="s">
        <v>459</v>
      </c>
      <c r="C65" s="266"/>
      <c r="D65" s="37">
        <v>15</v>
      </c>
      <c r="E65" s="33" t="s">
        <v>21</v>
      </c>
      <c r="F65" s="35"/>
      <c r="G65" s="103"/>
      <c r="H65" s="38"/>
      <c r="I65" s="267">
        <v>3.6</v>
      </c>
      <c r="J65" s="54" t="e">
        <f>I65/'통장내역(환율표)'!#REF!</f>
        <v>#REF!</v>
      </c>
      <c r="K65" s="263" t="e">
        <f t="shared" si="6"/>
        <v>#REF!</v>
      </c>
      <c r="L65" s="38" t="e">
        <f t="shared" si="7"/>
        <v>#REF!</v>
      </c>
      <c r="M65" s="34"/>
      <c r="N65" s="45" t="e">
        <f t="shared" si="8"/>
        <v>#REF!</v>
      </c>
    </row>
    <row r="66" spans="1:14" s="5" customFormat="1" ht="13.5" customHeight="1">
      <c r="A66" s="255">
        <v>44921</v>
      </c>
      <c r="B66" s="239" t="s">
        <v>476</v>
      </c>
      <c r="C66" s="266"/>
      <c r="D66" s="37">
        <v>16</v>
      </c>
      <c r="E66" s="33" t="s">
        <v>481</v>
      </c>
      <c r="F66" s="35"/>
      <c r="G66" s="103"/>
      <c r="H66" s="38"/>
      <c r="I66" s="267">
        <v>300</v>
      </c>
      <c r="J66" s="54" t="e">
        <f>I66/'통장내역(환율표)'!#REF!</f>
        <v>#REF!</v>
      </c>
      <c r="K66" s="263" t="e">
        <f t="shared" si="6"/>
        <v>#REF!</v>
      </c>
      <c r="L66" s="38" t="e">
        <f t="shared" si="7"/>
        <v>#REF!</v>
      </c>
      <c r="M66" s="34"/>
      <c r="N66" s="45" t="e">
        <f t="shared" si="8"/>
        <v>#REF!</v>
      </c>
    </row>
    <row r="67" spans="1:14" s="5" customFormat="1" ht="13.5" customHeight="1">
      <c r="A67" s="255">
        <v>44921</v>
      </c>
      <c r="B67" s="239" t="s">
        <v>459</v>
      </c>
      <c r="C67" s="266"/>
      <c r="D67" s="37">
        <v>16</v>
      </c>
      <c r="E67" s="33" t="s">
        <v>21</v>
      </c>
      <c r="F67" s="35"/>
      <c r="G67" s="103"/>
      <c r="H67" s="38"/>
      <c r="I67" s="270">
        <v>3.6</v>
      </c>
      <c r="J67" s="54" t="e">
        <f>I67/'통장내역(환율표)'!#REF!</f>
        <v>#REF!</v>
      </c>
      <c r="K67" s="263" t="e">
        <f t="shared" si="6"/>
        <v>#REF!</v>
      </c>
      <c r="L67" s="38" t="e">
        <f t="shared" si="7"/>
        <v>#REF!</v>
      </c>
      <c r="M67" s="34"/>
      <c r="N67" s="45" t="e">
        <f t="shared" si="8"/>
        <v>#REF!</v>
      </c>
    </row>
    <row r="68" spans="1:14" s="5" customFormat="1" ht="13.5" customHeight="1">
      <c r="A68" s="255">
        <v>44921</v>
      </c>
      <c r="B68" s="239" t="s">
        <v>477</v>
      </c>
      <c r="C68" s="266"/>
      <c r="D68" s="37">
        <v>17</v>
      </c>
      <c r="E68" s="33" t="s">
        <v>488</v>
      </c>
      <c r="F68" s="35" t="s">
        <v>489</v>
      </c>
      <c r="G68" s="103"/>
      <c r="H68" s="38"/>
      <c r="I68" s="270">
        <v>500</v>
      </c>
      <c r="J68" s="54" t="e">
        <f>I68/'통장내역(환율표)'!#REF!</f>
        <v>#REF!</v>
      </c>
      <c r="K68" s="263" t="e">
        <f t="shared" si="6"/>
        <v>#REF!</v>
      </c>
      <c r="L68" s="38" t="e">
        <f t="shared" si="7"/>
        <v>#REF!</v>
      </c>
      <c r="M68" s="34"/>
      <c r="N68" s="45" t="e">
        <f t="shared" si="8"/>
        <v>#REF!</v>
      </c>
    </row>
    <row r="69" spans="1:14" s="5" customFormat="1" ht="13.5" customHeight="1">
      <c r="A69" s="255">
        <v>44921</v>
      </c>
      <c r="B69" s="239" t="s">
        <v>459</v>
      </c>
      <c r="C69" s="160"/>
      <c r="D69" s="37">
        <v>17</v>
      </c>
      <c r="E69" s="33" t="s">
        <v>21</v>
      </c>
      <c r="F69" s="35"/>
      <c r="G69" s="103"/>
      <c r="H69" s="38"/>
      <c r="I69" s="270">
        <v>3.6</v>
      </c>
      <c r="J69" s="54" t="e">
        <f>I69/'통장내역(환율표)'!#REF!</f>
        <v>#REF!</v>
      </c>
      <c r="K69" s="263" t="e">
        <f t="shared" si="6"/>
        <v>#REF!</v>
      </c>
      <c r="L69" s="38" t="e">
        <f t="shared" si="7"/>
        <v>#REF!</v>
      </c>
      <c r="M69" s="34"/>
      <c r="N69" s="45" t="e">
        <f t="shared" si="8"/>
        <v>#REF!</v>
      </c>
    </row>
    <row r="70" spans="1:14">
      <c r="I70" s="251"/>
    </row>
  </sheetData>
  <autoFilter ref="A16:N73" xr:uid="{00000000-0009-0000-0000-00000B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5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O103"/>
  <sheetViews>
    <sheetView showGridLines="0" topLeftCell="A3" zoomScale="85" zoomScaleNormal="85" workbookViewId="0">
      <selection activeCell="H22" sqref="H22"/>
    </sheetView>
  </sheetViews>
  <sheetFormatPr defaultRowHeight="17.399999999999999"/>
  <cols>
    <col min="1" max="1" width="10.19921875" bestFit="1" customWidth="1"/>
    <col min="2" max="2" width="30.69921875" customWidth="1"/>
    <col min="3" max="3" width="11.5976562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9.59765625" bestFit="1" customWidth="1"/>
  </cols>
  <sheetData>
    <row r="1" spans="1:14" ht="24">
      <c r="A1" s="1" t="s">
        <v>522</v>
      </c>
      <c r="B1" s="2"/>
      <c r="C1" s="2"/>
      <c r="D1" s="3"/>
      <c r="F1" s="5"/>
      <c r="G1" s="6"/>
      <c r="H1" s="6"/>
      <c r="I1" s="6"/>
      <c r="J1" s="6"/>
      <c r="K1" s="4">
        <v>100066029</v>
      </c>
      <c r="L1" s="5"/>
      <c r="M1" s="5"/>
    </row>
    <row r="2" spans="1:14" s="5" customFormat="1">
      <c r="A2" s="5" t="s">
        <v>535</v>
      </c>
      <c r="B2" s="2"/>
      <c r="C2" s="2"/>
      <c r="E2" s="4">
        <v>100000556</v>
      </c>
      <c r="F2" s="7"/>
      <c r="G2" s="5" t="s">
        <v>537</v>
      </c>
      <c r="H2" s="2"/>
      <c r="I2" s="2"/>
      <c r="K2" s="4">
        <v>100000561</v>
      </c>
      <c r="L2" s="139">
        <v>1200000696</v>
      </c>
    </row>
    <row r="3" spans="1:14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6480</v>
      </c>
      <c r="J5" s="116">
        <v>958.55469432257109</v>
      </c>
      <c r="K5" s="117">
        <v>1195120</v>
      </c>
      <c r="L5" s="340">
        <f>K5/I5</f>
        <v>184.4320987654321</v>
      </c>
    </row>
    <row r="6" spans="1:14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18400.170000000002</v>
      </c>
      <c r="J6" s="116">
        <v>2721.8471188014414</v>
      </c>
      <c r="K6" s="117">
        <v>3393603</v>
      </c>
      <c r="L6" s="240">
        <f t="shared" ref="L6:L10" si="0">K6+E6</f>
        <v>3393603</v>
      </c>
    </row>
    <row r="7" spans="1:14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2875.6640829677131</v>
      </c>
      <c r="K7" s="117">
        <v>3585373</v>
      </c>
      <c r="L7" s="240">
        <f t="shared" si="0"/>
        <v>3585373</v>
      </c>
    </row>
    <row r="8" spans="1:14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1553.2136250597216</v>
      </c>
      <c r="K8" s="117">
        <v>1936542</v>
      </c>
      <c r="L8" s="240">
        <f t="shared" si="0"/>
        <v>1936542</v>
      </c>
    </row>
    <row r="9" spans="1:14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1290</v>
      </c>
      <c r="J9" s="116">
        <v>190.82338822162293</v>
      </c>
      <c r="K9" s="117">
        <v>237914</v>
      </c>
      <c r="L9" s="240">
        <f t="shared" si="0"/>
        <v>237914</v>
      </c>
    </row>
    <row r="10" spans="1:14" s="5" customFormat="1" ht="15.6">
      <c r="A10" s="114" t="s">
        <v>62</v>
      </c>
      <c r="B10" s="115"/>
      <c r="C10" s="116">
        <v>42125.728266320431</v>
      </c>
      <c r="D10" s="116">
        <v>6056.891928679699</v>
      </c>
      <c r="E10" s="117">
        <v>7913932</v>
      </c>
      <c r="F10" s="121">
        <v>51321010</v>
      </c>
      <c r="G10" s="114" t="s">
        <v>62</v>
      </c>
      <c r="H10" s="115"/>
      <c r="I10" s="116">
        <v>118246.87173367961</v>
      </c>
      <c r="J10" s="116">
        <v>17517.581171184804</v>
      </c>
      <c r="K10" s="117">
        <v>21840919</v>
      </c>
      <c r="L10" s="240">
        <f t="shared" si="0"/>
        <v>29754851</v>
      </c>
    </row>
    <row r="11" spans="1:14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5.6">
      <c r="A12" s="2045" t="s">
        <v>299</v>
      </c>
      <c r="B12" s="2046"/>
      <c r="C12" s="124">
        <f>SUM(C4:C11)</f>
        <v>42125.728266320431</v>
      </c>
      <c r="D12" s="124">
        <f>SUM(D4:D11)</f>
        <v>6056.891928679699</v>
      </c>
      <c r="E12" s="125">
        <f>SUM(E4:E11)</f>
        <v>7913932</v>
      </c>
      <c r="F12" s="121">
        <v>52981010</v>
      </c>
      <c r="G12" s="2045" t="s">
        <v>299</v>
      </c>
      <c r="H12" s="2046"/>
      <c r="I12" s="124">
        <f>SUM(I4:I11)</f>
        <v>174357.04173367959</v>
      </c>
      <c r="J12" s="124">
        <f>SUM(J4:J11)</f>
        <v>25817.684080557876</v>
      </c>
      <c r="K12" s="125">
        <f>SUM(K4:K10)</f>
        <v>32189471</v>
      </c>
      <c r="L12" s="119"/>
    </row>
    <row r="13" spans="1:14" s="5" customFormat="1" ht="15.6">
      <c r="A13" s="126"/>
      <c r="B13" s="127"/>
      <c r="C13" s="128">
        <f>C12+I12</f>
        <v>216482.77000000002</v>
      </c>
      <c r="D13" s="128">
        <f t="shared" ref="D13:E13" si="1">D12+J12</f>
        <v>31874.576009237575</v>
      </c>
      <c r="E13" s="242">
        <f t="shared" si="1"/>
        <v>40103403</v>
      </c>
      <c r="F13" s="172"/>
      <c r="G13" s="130"/>
      <c r="H13" s="130"/>
      <c r="I13" s="131"/>
      <c r="J13" s="130"/>
      <c r="K13" s="280"/>
      <c r="L13" s="245">
        <v>2425.7418328151257</v>
      </c>
      <c r="N13" s="45"/>
    </row>
    <row r="14" spans="1:14" s="5" customFormat="1" ht="15.6">
      <c r="A14" s="133" t="s">
        <v>23</v>
      </c>
      <c r="B14" s="134">
        <v>13081010</v>
      </c>
      <c r="C14" s="135"/>
      <c r="D14" s="135"/>
      <c r="E14" s="136"/>
      <c r="F14" s="119"/>
      <c r="G14" s="6"/>
      <c r="H14" s="137">
        <f>SUBTOTAL(9,H17:H103)</f>
        <v>33835.839999999997</v>
      </c>
      <c r="I14" s="137" t="e">
        <f>SUBTOTAL(9,I17:I118)</f>
        <v>#REF!</v>
      </c>
      <c r="J14" s="137" t="e">
        <f>SUBTOTAL(9,J17:J116)</f>
        <v>#REF!</v>
      </c>
      <c r="K14" s="132"/>
      <c r="L14" s="45"/>
    </row>
    <row r="15" spans="1:14" s="5" customFormat="1" ht="15.6">
      <c r="A15" s="2063" t="s">
        <v>300</v>
      </c>
      <c r="B15" s="2063" t="s">
        <v>25</v>
      </c>
      <c r="C15" s="2063"/>
      <c r="D15" s="2063" t="s">
        <v>26</v>
      </c>
      <c r="E15" s="2063" t="s">
        <v>1</v>
      </c>
      <c r="F15" s="2063" t="s">
        <v>2</v>
      </c>
      <c r="G15" s="2061" t="s">
        <v>232</v>
      </c>
      <c r="H15" s="2061"/>
      <c r="I15" s="2061" t="s">
        <v>30</v>
      </c>
      <c r="J15" s="2061"/>
      <c r="K15" s="2062" t="s">
        <v>31</v>
      </c>
      <c r="L15" s="2062"/>
      <c r="M15" s="2063" t="s">
        <v>32</v>
      </c>
    </row>
    <row r="16" spans="1:14" s="5" customFormat="1" ht="14.25" customHeight="1">
      <c r="A16" s="2063"/>
      <c r="B16" s="2063"/>
      <c r="C16" s="2063"/>
      <c r="D16" s="2063"/>
      <c r="E16" s="2063"/>
      <c r="F16" s="2063"/>
      <c r="G16" s="260" t="s">
        <v>302</v>
      </c>
      <c r="H16" s="261" t="s">
        <v>34</v>
      </c>
      <c r="I16" s="67" t="s">
        <v>33</v>
      </c>
      <c r="J16" s="67" t="s">
        <v>34</v>
      </c>
      <c r="K16" s="261" t="s">
        <v>33</v>
      </c>
      <c r="L16" s="261" t="s">
        <v>34</v>
      </c>
      <c r="M16" s="2063"/>
    </row>
    <row r="17" spans="1:14" s="5" customFormat="1" ht="13.5" customHeight="1">
      <c r="A17" s="229">
        <v>45290</v>
      </c>
      <c r="B17" s="155" t="s">
        <v>65</v>
      </c>
      <c r="C17" s="156"/>
      <c r="D17" s="232"/>
      <c r="E17" s="231"/>
      <c r="F17" s="232"/>
      <c r="G17" s="233"/>
      <c r="H17" s="233"/>
      <c r="I17" s="233"/>
      <c r="J17" s="233"/>
      <c r="K17" s="233">
        <v>42125.438670473981</v>
      </c>
      <c r="L17" s="233">
        <v>6056.8939544821696</v>
      </c>
      <c r="M17" s="232"/>
      <c r="N17" s="45">
        <v>6056.891928679699</v>
      </c>
    </row>
    <row r="18" spans="1:14" s="5" customFormat="1" ht="13.5" customHeight="1">
      <c r="A18" s="36">
        <v>44937</v>
      </c>
      <c r="B18" s="239" t="s">
        <v>496</v>
      </c>
      <c r="C18" s="160"/>
      <c r="D18" s="37">
        <v>1</v>
      </c>
      <c r="E18" s="33" t="s">
        <v>525</v>
      </c>
      <c r="F18" s="35"/>
      <c r="G18" s="103"/>
      <c r="H18" s="38"/>
      <c r="I18" s="267">
        <v>17495.22</v>
      </c>
      <c r="J18" s="54" t="e">
        <f>I18/'통장내역(환율표)'!#REF!</f>
        <v>#REF!</v>
      </c>
      <c r="K18" s="263">
        <f t="shared" ref="K18:K32" si="2">K17+G18-I18</f>
        <v>24630.21867047398</v>
      </c>
      <c r="L18" s="38" t="e">
        <f t="shared" ref="L18:L32" si="3">L17+H18-J18</f>
        <v>#REF!</v>
      </c>
      <c r="M18" s="34"/>
      <c r="N18" s="45" t="e">
        <f>N17-J18+H18</f>
        <v>#REF!</v>
      </c>
    </row>
    <row r="19" spans="1:14" s="5" customFormat="1" ht="13.5" customHeight="1">
      <c r="A19" s="36">
        <v>44937</v>
      </c>
      <c r="B19" s="239" t="s">
        <v>497</v>
      </c>
      <c r="C19" s="160"/>
      <c r="D19" s="37">
        <v>2</v>
      </c>
      <c r="E19" s="33"/>
      <c r="F19" s="35"/>
      <c r="G19" s="103">
        <v>228561.2</v>
      </c>
      <c r="H19" s="38">
        <v>33835.839999999997</v>
      </c>
      <c r="I19" s="267"/>
      <c r="J19" s="54" t="e">
        <f>I19/'통장내역(환율표)'!#REF!</f>
        <v>#REF!</v>
      </c>
      <c r="K19" s="263">
        <f t="shared" si="2"/>
        <v>253191.418670474</v>
      </c>
      <c r="L19" s="38" t="e">
        <f t="shared" si="3"/>
        <v>#REF!</v>
      </c>
      <c r="M19" s="34"/>
      <c r="N19" s="45"/>
    </row>
    <row r="20" spans="1:14" s="5" customFormat="1" ht="13.5" customHeight="1">
      <c r="A20" s="36">
        <v>44937</v>
      </c>
      <c r="B20" s="159" t="s">
        <v>445</v>
      </c>
      <c r="C20" s="160"/>
      <c r="D20" s="37">
        <v>1</v>
      </c>
      <c r="E20" s="33" t="s">
        <v>107</v>
      </c>
      <c r="F20" s="35"/>
      <c r="G20" s="103"/>
      <c r="H20" s="38"/>
      <c r="I20" s="267"/>
      <c r="J20" s="277">
        <v>25.9</v>
      </c>
      <c r="K20" s="263">
        <f t="shared" si="2"/>
        <v>253191.418670474</v>
      </c>
      <c r="L20" s="38" t="e">
        <f t="shared" si="3"/>
        <v>#REF!</v>
      </c>
      <c r="M20" s="34"/>
      <c r="N20" s="45"/>
    </row>
    <row r="21" spans="1:14" s="5" customFormat="1" ht="13.5" customHeight="1">
      <c r="A21" s="36">
        <v>44940</v>
      </c>
      <c r="B21" s="239" t="s">
        <v>498</v>
      </c>
      <c r="C21" s="160"/>
      <c r="D21" s="37">
        <v>3</v>
      </c>
      <c r="E21" s="33" t="s">
        <v>525</v>
      </c>
      <c r="F21" s="35"/>
      <c r="G21" s="103"/>
      <c r="H21" s="38"/>
      <c r="I21" s="267">
        <v>7606.18</v>
      </c>
      <c r="J21" s="54" t="e">
        <f>I21/'통장내역(환율표)'!#REF!</f>
        <v>#REF!</v>
      </c>
      <c r="K21" s="263">
        <f t="shared" si="2"/>
        <v>245585.23867047401</v>
      </c>
      <c r="L21" s="38" t="e">
        <f t="shared" si="3"/>
        <v>#REF!</v>
      </c>
      <c r="M21" s="34" t="s">
        <v>493</v>
      </c>
      <c r="N21" s="45" t="e">
        <f>N18-J21+H21</f>
        <v>#REF!</v>
      </c>
    </row>
    <row r="22" spans="1:14" s="5" customFormat="1" ht="13.5" customHeight="1">
      <c r="A22" s="36">
        <v>44940</v>
      </c>
      <c r="B22" s="239" t="s">
        <v>499</v>
      </c>
      <c r="C22" s="160"/>
      <c r="D22" s="37">
        <v>3</v>
      </c>
      <c r="E22" s="33" t="s">
        <v>525</v>
      </c>
      <c r="F22" s="35"/>
      <c r="G22" s="103"/>
      <c r="H22" s="38"/>
      <c r="I22" s="267">
        <v>765.69</v>
      </c>
      <c r="J22" s="54" t="e">
        <f>I22/'통장내역(환율표)'!#REF!</f>
        <v>#REF!</v>
      </c>
      <c r="K22" s="263">
        <f t="shared" si="2"/>
        <v>244819.548670474</v>
      </c>
      <c r="L22" s="38" t="e">
        <f t="shared" si="3"/>
        <v>#REF!</v>
      </c>
      <c r="M22" s="34" t="s">
        <v>493</v>
      </c>
      <c r="N22" s="45" t="e">
        <f>N21-J22+H22</f>
        <v>#REF!</v>
      </c>
    </row>
    <row r="23" spans="1:14" s="5" customFormat="1" ht="13.5" customHeight="1">
      <c r="A23" s="36">
        <v>44940</v>
      </c>
      <c r="B23" s="239" t="s">
        <v>500</v>
      </c>
      <c r="C23" s="160"/>
      <c r="D23" s="37">
        <v>3</v>
      </c>
      <c r="E23" s="33" t="s">
        <v>525</v>
      </c>
      <c r="F23" s="35"/>
      <c r="G23" s="103"/>
      <c r="H23" s="38"/>
      <c r="I23" s="267">
        <v>13500</v>
      </c>
      <c r="J23" s="54" t="e">
        <f>I23/'통장내역(환율표)'!#REF!</f>
        <v>#REF!</v>
      </c>
      <c r="K23" s="263">
        <f t="shared" si="2"/>
        <v>231319.548670474</v>
      </c>
      <c r="L23" s="38" t="e">
        <f t="shared" si="3"/>
        <v>#REF!</v>
      </c>
      <c r="M23" s="34" t="s">
        <v>493</v>
      </c>
      <c r="N23" s="45" t="e">
        <f>N22-J23+H23</f>
        <v>#REF!</v>
      </c>
    </row>
    <row r="24" spans="1:14" s="5" customFormat="1" ht="13.5" customHeight="1">
      <c r="A24" s="57">
        <v>44940</v>
      </c>
      <c r="B24" s="278" t="s">
        <v>523</v>
      </c>
      <c r="C24" s="174"/>
      <c r="D24" s="60">
        <v>3</v>
      </c>
      <c r="E24" s="59" t="s">
        <v>525</v>
      </c>
      <c r="F24" s="61"/>
      <c r="G24" s="175"/>
      <c r="H24" s="62"/>
      <c r="I24" s="279" t="e">
        <f>J24*'통장내역(환율표)'!#REF!</f>
        <v>#REF!</v>
      </c>
      <c r="J24" s="54">
        <v>396.64059322107664</v>
      </c>
      <c r="K24" s="262" t="e">
        <f t="shared" si="2"/>
        <v>#REF!</v>
      </c>
      <c r="L24" s="62" t="e">
        <f t="shared" si="3"/>
        <v>#REF!</v>
      </c>
      <c r="M24" s="58" t="s">
        <v>493</v>
      </c>
      <c r="N24" s="45" t="e">
        <f>N23-J24+H24</f>
        <v>#REF!</v>
      </c>
    </row>
    <row r="25" spans="1:14" s="5" customFormat="1" ht="13.5" customHeight="1">
      <c r="A25" s="57">
        <v>44940</v>
      </c>
      <c r="B25" s="278" t="s">
        <v>524</v>
      </c>
      <c r="C25" s="174"/>
      <c r="D25" s="60">
        <v>3</v>
      </c>
      <c r="E25" s="59" t="s">
        <v>525</v>
      </c>
      <c r="F25" s="61"/>
      <c r="G25" s="175"/>
      <c r="H25" s="62"/>
      <c r="I25" s="279" t="e">
        <f>20000-I24</f>
        <v>#REF!</v>
      </c>
      <c r="J25" s="277" t="e">
        <f>I25/'통장내역(환율표)'!#REF!</f>
        <v>#REF!</v>
      </c>
      <c r="K25" s="262" t="e">
        <f t="shared" si="2"/>
        <v>#REF!</v>
      </c>
      <c r="L25" s="62" t="e">
        <f t="shared" si="3"/>
        <v>#REF!</v>
      </c>
      <c r="M25" s="58" t="s">
        <v>493</v>
      </c>
      <c r="N25" s="45" t="e">
        <f>33809.94-J25</f>
        <v>#REF!</v>
      </c>
    </row>
    <row r="26" spans="1:14" s="5" customFormat="1" ht="13.5" customHeight="1">
      <c r="A26" s="36">
        <v>44940</v>
      </c>
      <c r="B26" s="239" t="s">
        <v>502</v>
      </c>
      <c r="C26" s="160"/>
      <c r="D26" s="37">
        <v>3</v>
      </c>
      <c r="E26" s="33" t="s">
        <v>525</v>
      </c>
      <c r="F26" s="35"/>
      <c r="G26" s="103"/>
      <c r="H26" s="38"/>
      <c r="I26" s="267">
        <v>300</v>
      </c>
      <c r="J26" s="277" t="e">
        <f>I26/'통장내역(환율표)'!#REF!</f>
        <v>#REF!</v>
      </c>
      <c r="K26" s="263" t="e">
        <f t="shared" si="2"/>
        <v>#REF!</v>
      </c>
      <c r="L26" s="38" t="e">
        <f t="shared" si="3"/>
        <v>#REF!</v>
      </c>
      <c r="M26" s="34" t="s">
        <v>493</v>
      </c>
      <c r="N26" s="45" t="e">
        <f t="shared" ref="N26:N70" si="4">N25-J26+H26</f>
        <v>#REF!</v>
      </c>
    </row>
    <row r="27" spans="1:14" s="5" customFormat="1" ht="13.5" customHeight="1">
      <c r="A27" s="36">
        <v>44940</v>
      </c>
      <c r="B27" s="239" t="s">
        <v>498</v>
      </c>
      <c r="C27" s="160"/>
      <c r="D27" s="37">
        <v>3</v>
      </c>
      <c r="E27" s="33" t="s">
        <v>525</v>
      </c>
      <c r="F27" s="35"/>
      <c r="G27" s="103"/>
      <c r="H27" s="38"/>
      <c r="I27" s="267">
        <v>4231.18</v>
      </c>
      <c r="J27" s="277" t="e">
        <f>I27/'통장내역(환율표)'!#REF!</f>
        <v>#REF!</v>
      </c>
      <c r="K27" s="263" t="e">
        <f t="shared" si="2"/>
        <v>#REF!</v>
      </c>
      <c r="L27" s="38" t="e">
        <f t="shared" si="3"/>
        <v>#REF!</v>
      </c>
      <c r="M27" s="34" t="s">
        <v>211</v>
      </c>
      <c r="N27" s="45" t="e">
        <f t="shared" si="4"/>
        <v>#REF!</v>
      </c>
    </row>
    <row r="28" spans="1:14" s="5" customFormat="1" ht="13.5" customHeight="1">
      <c r="A28" s="36">
        <v>44940</v>
      </c>
      <c r="B28" s="239" t="s">
        <v>499</v>
      </c>
      <c r="C28" s="160"/>
      <c r="D28" s="37">
        <v>3</v>
      </c>
      <c r="E28" s="33" t="s">
        <v>525</v>
      </c>
      <c r="F28" s="35"/>
      <c r="G28" s="103"/>
      <c r="H28" s="38"/>
      <c r="I28" s="267">
        <v>634.29</v>
      </c>
      <c r="J28" s="277" t="e">
        <f>I28/'통장내역(환율표)'!#REF!</f>
        <v>#REF!</v>
      </c>
      <c r="K28" s="263" t="e">
        <f t="shared" si="2"/>
        <v>#REF!</v>
      </c>
      <c r="L28" s="38" t="e">
        <f t="shared" si="3"/>
        <v>#REF!</v>
      </c>
      <c r="M28" s="34" t="s">
        <v>211</v>
      </c>
      <c r="N28" s="45" t="e">
        <f t="shared" si="4"/>
        <v>#REF!</v>
      </c>
    </row>
    <row r="29" spans="1:14" s="5" customFormat="1" ht="13.5" customHeight="1">
      <c r="A29" s="36">
        <v>44940</v>
      </c>
      <c r="B29" s="239" t="s">
        <v>500</v>
      </c>
      <c r="C29" s="160"/>
      <c r="D29" s="37">
        <v>3</v>
      </c>
      <c r="E29" s="33" t="s">
        <v>525</v>
      </c>
      <c r="F29" s="35"/>
      <c r="G29" s="103"/>
      <c r="H29" s="38"/>
      <c r="I29" s="267">
        <v>13500</v>
      </c>
      <c r="J29" s="277" t="e">
        <f>I29/'통장내역(환율표)'!#REF!</f>
        <v>#REF!</v>
      </c>
      <c r="K29" s="263" t="e">
        <f t="shared" si="2"/>
        <v>#REF!</v>
      </c>
      <c r="L29" s="38" t="e">
        <f t="shared" si="3"/>
        <v>#REF!</v>
      </c>
      <c r="M29" s="34" t="s">
        <v>211</v>
      </c>
      <c r="N29" s="45" t="e">
        <f t="shared" si="4"/>
        <v>#REF!</v>
      </c>
    </row>
    <row r="30" spans="1:14" s="5" customFormat="1" ht="13.5" customHeight="1">
      <c r="A30" s="36">
        <v>44940</v>
      </c>
      <c r="B30" s="239" t="s">
        <v>501</v>
      </c>
      <c r="C30" s="160"/>
      <c r="D30" s="37">
        <v>3</v>
      </c>
      <c r="E30" s="33" t="s">
        <v>525</v>
      </c>
      <c r="F30" s="35"/>
      <c r="G30" s="103"/>
      <c r="H30" s="38"/>
      <c r="I30" s="267">
        <v>14000</v>
      </c>
      <c r="J30" s="277" t="e">
        <f>I30/'통장내역(환율표)'!#REF!</f>
        <v>#REF!</v>
      </c>
      <c r="K30" s="263" t="e">
        <f t="shared" si="2"/>
        <v>#REF!</v>
      </c>
      <c r="L30" s="38" t="e">
        <f t="shared" si="3"/>
        <v>#REF!</v>
      </c>
      <c r="M30" s="34" t="s">
        <v>211</v>
      </c>
      <c r="N30" s="45" t="e">
        <f t="shared" si="4"/>
        <v>#REF!</v>
      </c>
    </row>
    <row r="31" spans="1:14" s="5" customFormat="1" ht="13.5" customHeight="1">
      <c r="A31" s="36">
        <v>44940</v>
      </c>
      <c r="B31" s="239" t="s">
        <v>130</v>
      </c>
      <c r="C31" s="160"/>
      <c r="D31" s="37">
        <v>3</v>
      </c>
      <c r="E31" s="33" t="s">
        <v>525</v>
      </c>
      <c r="F31" s="35"/>
      <c r="G31" s="103"/>
      <c r="H31" s="38"/>
      <c r="I31" s="267">
        <v>300</v>
      </c>
      <c r="J31" s="277" t="e">
        <f>I31/'통장내역(환율표)'!#REF!</f>
        <v>#REF!</v>
      </c>
      <c r="K31" s="263" t="e">
        <f t="shared" si="2"/>
        <v>#REF!</v>
      </c>
      <c r="L31" s="38" t="e">
        <f t="shared" si="3"/>
        <v>#REF!</v>
      </c>
      <c r="M31" s="34" t="s">
        <v>211</v>
      </c>
      <c r="N31" s="45" t="e">
        <f t="shared" si="4"/>
        <v>#REF!</v>
      </c>
    </row>
    <row r="32" spans="1:14" s="5" customFormat="1" ht="13.5" customHeight="1">
      <c r="A32" s="36">
        <v>44940</v>
      </c>
      <c r="B32" s="239" t="s">
        <v>871</v>
      </c>
      <c r="C32" s="160"/>
      <c r="D32" s="37">
        <v>3</v>
      </c>
      <c r="E32" s="33" t="s">
        <v>525</v>
      </c>
      <c r="F32" s="35"/>
      <c r="G32" s="103"/>
      <c r="H32" s="38"/>
      <c r="I32" s="267">
        <v>5043.1899999999996</v>
      </c>
      <c r="J32" s="277" t="e">
        <f>I32/'통장내역(환율표)'!#REF!</f>
        <v>#REF!</v>
      </c>
      <c r="K32" s="263" t="e">
        <f t="shared" si="2"/>
        <v>#REF!</v>
      </c>
      <c r="L32" s="38" t="e">
        <f t="shared" si="3"/>
        <v>#REF!</v>
      </c>
      <c r="M32" s="34" t="s">
        <v>453</v>
      </c>
      <c r="N32" s="45" t="e">
        <f t="shared" si="4"/>
        <v>#REF!</v>
      </c>
    </row>
    <row r="33" spans="1:14" s="5" customFormat="1" ht="13.5" customHeight="1">
      <c r="A33" s="36">
        <v>44940</v>
      </c>
      <c r="B33" s="239" t="s">
        <v>872</v>
      </c>
      <c r="C33" s="160"/>
      <c r="D33" s="37">
        <v>3</v>
      </c>
      <c r="E33" s="33" t="s">
        <v>525</v>
      </c>
      <c r="F33" s="35"/>
      <c r="G33" s="103"/>
      <c r="H33" s="38"/>
      <c r="I33" s="267">
        <v>52700</v>
      </c>
      <c r="J33" s="277" t="e">
        <f>I33/'통장내역(환율표)'!#REF!</f>
        <v>#REF!</v>
      </c>
      <c r="K33" s="263" t="e">
        <f t="shared" ref="K33:K70" si="5">K32+G33-I33</f>
        <v>#REF!</v>
      </c>
      <c r="L33" s="38" t="e">
        <f t="shared" ref="L33:L70" si="6">L32+H33-J33</f>
        <v>#REF!</v>
      </c>
      <c r="M33" s="34" t="s">
        <v>453</v>
      </c>
      <c r="N33" s="45" t="e">
        <f>#REF!-J33+H33</f>
        <v>#REF!</v>
      </c>
    </row>
    <row r="34" spans="1:14" s="5" customFormat="1" ht="13.5" customHeight="1">
      <c r="A34" s="36">
        <v>44940</v>
      </c>
      <c r="B34" s="239" t="s">
        <v>873</v>
      </c>
      <c r="C34" s="160"/>
      <c r="D34" s="37">
        <v>3</v>
      </c>
      <c r="E34" s="33" t="s">
        <v>525</v>
      </c>
      <c r="F34" s="35"/>
      <c r="G34" s="103"/>
      <c r="H34" s="38"/>
      <c r="I34" s="267">
        <v>300</v>
      </c>
      <c r="J34" s="277" t="e">
        <f>I34/'통장내역(환율표)'!#REF!</f>
        <v>#REF!</v>
      </c>
      <c r="K34" s="263" t="e">
        <f t="shared" si="5"/>
        <v>#REF!</v>
      </c>
      <c r="L34" s="38" t="e">
        <f t="shared" si="6"/>
        <v>#REF!</v>
      </c>
      <c r="M34" s="34" t="s">
        <v>453</v>
      </c>
      <c r="N34" s="45" t="e">
        <f t="shared" si="4"/>
        <v>#REF!</v>
      </c>
    </row>
    <row r="35" spans="1:14" s="5" customFormat="1" ht="13.5" customHeight="1">
      <c r="A35" s="36">
        <v>44940</v>
      </c>
      <c r="B35" s="239" t="s">
        <v>503</v>
      </c>
      <c r="C35" s="160"/>
      <c r="D35" s="37">
        <v>3</v>
      </c>
      <c r="E35" s="33" t="s">
        <v>525</v>
      </c>
      <c r="F35" s="35"/>
      <c r="G35" s="103"/>
      <c r="H35" s="38"/>
      <c r="I35" s="267">
        <v>12</v>
      </c>
      <c r="J35" s="277" t="e">
        <f>I35/'통장내역(환율표)'!#REF!</f>
        <v>#REF!</v>
      </c>
      <c r="K35" s="263" t="e">
        <f t="shared" si="5"/>
        <v>#REF!</v>
      </c>
      <c r="L35" s="38" t="e">
        <f t="shared" si="6"/>
        <v>#REF!</v>
      </c>
      <c r="M35" s="34"/>
      <c r="N35" s="45" t="e">
        <f t="shared" si="4"/>
        <v>#REF!</v>
      </c>
    </row>
    <row r="36" spans="1:14" s="5" customFormat="1" ht="13.5" customHeight="1">
      <c r="A36" s="36">
        <v>44940</v>
      </c>
      <c r="B36" s="239" t="s">
        <v>504</v>
      </c>
      <c r="C36" s="160"/>
      <c r="D36" s="37">
        <v>4</v>
      </c>
      <c r="E36" s="33" t="s">
        <v>15</v>
      </c>
      <c r="F36" s="35" t="s">
        <v>483</v>
      </c>
      <c r="G36" s="103"/>
      <c r="H36" s="38"/>
      <c r="I36" s="267">
        <v>19440</v>
      </c>
      <c r="J36" s="277" t="e">
        <f>I36/'통장내역(환율표)'!#REF!</f>
        <v>#REF!</v>
      </c>
      <c r="K36" s="263" t="e">
        <f t="shared" si="5"/>
        <v>#REF!</v>
      </c>
      <c r="L36" s="38" t="e">
        <f t="shared" si="6"/>
        <v>#REF!</v>
      </c>
      <c r="M36" s="34" t="s">
        <v>494</v>
      </c>
      <c r="N36" s="45" t="e">
        <f t="shared" si="4"/>
        <v>#REF!</v>
      </c>
    </row>
    <row r="37" spans="1:14" s="5" customFormat="1" ht="13.5" customHeight="1">
      <c r="A37" s="36">
        <v>44940</v>
      </c>
      <c r="B37" s="239" t="s">
        <v>503</v>
      </c>
      <c r="C37" s="160"/>
      <c r="D37" s="37">
        <v>4</v>
      </c>
      <c r="E37" s="33" t="s">
        <v>525</v>
      </c>
      <c r="F37" s="35"/>
      <c r="G37" s="103"/>
      <c r="H37" s="38"/>
      <c r="I37" s="267">
        <v>7.2</v>
      </c>
      <c r="J37" s="277" t="e">
        <f>I37/'통장내역(환율표)'!#REF!</f>
        <v>#REF!</v>
      </c>
      <c r="K37" s="263" t="e">
        <f t="shared" si="5"/>
        <v>#REF!</v>
      </c>
      <c r="L37" s="38" t="e">
        <f t="shared" si="6"/>
        <v>#REF!</v>
      </c>
      <c r="M37" s="34"/>
      <c r="N37" s="45" t="e">
        <f t="shared" si="4"/>
        <v>#REF!</v>
      </c>
    </row>
    <row r="38" spans="1:14" s="5" customFormat="1" ht="13.5" customHeight="1">
      <c r="A38" s="36">
        <v>44940</v>
      </c>
      <c r="B38" s="239" t="s">
        <v>505</v>
      </c>
      <c r="C38" s="160"/>
      <c r="D38" s="37">
        <v>5</v>
      </c>
      <c r="E38" s="33" t="s">
        <v>15</v>
      </c>
      <c r="F38" s="35" t="s">
        <v>226</v>
      </c>
      <c r="G38" s="103"/>
      <c r="H38" s="38"/>
      <c r="I38" s="267">
        <v>10500</v>
      </c>
      <c r="J38" s="277" t="e">
        <f>I38/'통장내역(환율표)'!#REF!</f>
        <v>#REF!</v>
      </c>
      <c r="K38" s="263" t="e">
        <f t="shared" si="5"/>
        <v>#REF!</v>
      </c>
      <c r="L38" s="38" t="e">
        <f t="shared" si="6"/>
        <v>#REF!</v>
      </c>
      <c r="M38" s="34"/>
      <c r="N38" s="45" t="e">
        <f t="shared" si="4"/>
        <v>#REF!</v>
      </c>
    </row>
    <row r="39" spans="1:14" s="5" customFormat="1" ht="13.5" customHeight="1">
      <c r="A39" s="36">
        <v>44940</v>
      </c>
      <c r="B39" s="239" t="s">
        <v>506</v>
      </c>
      <c r="C39" s="160"/>
      <c r="D39" s="37">
        <v>5</v>
      </c>
      <c r="E39" s="33" t="s">
        <v>525</v>
      </c>
      <c r="F39" s="35"/>
      <c r="G39" s="103"/>
      <c r="H39" s="38"/>
      <c r="I39" s="267">
        <v>6000</v>
      </c>
      <c r="J39" s="277" t="e">
        <f>I39/'통장내역(환율표)'!#REF!</f>
        <v>#REF!</v>
      </c>
      <c r="K39" s="263" t="e">
        <f t="shared" si="5"/>
        <v>#REF!</v>
      </c>
      <c r="L39" s="38" t="e">
        <f t="shared" si="6"/>
        <v>#REF!</v>
      </c>
      <c r="M39" s="34"/>
      <c r="N39" s="45" t="e">
        <f t="shared" si="4"/>
        <v>#REF!</v>
      </c>
    </row>
    <row r="40" spans="1:14" s="5" customFormat="1" ht="13.5" customHeight="1">
      <c r="A40" s="36">
        <v>44940</v>
      </c>
      <c r="B40" s="239" t="s">
        <v>503</v>
      </c>
      <c r="C40" s="160"/>
      <c r="D40" s="37">
        <v>5</v>
      </c>
      <c r="E40" s="33" t="s">
        <v>525</v>
      </c>
      <c r="F40" s="35"/>
      <c r="G40" s="103"/>
      <c r="H40" s="38"/>
      <c r="I40" s="267">
        <v>7.2</v>
      </c>
      <c r="J40" s="277" t="e">
        <f>I40/'통장내역(환율표)'!#REF!</f>
        <v>#REF!</v>
      </c>
      <c r="K40" s="263" t="e">
        <f t="shared" si="5"/>
        <v>#REF!</v>
      </c>
      <c r="L40" s="38" t="e">
        <f t="shared" si="6"/>
        <v>#REF!</v>
      </c>
      <c r="M40" s="34"/>
      <c r="N40" s="45" t="e">
        <f t="shared" si="4"/>
        <v>#REF!</v>
      </c>
    </row>
    <row r="41" spans="1:14" s="5" customFormat="1" ht="13.5" customHeight="1">
      <c r="A41" s="36">
        <v>44940</v>
      </c>
      <c r="B41" s="239" t="s">
        <v>507</v>
      </c>
      <c r="C41" s="160"/>
      <c r="D41" s="37">
        <v>6</v>
      </c>
      <c r="E41" s="33" t="s">
        <v>525</v>
      </c>
      <c r="F41" s="35"/>
      <c r="G41" s="103"/>
      <c r="H41" s="38"/>
      <c r="I41" s="267">
        <v>1000</v>
      </c>
      <c r="J41" s="277" t="e">
        <f>I41/'통장내역(환율표)'!#REF!</f>
        <v>#REF!</v>
      </c>
      <c r="K41" s="263" t="e">
        <f t="shared" si="5"/>
        <v>#REF!</v>
      </c>
      <c r="L41" s="38" t="e">
        <f t="shared" si="6"/>
        <v>#REF!</v>
      </c>
      <c r="M41" s="34"/>
      <c r="N41" s="45" t="e">
        <f t="shared" si="4"/>
        <v>#REF!</v>
      </c>
    </row>
    <row r="42" spans="1:14" s="5" customFormat="1" ht="13.5" customHeight="1">
      <c r="A42" s="36">
        <v>44940</v>
      </c>
      <c r="B42" s="239" t="s">
        <v>503</v>
      </c>
      <c r="C42" s="160"/>
      <c r="D42" s="37">
        <v>6</v>
      </c>
      <c r="E42" s="33" t="s">
        <v>525</v>
      </c>
      <c r="F42" s="35"/>
      <c r="G42" s="103"/>
      <c r="H42" s="38"/>
      <c r="I42" s="267">
        <v>3.6</v>
      </c>
      <c r="J42" s="277" t="e">
        <f>I42/'통장내역(환율표)'!#REF!</f>
        <v>#REF!</v>
      </c>
      <c r="K42" s="263" t="e">
        <f t="shared" si="5"/>
        <v>#REF!</v>
      </c>
      <c r="L42" s="38" t="e">
        <f t="shared" si="6"/>
        <v>#REF!</v>
      </c>
      <c r="M42" s="34"/>
      <c r="N42" s="45" t="e">
        <f t="shared" si="4"/>
        <v>#REF!</v>
      </c>
    </row>
    <row r="43" spans="1:14" s="5" customFormat="1" ht="13.5" customHeight="1">
      <c r="A43" s="36">
        <v>44940</v>
      </c>
      <c r="B43" s="239" t="s">
        <v>508</v>
      </c>
      <c r="C43" s="160"/>
      <c r="D43" s="37">
        <v>7</v>
      </c>
      <c r="E43" s="33" t="s">
        <v>525</v>
      </c>
      <c r="F43" s="35"/>
      <c r="G43" s="103"/>
      <c r="H43" s="38"/>
      <c r="I43" s="267">
        <v>680.17</v>
      </c>
      <c r="J43" s="277">
        <v>100.61</v>
      </c>
      <c r="K43" s="263" t="e">
        <f t="shared" si="5"/>
        <v>#REF!</v>
      </c>
      <c r="L43" s="38" t="e">
        <f t="shared" si="6"/>
        <v>#REF!</v>
      </c>
      <c r="M43" s="34"/>
      <c r="N43" s="45" t="e">
        <f t="shared" si="4"/>
        <v>#REF!</v>
      </c>
    </row>
    <row r="44" spans="1:14" s="5" customFormat="1" ht="13.5" customHeight="1">
      <c r="A44" s="36">
        <v>44940</v>
      </c>
      <c r="B44" s="239" t="s">
        <v>503</v>
      </c>
      <c r="C44" s="160"/>
      <c r="D44" s="37">
        <v>7</v>
      </c>
      <c r="E44" s="33" t="s">
        <v>525</v>
      </c>
      <c r="F44" s="35"/>
      <c r="G44" s="103"/>
      <c r="H44" s="38"/>
      <c r="I44" s="267">
        <v>3.6</v>
      </c>
      <c r="J44" s="277" t="e">
        <f>I44/'통장내역(환율표)'!#REF!</f>
        <v>#REF!</v>
      </c>
      <c r="K44" s="263" t="e">
        <f t="shared" si="5"/>
        <v>#REF!</v>
      </c>
      <c r="L44" s="38" t="e">
        <f t="shared" si="6"/>
        <v>#REF!</v>
      </c>
      <c r="M44" s="34"/>
      <c r="N44" s="45" t="e">
        <f t="shared" si="4"/>
        <v>#REF!</v>
      </c>
    </row>
    <row r="45" spans="1:14" s="5" customFormat="1" ht="13.5" customHeight="1">
      <c r="A45" s="36">
        <v>44946</v>
      </c>
      <c r="B45" s="239" t="s">
        <v>509</v>
      </c>
      <c r="C45" s="160"/>
      <c r="D45" s="37">
        <v>8</v>
      </c>
      <c r="E45" s="33" t="s">
        <v>526</v>
      </c>
      <c r="F45" s="35" t="s">
        <v>527</v>
      </c>
      <c r="G45" s="103"/>
      <c r="H45" s="38"/>
      <c r="I45" s="267">
        <v>900</v>
      </c>
      <c r="J45" s="277" t="e">
        <f>I45/'통장내역(환율표)'!#REF!</f>
        <v>#REF!</v>
      </c>
      <c r="K45" s="263" t="e">
        <f t="shared" si="5"/>
        <v>#REF!</v>
      </c>
      <c r="L45" s="38" t="e">
        <f t="shared" si="6"/>
        <v>#REF!</v>
      </c>
      <c r="M45" s="34"/>
      <c r="N45" s="45" t="e">
        <f t="shared" si="4"/>
        <v>#REF!</v>
      </c>
    </row>
    <row r="46" spans="1:14" s="5" customFormat="1" ht="13.5" customHeight="1">
      <c r="A46" s="36">
        <v>44946</v>
      </c>
      <c r="B46" s="239" t="s">
        <v>510</v>
      </c>
      <c r="C46" s="160"/>
      <c r="D46" s="37">
        <v>8</v>
      </c>
      <c r="E46" s="33" t="s">
        <v>526</v>
      </c>
      <c r="F46" s="35" t="s">
        <v>527</v>
      </c>
      <c r="G46" s="103"/>
      <c r="H46" s="38"/>
      <c r="I46" s="267">
        <v>1642.5</v>
      </c>
      <c r="J46" s="277">
        <v>242.965</v>
      </c>
      <c r="K46" s="263" t="e">
        <f t="shared" si="5"/>
        <v>#REF!</v>
      </c>
      <c r="L46" s="38" t="e">
        <f t="shared" si="6"/>
        <v>#REF!</v>
      </c>
      <c r="M46" s="34"/>
      <c r="N46" s="45" t="e">
        <f t="shared" si="4"/>
        <v>#REF!</v>
      </c>
    </row>
    <row r="47" spans="1:14" s="5" customFormat="1" ht="13.5" customHeight="1">
      <c r="A47" s="36">
        <v>44946</v>
      </c>
      <c r="B47" s="239" t="s">
        <v>511</v>
      </c>
      <c r="C47" s="160"/>
      <c r="D47" s="37">
        <v>8</v>
      </c>
      <c r="E47" s="33" t="s">
        <v>526</v>
      </c>
      <c r="F47" s="35" t="s">
        <v>527</v>
      </c>
      <c r="G47" s="103"/>
      <c r="H47" s="38"/>
      <c r="I47" s="267">
        <v>210</v>
      </c>
      <c r="J47" s="277" t="e">
        <f>I47/'통장내역(환율표)'!#REF!</f>
        <v>#REF!</v>
      </c>
      <c r="K47" s="263" t="e">
        <f t="shared" si="5"/>
        <v>#REF!</v>
      </c>
      <c r="L47" s="38" t="e">
        <f t="shared" si="6"/>
        <v>#REF!</v>
      </c>
      <c r="M47" s="34"/>
      <c r="N47" s="45" t="e">
        <f t="shared" si="4"/>
        <v>#REF!</v>
      </c>
    </row>
    <row r="48" spans="1:14" s="5" customFormat="1" ht="13.5" customHeight="1">
      <c r="A48" s="36">
        <v>44946</v>
      </c>
      <c r="B48" s="239" t="s">
        <v>503</v>
      </c>
      <c r="C48" s="160"/>
      <c r="D48" s="37">
        <v>8</v>
      </c>
      <c r="E48" s="33" t="s">
        <v>525</v>
      </c>
      <c r="F48" s="35"/>
      <c r="G48" s="103"/>
      <c r="H48" s="38"/>
      <c r="I48" s="267">
        <v>3.6</v>
      </c>
      <c r="J48" s="277" t="e">
        <f>I48/'통장내역(환율표)'!#REF!</f>
        <v>#REF!</v>
      </c>
      <c r="K48" s="263" t="e">
        <f t="shared" si="5"/>
        <v>#REF!</v>
      </c>
      <c r="L48" s="38" t="e">
        <f t="shared" si="6"/>
        <v>#REF!</v>
      </c>
      <c r="M48" s="34"/>
      <c r="N48" s="45" t="e">
        <f t="shared" si="4"/>
        <v>#REF!</v>
      </c>
    </row>
    <row r="49" spans="1:14" s="5" customFormat="1" ht="12.75" customHeight="1">
      <c r="A49" s="36">
        <v>44946</v>
      </c>
      <c r="B49" s="239" t="s">
        <v>532</v>
      </c>
      <c r="C49" s="160"/>
      <c r="D49" s="37">
        <v>9</v>
      </c>
      <c r="E49" s="33" t="s">
        <v>526</v>
      </c>
      <c r="F49" s="35" t="s">
        <v>527</v>
      </c>
      <c r="G49" s="103"/>
      <c r="H49" s="38"/>
      <c r="I49" s="267">
        <v>2025.1</v>
      </c>
      <c r="J49" s="277" t="e">
        <f>I49/'통장내역(환율표)'!#REF!</f>
        <v>#REF!</v>
      </c>
      <c r="K49" s="263" t="e">
        <f t="shared" si="5"/>
        <v>#REF!</v>
      </c>
      <c r="L49" s="38" t="e">
        <f t="shared" si="6"/>
        <v>#REF!</v>
      </c>
      <c r="M49" s="34"/>
      <c r="N49" s="45" t="e">
        <f t="shared" si="4"/>
        <v>#REF!</v>
      </c>
    </row>
    <row r="50" spans="1:14" s="5" customFormat="1" ht="12.75" customHeight="1">
      <c r="A50" s="36">
        <v>44946</v>
      </c>
      <c r="B50" s="239" t="s">
        <v>512</v>
      </c>
      <c r="C50" s="160"/>
      <c r="D50" s="37">
        <v>9</v>
      </c>
      <c r="E50" s="33" t="s">
        <v>525</v>
      </c>
      <c r="F50" s="35"/>
      <c r="G50" s="103"/>
      <c r="H50" s="38"/>
      <c r="I50" s="267">
        <v>1398.11</v>
      </c>
      <c r="J50" s="277" t="e">
        <f>I50/'통장내역(환율표)'!#REF!</f>
        <v>#REF!</v>
      </c>
      <c r="K50" s="263" t="e">
        <f t="shared" si="5"/>
        <v>#REF!</v>
      </c>
      <c r="L50" s="38" t="e">
        <f t="shared" si="6"/>
        <v>#REF!</v>
      </c>
      <c r="M50" s="34"/>
      <c r="N50" s="45" t="e">
        <f t="shared" si="4"/>
        <v>#REF!</v>
      </c>
    </row>
    <row r="51" spans="1:14" s="5" customFormat="1" ht="12.75" customHeight="1">
      <c r="A51" s="36">
        <v>44946</v>
      </c>
      <c r="B51" s="239" t="s">
        <v>513</v>
      </c>
      <c r="C51" s="160"/>
      <c r="D51" s="37">
        <v>9</v>
      </c>
      <c r="E51" s="33" t="s">
        <v>528</v>
      </c>
      <c r="F51" s="35" t="s">
        <v>529</v>
      </c>
      <c r="G51" s="103"/>
      <c r="H51" s="38"/>
      <c r="I51" s="267">
        <v>197</v>
      </c>
      <c r="J51" s="277" t="e">
        <f>I51/'통장내역(환율표)'!#REF!</f>
        <v>#REF!</v>
      </c>
      <c r="K51" s="263" t="e">
        <f t="shared" si="5"/>
        <v>#REF!</v>
      </c>
      <c r="L51" s="38" t="e">
        <f t="shared" si="6"/>
        <v>#REF!</v>
      </c>
      <c r="M51" s="34"/>
      <c r="N51" s="45" t="e">
        <f t="shared" si="4"/>
        <v>#REF!</v>
      </c>
    </row>
    <row r="52" spans="1:14" s="5" customFormat="1" ht="12.75" customHeight="1">
      <c r="A52" s="36">
        <v>44946</v>
      </c>
      <c r="B52" s="239" t="s">
        <v>514</v>
      </c>
      <c r="C52" s="160"/>
      <c r="D52" s="37">
        <v>9</v>
      </c>
      <c r="E52" s="33" t="s">
        <v>530</v>
      </c>
      <c r="F52" s="35" t="s">
        <v>531</v>
      </c>
      <c r="G52" s="103"/>
      <c r="H52" s="38"/>
      <c r="I52" s="267">
        <v>234</v>
      </c>
      <c r="J52" s="277" t="e">
        <f>I52/'통장내역(환율표)'!#REF!</f>
        <v>#REF!</v>
      </c>
      <c r="K52" s="263" t="e">
        <f t="shared" si="5"/>
        <v>#REF!</v>
      </c>
      <c r="L52" s="38" t="e">
        <f t="shared" si="6"/>
        <v>#REF!</v>
      </c>
      <c r="M52" s="34"/>
      <c r="N52" s="45" t="e">
        <f t="shared" si="4"/>
        <v>#REF!</v>
      </c>
    </row>
    <row r="53" spans="1:14" s="5" customFormat="1" ht="12.75" customHeight="1">
      <c r="A53" s="255">
        <v>44946</v>
      </c>
      <c r="B53" s="239" t="s">
        <v>503</v>
      </c>
      <c r="C53" s="160"/>
      <c r="D53" s="37">
        <v>9</v>
      </c>
      <c r="E53" s="33" t="s">
        <v>525</v>
      </c>
      <c r="F53" s="35"/>
      <c r="G53" s="103"/>
      <c r="H53" s="38"/>
      <c r="I53" s="267">
        <v>3.6</v>
      </c>
      <c r="J53" s="277" t="e">
        <f>I53/'통장내역(환율표)'!#REF!</f>
        <v>#REF!</v>
      </c>
      <c r="K53" s="263" t="e">
        <f t="shared" si="5"/>
        <v>#REF!</v>
      </c>
      <c r="L53" s="38" t="e">
        <f t="shared" si="6"/>
        <v>#REF!</v>
      </c>
      <c r="M53" s="34"/>
      <c r="N53" s="45" t="e">
        <f t="shared" si="4"/>
        <v>#REF!</v>
      </c>
    </row>
    <row r="54" spans="1:14" s="5" customFormat="1" ht="13.5" customHeight="1">
      <c r="A54" s="255">
        <v>44946</v>
      </c>
      <c r="B54" s="239" t="s">
        <v>515</v>
      </c>
      <c r="C54" s="160"/>
      <c r="D54" s="37">
        <v>10</v>
      </c>
      <c r="E54" s="33" t="s">
        <v>526</v>
      </c>
      <c r="F54" s="35" t="s">
        <v>527</v>
      </c>
      <c r="G54" s="103"/>
      <c r="H54" s="38"/>
      <c r="I54" s="267">
        <v>5768</v>
      </c>
      <c r="J54" s="277" t="e">
        <f>I54/'통장내역(환율표)'!#REF!</f>
        <v>#REF!</v>
      </c>
      <c r="K54" s="263" t="e">
        <f t="shared" si="5"/>
        <v>#REF!</v>
      </c>
      <c r="L54" s="38" t="e">
        <f t="shared" si="6"/>
        <v>#REF!</v>
      </c>
      <c r="M54" s="34" t="s">
        <v>495</v>
      </c>
      <c r="N54" s="45" t="e">
        <f t="shared" si="4"/>
        <v>#REF!</v>
      </c>
    </row>
    <row r="55" spans="1:14" s="5" customFormat="1" ht="13.5" customHeight="1">
      <c r="A55" s="255">
        <v>44946</v>
      </c>
      <c r="B55" s="239" t="s">
        <v>503</v>
      </c>
      <c r="C55" s="160"/>
      <c r="D55" s="37">
        <v>10</v>
      </c>
      <c r="E55" s="33" t="s">
        <v>525</v>
      </c>
      <c r="F55" s="35"/>
      <c r="G55" s="103"/>
      <c r="H55" s="38"/>
      <c r="I55" s="267">
        <v>3.6</v>
      </c>
      <c r="J55" s="277" t="e">
        <f>I55/'통장내역(환율표)'!#REF!</f>
        <v>#REF!</v>
      </c>
      <c r="K55" s="263" t="e">
        <f t="shared" si="5"/>
        <v>#REF!</v>
      </c>
      <c r="L55" s="38" t="e">
        <f t="shared" si="6"/>
        <v>#REF!</v>
      </c>
      <c r="M55" s="34"/>
      <c r="N55" s="45" t="e">
        <f t="shared" si="4"/>
        <v>#REF!</v>
      </c>
    </row>
    <row r="56" spans="1:14" s="5" customFormat="1" ht="13.5" customHeight="1">
      <c r="A56" s="255">
        <v>44946</v>
      </c>
      <c r="B56" s="239" t="s">
        <v>516</v>
      </c>
      <c r="C56" s="160"/>
      <c r="D56" s="37">
        <v>11</v>
      </c>
      <c r="E56" s="33" t="s">
        <v>530</v>
      </c>
      <c r="F56" s="35" t="s">
        <v>531</v>
      </c>
      <c r="G56" s="103"/>
      <c r="H56" s="38"/>
      <c r="I56" s="267">
        <v>3794</v>
      </c>
      <c r="J56" s="277">
        <v>561.22500000000002</v>
      </c>
      <c r="K56" s="263" t="e">
        <f t="shared" si="5"/>
        <v>#REF!</v>
      </c>
      <c r="L56" s="38" t="e">
        <f t="shared" si="6"/>
        <v>#REF!</v>
      </c>
      <c r="M56" s="34"/>
      <c r="N56" s="45" t="e">
        <f t="shared" si="4"/>
        <v>#REF!</v>
      </c>
    </row>
    <row r="57" spans="1:14" s="5" customFormat="1" ht="13.5" customHeight="1">
      <c r="A57" s="255">
        <v>44946</v>
      </c>
      <c r="B57" s="239" t="s">
        <v>503</v>
      </c>
      <c r="C57" s="160"/>
      <c r="D57" s="37">
        <v>11</v>
      </c>
      <c r="E57" s="33" t="s">
        <v>525</v>
      </c>
      <c r="F57" s="35"/>
      <c r="G57" s="103"/>
      <c r="H57" s="38"/>
      <c r="I57" s="267">
        <v>3.6</v>
      </c>
      <c r="J57" s="277" t="e">
        <f>I57/'통장내역(환율표)'!#REF!</f>
        <v>#REF!</v>
      </c>
      <c r="K57" s="263" t="e">
        <f t="shared" si="5"/>
        <v>#REF!</v>
      </c>
      <c r="L57" s="38" t="e">
        <f t="shared" si="6"/>
        <v>#REF!</v>
      </c>
      <c r="M57" s="34"/>
      <c r="N57" s="45" t="e">
        <f t="shared" si="4"/>
        <v>#REF!</v>
      </c>
    </row>
    <row r="58" spans="1:14" s="5" customFormat="1" ht="13.5" customHeight="1">
      <c r="A58" s="255">
        <v>44946</v>
      </c>
      <c r="B58" s="239" t="s">
        <v>534</v>
      </c>
      <c r="C58" s="160"/>
      <c r="D58" s="37">
        <v>12</v>
      </c>
      <c r="E58" s="33" t="s">
        <v>528</v>
      </c>
      <c r="F58" s="35" t="s">
        <v>529</v>
      </c>
      <c r="G58" s="103"/>
      <c r="H58" s="38"/>
      <c r="I58" s="267">
        <v>200</v>
      </c>
      <c r="J58" s="277" t="e">
        <f>I58/'통장내역(환율표)'!#REF!</f>
        <v>#REF!</v>
      </c>
      <c r="K58" s="263" t="e">
        <f t="shared" si="5"/>
        <v>#REF!</v>
      </c>
      <c r="L58" s="38" t="e">
        <f t="shared" si="6"/>
        <v>#REF!</v>
      </c>
      <c r="M58" s="34"/>
      <c r="N58" s="45" t="e">
        <f t="shared" si="4"/>
        <v>#REF!</v>
      </c>
    </row>
    <row r="59" spans="1:14" s="5" customFormat="1" ht="13.5" customHeight="1">
      <c r="A59" s="255">
        <v>44946</v>
      </c>
      <c r="B59" s="239" t="s">
        <v>503</v>
      </c>
      <c r="C59" s="160"/>
      <c r="D59" s="37">
        <v>12</v>
      </c>
      <c r="E59" s="33" t="s">
        <v>525</v>
      </c>
      <c r="F59" s="35"/>
      <c r="G59" s="103"/>
      <c r="H59" s="38"/>
      <c r="I59" s="267">
        <v>3.6</v>
      </c>
      <c r="J59" s="277" t="e">
        <f>I59/'통장내역(환율표)'!#REF!</f>
        <v>#REF!</v>
      </c>
      <c r="K59" s="263" t="e">
        <f t="shared" si="5"/>
        <v>#REF!</v>
      </c>
      <c r="L59" s="38" t="e">
        <f t="shared" si="6"/>
        <v>#REF!</v>
      </c>
      <c r="M59" s="34"/>
      <c r="N59" s="45" t="e">
        <f t="shared" si="4"/>
        <v>#REF!</v>
      </c>
    </row>
    <row r="60" spans="1:14" s="5" customFormat="1" ht="13.5" customHeight="1">
      <c r="A60" s="255">
        <v>44946</v>
      </c>
      <c r="B60" s="239" t="s">
        <v>517</v>
      </c>
      <c r="C60" s="160"/>
      <c r="D60" s="37">
        <v>13</v>
      </c>
      <c r="E60" s="33" t="s">
        <v>526</v>
      </c>
      <c r="F60" s="35" t="s">
        <v>527</v>
      </c>
      <c r="G60" s="103"/>
      <c r="H60" s="38"/>
      <c r="I60" s="267">
        <v>6851.87</v>
      </c>
      <c r="J60" s="277" t="e">
        <f>I60/'통장내역(환율표)'!#REF!</f>
        <v>#REF!</v>
      </c>
      <c r="K60" s="263" t="e">
        <f t="shared" si="5"/>
        <v>#REF!</v>
      </c>
      <c r="L60" s="38" t="e">
        <f t="shared" si="6"/>
        <v>#REF!</v>
      </c>
      <c r="M60" s="34" t="s">
        <v>536</v>
      </c>
      <c r="N60" s="45" t="e">
        <f t="shared" si="4"/>
        <v>#REF!</v>
      </c>
    </row>
    <row r="61" spans="1:14" s="5" customFormat="1" ht="13.5" customHeight="1">
      <c r="A61" s="255">
        <v>44946</v>
      </c>
      <c r="B61" s="239" t="s">
        <v>503</v>
      </c>
      <c r="C61" s="160"/>
      <c r="D61" s="37">
        <v>13</v>
      </c>
      <c r="E61" s="33" t="s">
        <v>525</v>
      </c>
      <c r="F61" s="35"/>
      <c r="G61" s="103"/>
      <c r="H61" s="38"/>
      <c r="I61" s="267">
        <v>3.6</v>
      </c>
      <c r="J61" s="277" t="e">
        <f>I61/'통장내역(환율표)'!#REF!</f>
        <v>#REF!</v>
      </c>
      <c r="K61" s="263" t="e">
        <f t="shared" si="5"/>
        <v>#REF!</v>
      </c>
      <c r="L61" s="38" t="e">
        <f t="shared" si="6"/>
        <v>#REF!</v>
      </c>
      <c r="M61" s="34"/>
      <c r="N61" s="45" t="e">
        <f t="shared" si="4"/>
        <v>#REF!</v>
      </c>
    </row>
    <row r="62" spans="1:14" s="5" customFormat="1" ht="13.5" customHeight="1">
      <c r="A62" s="255">
        <v>44946</v>
      </c>
      <c r="B62" s="239" t="s">
        <v>533</v>
      </c>
      <c r="C62" s="160"/>
      <c r="D62" s="37">
        <v>14</v>
      </c>
      <c r="E62" s="33" t="s">
        <v>116</v>
      </c>
      <c r="F62" s="35" t="s">
        <v>140</v>
      </c>
      <c r="G62" s="103"/>
      <c r="H62" s="38"/>
      <c r="I62" s="267">
        <v>499</v>
      </c>
      <c r="J62" s="277" t="e">
        <f>I62/'통장내역(환율표)'!#REF!</f>
        <v>#REF!</v>
      </c>
      <c r="K62" s="263" t="e">
        <f t="shared" si="5"/>
        <v>#REF!</v>
      </c>
      <c r="L62" s="38" t="e">
        <f t="shared" si="6"/>
        <v>#REF!</v>
      </c>
      <c r="M62" s="34"/>
      <c r="N62" s="45" t="e">
        <f t="shared" si="4"/>
        <v>#REF!</v>
      </c>
    </row>
    <row r="63" spans="1:14" s="5" customFormat="1" ht="13.5" customHeight="1">
      <c r="A63" s="255">
        <v>44946</v>
      </c>
      <c r="B63" s="239" t="s">
        <v>518</v>
      </c>
      <c r="C63" s="160"/>
      <c r="D63" s="37">
        <v>14</v>
      </c>
      <c r="E63" s="33" t="s">
        <v>116</v>
      </c>
      <c r="F63" s="35" t="s">
        <v>140</v>
      </c>
      <c r="G63" s="103"/>
      <c r="H63" s="38"/>
      <c r="I63" s="267">
        <v>394</v>
      </c>
      <c r="J63" s="277" t="e">
        <f>I63/'통장내역(환율표)'!#REF!</f>
        <v>#REF!</v>
      </c>
      <c r="K63" s="263" t="e">
        <f t="shared" si="5"/>
        <v>#REF!</v>
      </c>
      <c r="L63" s="38" t="e">
        <f t="shared" si="6"/>
        <v>#REF!</v>
      </c>
      <c r="M63" s="34"/>
      <c r="N63" s="45" t="e">
        <f t="shared" si="4"/>
        <v>#REF!</v>
      </c>
    </row>
    <row r="64" spans="1:14" s="5" customFormat="1" ht="13.5" customHeight="1">
      <c r="A64" s="255">
        <v>44946</v>
      </c>
      <c r="B64" s="239" t="s">
        <v>503</v>
      </c>
      <c r="C64" s="160"/>
      <c r="D64" s="37">
        <v>14</v>
      </c>
      <c r="E64" s="33" t="s">
        <v>525</v>
      </c>
      <c r="F64" s="35"/>
      <c r="G64" s="103"/>
      <c r="H64" s="38"/>
      <c r="I64" s="267">
        <v>3.6</v>
      </c>
      <c r="J64" s="277" t="e">
        <f>I64/'통장내역(환율표)'!#REF!</f>
        <v>#REF!</v>
      </c>
      <c r="K64" s="263" t="e">
        <f t="shared" si="5"/>
        <v>#REF!</v>
      </c>
      <c r="L64" s="38" t="e">
        <f t="shared" si="6"/>
        <v>#REF!</v>
      </c>
      <c r="M64" s="34"/>
      <c r="N64" s="45" t="e">
        <f t="shared" si="4"/>
        <v>#REF!</v>
      </c>
    </row>
    <row r="65" spans="1:15" s="5" customFormat="1" ht="13.5" customHeight="1">
      <c r="A65" s="255">
        <v>44946</v>
      </c>
      <c r="B65" s="239" t="s">
        <v>519</v>
      </c>
      <c r="C65" s="160"/>
      <c r="D65" s="37">
        <v>15</v>
      </c>
      <c r="E65" s="33" t="s">
        <v>526</v>
      </c>
      <c r="F65" s="35" t="s">
        <v>527</v>
      </c>
      <c r="G65" s="103"/>
      <c r="H65" s="38"/>
      <c r="I65" s="267">
        <v>1002.7</v>
      </c>
      <c r="J65" s="277" t="e">
        <f>I65/'통장내역(환율표)'!#REF!</f>
        <v>#REF!</v>
      </c>
      <c r="K65" s="263" t="e">
        <f t="shared" si="5"/>
        <v>#REF!</v>
      </c>
      <c r="L65" s="38" t="e">
        <f t="shared" si="6"/>
        <v>#REF!</v>
      </c>
      <c r="M65" s="34"/>
      <c r="N65" s="45" t="e">
        <f t="shared" si="4"/>
        <v>#REF!</v>
      </c>
    </row>
    <row r="66" spans="1:15" s="5" customFormat="1" ht="13.5" customHeight="1">
      <c r="A66" s="255">
        <v>44946</v>
      </c>
      <c r="B66" s="239" t="s">
        <v>503</v>
      </c>
      <c r="C66" s="160"/>
      <c r="D66" s="37">
        <v>15</v>
      </c>
      <c r="E66" s="33" t="s">
        <v>525</v>
      </c>
      <c r="F66" s="35"/>
      <c r="G66" s="103"/>
      <c r="H66" s="38"/>
      <c r="I66" s="267">
        <v>3.6</v>
      </c>
      <c r="J66" s="277" t="e">
        <f>I66/'통장내역(환율표)'!#REF!</f>
        <v>#REF!</v>
      </c>
      <c r="K66" s="263" t="e">
        <f t="shared" si="5"/>
        <v>#REF!</v>
      </c>
      <c r="L66" s="38" t="e">
        <f t="shared" si="6"/>
        <v>#REF!</v>
      </c>
      <c r="M66" s="34"/>
      <c r="N66" s="45" t="e">
        <f t="shared" si="4"/>
        <v>#REF!</v>
      </c>
    </row>
    <row r="67" spans="1:15" s="5" customFormat="1" ht="13.5" customHeight="1">
      <c r="A67" s="255">
        <v>44946</v>
      </c>
      <c r="B67" s="239" t="s">
        <v>520</v>
      </c>
      <c r="C67" s="160"/>
      <c r="D67" s="37">
        <v>16</v>
      </c>
      <c r="E67" s="33" t="s">
        <v>530</v>
      </c>
      <c r="F67" s="35" t="s">
        <v>531</v>
      </c>
      <c r="G67" s="103"/>
      <c r="H67" s="38"/>
      <c r="I67" s="267">
        <v>2452</v>
      </c>
      <c r="J67" s="277" t="e">
        <f>I67/'통장내역(환율표)'!#REF!</f>
        <v>#REF!</v>
      </c>
      <c r="K67" s="263" t="e">
        <f t="shared" si="5"/>
        <v>#REF!</v>
      </c>
      <c r="L67" s="38" t="e">
        <f t="shared" si="6"/>
        <v>#REF!</v>
      </c>
      <c r="M67" s="34"/>
      <c r="N67" s="45" t="e">
        <f t="shared" si="4"/>
        <v>#REF!</v>
      </c>
    </row>
    <row r="68" spans="1:15" s="5" customFormat="1" ht="13.5" customHeight="1">
      <c r="A68" s="255">
        <v>44946</v>
      </c>
      <c r="B68" s="239" t="s">
        <v>503</v>
      </c>
      <c r="C68" s="160"/>
      <c r="D68" s="37">
        <v>16</v>
      </c>
      <c r="E68" s="33" t="s">
        <v>525</v>
      </c>
      <c r="F68" s="35"/>
      <c r="G68" s="103"/>
      <c r="H68" s="38"/>
      <c r="I68" s="267">
        <v>3.6</v>
      </c>
      <c r="J68" s="277" t="e">
        <f>I68/'통장내역(환율표)'!#REF!</f>
        <v>#REF!</v>
      </c>
      <c r="K68" s="263" t="e">
        <f t="shared" si="5"/>
        <v>#REF!</v>
      </c>
      <c r="L68" s="38" t="e">
        <f t="shared" si="6"/>
        <v>#REF!</v>
      </c>
      <c r="M68" s="34"/>
      <c r="N68" s="45" t="e">
        <f t="shared" si="4"/>
        <v>#REF!</v>
      </c>
    </row>
    <row r="69" spans="1:15" s="5" customFormat="1" ht="13.5" customHeight="1">
      <c r="A69" s="255">
        <v>44946</v>
      </c>
      <c r="B69" s="239" t="s">
        <v>521</v>
      </c>
      <c r="C69" s="160"/>
      <c r="D69" s="37">
        <v>17</v>
      </c>
      <c r="E69" s="33" t="s">
        <v>525</v>
      </c>
      <c r="F69" s="35"/>
      <c r="G69" s="103"/>
      <c r="H69" s="38"/>
      <c r="I69" s="267">
        <v>848.97</v>
      </c>
      <c r="J69" s="277" t="e">
        <f>I69/'통장내역(환율표)'!#REF!</f>
        <v>#REF!</v>
      </c>
      <c r="K69" s="263" t="e">
        <f t="shared" si="5"/>
        <v>#REF!</v>
      </c>
      <c r="L69" s="38" t="e">
        <f t="shared" si="6"/>
        <v>#REF!</v>
      </c>
      <c r="M69" s="34"/>
      <c r="N69" s="45" t="e">
        <f t="shared" si="4"/>
        <v>#REF!</v>
      </c>
    </row>
    <row r="70" spans="1:15" s="5" customFormat="1" ht="13.5" customHeight="1">
      <c r="A70" s="255">
        <v>44946</v>
      </c>
      <c r="B70" s="239" t="s">
        <v>503</v>
      </c>
      <c r="C70" s="160"/>
      <c r="D70" s="37">
        <v>17</v>
      </c>
      <c r="E70" s="33" t="s">
        <v>525</v>
      </c>
      <c r="F70" s="35"/>
      <c r="G70" s="103"/>
      <c r="H70" s="38"/>
      <c r="I70" s="267">
        <v>3.6</v>
      </c>
      <c r="J70" s="277">
        <v>0.53100000000000003</v>
      </c>
      <c r="K70" s="263" t="e">
        <f t="shared" si="5"/>
        <v>#REF!</v>
      </c>
      <c r="L70" s="38" t="e">
        <f t="shared" si="6"/>
        <v>#REF!</v>
      </c>
      <c r="M70" s="34"/>
      <c r="N70" s="45" t="e">
        <f t="shared" si="4"/>
        <v>#REF!</v>
      </c>
    </row>
    <row r="71" spans="1:15" s="5" customFormat="1" ht="13.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3.5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 s="277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2.7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2.7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2.7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2.7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</sheetData>
  <autoFilter ref="A16:N107" xr:uid="{00000000-0009-0000-0000-00000C000000}">
    <filterColumn colId="1" showButton="0"/>
  </autoFilter>
  <mergeCells count="11">
    <mergeCell ref="I15:J15"/>
    <mergeCell ref="K15:L15"/>
    <mergeCell ref="M15:M16"/>
    <mergeCell ref="A12:B12"/>
    <mergeCell ref="G12:H12"/>
    <mergeCell ref="A15:A16"/>
    <mergeCell ref="B15:C16"/>
    <mergeCell ref="D15:D16"/>
    <mergeCell ref="E15:E16"/>
    <mergeCell ref="F15:F16"/>
    <mergeCell ref="G15:H15"/>
  </mergeCells>
  <phoneticPr fontId="3" type="noConversion"/>
  <pageMargins left="0.7" right="0.7" top="0.75" bottom="0.75" header="0.3" footer="0.3"/>
  <pageSetup paperSize="9" scale="4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O147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7.399999999999999"/>
  <cols>
    <col min="1" max="1" width="10.19921875" bestFit="1" customWidth="1"/>
    <col min="2" max="2" width="30.69921875" customWidth="1"/>
    <col min="3" max="3" width="11.5976562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15.09765625" customWidth="1"/>
  </cols>
  <sheetData>
    <row r="1" spans="1:14" ht="24">
      <c r="A1" s="1" t="s">
        <v>538</v>
      </c>
      <c r="B1" s="2"/>
      <c r="C1" s="2"/>
      <c r="D1" s="3"/>
      <c r="E1" s="298"/>
      <c r="F1" s="130"/>
      <c r="G1" s="299"/>
      <c r="H1" s="299"/>
      <c r="I1" s="299"/>
      <c r="J1" s="299"/>
      <c r="K1" s="300">
        <v>100007156</v>
      </c>
      <c r="L1" s="5"/>
      <c r="M1" s="5"/>
    </row>
    <row r="2" spans="1:14" s="5" customFormat="1">
      <c r="A2" s="5" t="s">
        <v>595</v>
      </c>
      <c r="B2" s="2"/>
      <c r="C2" s="2"/>
      <c r="E2" s="300">
        <v>100007151</v>
      </c>
      <c r="F2" s="130"/>
      <c r="G2" s="130" t="s">
        <v>596</v>
      </c>
      <c r="H2" s="127"/>
      <c r="I2" s="127"/>
      <c r="J2" s="130"/>
      <c r="K2" s="300">
        <v>100007160</v>
      </c>
      <c r="L2" s="139">
        <v>1200000696</v>
      </c>
    </row>
    <row r="3" spans="1:14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22783</v>
      </c>
      <c r="J5" s="116">
        <v>3341.89</v>
      </c>
      <c r="K5" s="117">
        <v>4221141</v>
      </c>
      <c r="L5" s="340">
        <f>K5/I5</f>
        <v>185.27590747487162</v>
      </c>
      <c r="M5" s="296"/>
    </row>
    <row r="6" spans="1:14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14287.43</v>
      </c>
      <c r="J6" s="116">
        <v>2095.73</v>
      </c>
      <c r="K6" s="117">
        <v>2647117</v>
      </c>
      <c r="L6" s="240">
        <f t="shared" ref="L6:L10" si="0">K6+E6</f>
        <v>2647117</v>
      </c>
    </row>
    <row r="7" spans="1:14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19440</v>
      </c>
      <c r="J7" s="116">
        <v>2851.5230000000001</v>
      </c>
      <c r="K7" s="117">
        <v>3601755</v>
      </c>
      <c r="L7" s="240">
        <f t="shared" si="0"/>
        <v>3601755</v>
      </c>
    </row>
    <row r="8" spans="1:14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1540.18</v>
      </c>
      <c r="K8" s="117">
        <v>1945401</v>
      </c>
      <c r="L8" s="240">
        <f t="shared" si="0"/>
        <v>1945401</v>
      </c>
    </row>
    <row r="9" spans="1:14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597.6</v>
      </c>
      <c r="J9" s="116">
        <v>87.66</v>
      </c>
      <c r="K9" s="117">
        <v>110723</v>
      </c>
      <c r="L9" s="240">
        <f t="shared" si="0"/>
        <v>110723</v>
      </c>
    </row>
    <row r="10" spans="1:14" s="5" customFormat="1" ht="15.6">
      <c r="A10" s="114" t="s">
        <v>62</v>
      </c>
      <c r="B10" s="115"/>
      <c r="C10" s="116">
        <v>54204.253453392703</v>
      </c>
      <c r="D10" s="116">
        <v>8018.17</v>
      </c>
      <c r="E10" s="117">
        <v>9997054</v>
      </c>
      <c r="F10" s="121">
        <v>51321010</v>
      </c>
      <c r="G10" s="114" t="s">
        <v>62</v>
      </c>
      <c r="H10" s="115"/>
      <c r="I10" s="116">
        <v>68929.826546607335</v>
      </c>
      <c r="J10" s="116">
        <v>10161.870000000001</v>
      </c>
      <c r="K10" s="117">
        <v>12835458</v>
      </c>
      <c r="L10" s="240">
        <f t="shared" si="0"/>
        <v>22832512</v>
      </c>
    </row>
    <row r="11" spans="1:14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5.6">
      <c r="A12" s="2045" t="s">
        <v>299</v>
      </c>
      <c r="B12" s="2046"/>
      <c r="C12" s="124">
        <f>SUM(C4:C11)</f>
        <v>54204.253453392703</v>
      </c>
      <c r="D12" s="124">
        <f>SUM(D4:D11)</f>
        <v>8018.17</v>
      </c>
      <c r="E12" s="125">
        <f>SUM(E4:E11)</f>
        <v>9997054</v>
      </c>
      <c r="F12" s="121">
        <v>52981010</v>
      </c>
      <c r="G12" s="2045" t="s">
        <v>299</v>
      </c>
      <c r="H12" s="2046"/>
      <c r="I12" s="124">
        <f>SUM(I4:I11)</f>
        <v>136537.85654660733</v>
      </c>
      <c r="J12" s="124">
        <f>SUM(J4:J11)</f>
        <v>20078.853000000003</v>
      </c>
      <c r="K12" s="125">
        <f>SUM(K4:K10)</f>
        <v>25361595</v>
      </c>
      <c r="L12" s="119"/>
    </row>
    <row r="13" spans="1:14" s="5" customFormat="1" ht="15.6">
      <c r="A13" s="126"/>
      <c r="B13" s="127"/>
      <c r="C13" s="128">
        <f>C12+I12</f>
        <v>190742.11000000004</v>
      </c>
      <c r="D13" s="128">
        <f t="shared" ref="D13:E13" si="1">D12+J12</f>
        <v>28097.023000000001</v>
      </c>
      <c r="E13" s="242">
        <f t="shared" si="1"/>
        <v>35358649</v>
      </c>
      <c r="F13" s="172"/>
      <c r="G13" s="130"/>
      <c r="H13" s="130"/>
      <c r="I13" s="131"/>
      <c r="J13" s="130"/>
      <c r="K13" s="280"/>
      <c r="L13" s="245">
        <v>2425.7418328151257</v>
      </c>
      <c r="N13" s="45"/>
    </row>
    <row r="14" spans="1:14" s="5" customFormat="1" ht="15.6">
      <c r="A14" s="297" t="s">
        <v>592</v>
      </c>
      <c r="B14" s="127"/>
      <c r="C14" s="128">
        <v>6800</v>
      </c>
      <c r="D14" s="128">
        <v>997.45</v>
      </c>
      <c r="E14" s="242"/>
      <c r="F14" s="172"/>
      <c r="G14" s="130"/>
      <c r="H14" s="130"/>
      <c r="I14" s="131"/>
      <c r="J14" s="130"/>
      <c r="K14" s="280"/>
      <c r="L14" s="245"/>
      <c r="N14" s="45"/>
    </row>
    <row r="15" spans="1:14" s="5" customFormat="1" ht="15.6">
      <c r="A15" s="126"/>
      <c r="B15" s="127"/>
      <c r="C15" s="128">
        <f>SUM(C13:C14)</f>
        <v>197542.11000000004</v>
      </c>
      <c r="D15" s="128">
        <f>SUM(D13:D14)</f>
        <v>29094.473000000002</v>
      </c>
      <c r="E15" s="242"/>
      <c r="F15" s="172"/>
      <c r="G15" s="130"/>
      <c r="H15" s="130"/>
      <c r="I15" s="131"/>
      <c r="J15" s="130"/>
      <c r="K15" s="280"/>
      <c r="L15" s="245"/>
      <c r="N15" s="45"/>
    </row>
    <row r="16" spans="1:14" s="5" customFormat="1" ht="15.6">
      <c r="B16" s="134">
        <v>13081010</v>
      </c>
      <c r="C16" s="135"/>
      <c r="D16" s="135"/>
      <c r="E16" s="136"/>
      <c r="F16" s="119"/>
      <c r="G16" s="6"/>
      <c r="H16" s="137">
        <f>SUBTOTAL(9,H19:H147)</f>
        <v>27612.62</v>
      </c>
      <c r="I16" s="137" t="e">
        <f>SUBTOTAL(9,I19:I162)</f>
        <v>#REF!</v>
      </c>
      <c r="J16" s="137" t="e">
        <f>SUBTOTAL(9,J19:J160)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44957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54203.868670473967</v>
      </c>
      <c r="L19" s="233">
        <v>8018.1685407726136</v>
      </c>
      <c r="M19" s="232"/>
      <c r="N19" s="45">
        <v>8018.17</v>
      </c>
    </row>
    <row r="20" spans="1:14" s="5" customFormat="1" ht="13.5" customHeight="1">
      <c r="A20" s="46">
        <v>44970</v>
      </c>
      <c r="B20" s="293" t="s">
        <v>552</v>
      </c>
      <c r="C20" s="49"/>
      <c r="D20" s="48"/>
      <c r="E20" s="47"/>
      <c r="F20" s="49"/>
      <c r="G20" s="54">
        <v>187898.59</v>
      </c>
      <c r="H20" s="50">
        <v>27612.62</v>
      </c>
      <c r="I20" s="294"/>
      <c r="J20" s="54"/>
      <c r="K20" s="295">
        <f t="shared" ref="K20:L20" si="2">K19+G20-I20</f>
        <v>242102.45867047395</v>
      </c>
      <c r="L20" s="50">
        <f t="shared" si="2"/>
        <v>35630.788540772613</v>
      </c>
      <c r="M20" s="52" t="s">
        <v>539</v>
      </c>
      <c r="N20" s="45"/>
    </row>
    <row r="21" spans="1:14" s="5" customFormat="1" ht="13.5" customHeight="1">
      <c r="A21" s="46">
        <v>44970</v>
      </c>
      <c r="B21" s="49" t="s">
        <v>445</v>
      </c>
      <c r="C21" s="49"/>
      <c r="D21" s="48">
        <v>1</v>
      </c>
      <c r="E21" s="47" t="s">
        <v>107</v>
      </c>
      <c r="F21" s="49"/>
      <c r="G21" s="54"/>
      <c r="H21" s="50"/>
      <c r="I21" s="294"/>
      <c r="J21" s="54">
        <v>51</v>
      </c>
      <c r="K21" s="295">
        <f t="shared" ref="K21:K29" si="3">K20+G21-I21</f>
        <v>242102.45867047395</v>
      </c>
      <c r="L21" s="50">
        <f t="shared" ref="L21:L29" si="4">L20+H21-J21</f>
        <v>35579.788540772613</v>
      </c>
      <c r="M21" s="52"/>
      <c r="N21" s="45"/>
    </row>
    <row r="22" spans="1:14" s="5" customFormat="1" ht="13.5" customHeight="1">
      <c r="A22" s="36">
        <v>44980</v>
      </c>
      <c r="B22" s="281" t="s">
        <v>131</v>
      </c>
      <c r="C22" s="35"/>
      <c r="D22" s="37">
        <v>2</v>
      </c>
      <c r="E22" s="33" t="s">
        <v>107</v>
      </c>
      <c r="F22" s="35"/>
      <c r="G22" s="103"/>
      <c r="H22" s="38"/>
      <c r="I22" s="267">
        <v>7606.18</v>
      </c>
      <c r="J22" s="277" t="e">
        <f>I22/'통장내역(환율표)'!#REF!</f>
        <v>#REF!</v>
      </c>
      <c r="K22" s="263">
        <f t="shared" si="3"/>
        <v>234496.27867047396</v>
      </c>
      <c r="L22" s="38" t="e">
        <f t="shared" si="4"/>
        <v>#REF!</v>
      </c>
      <c r="M22" s="34" t="s">
        <v>584</v>
      </c>
      <c r="N22" s="45" t="e">
        <f>N19-J22+H22</f>
        <v>#REF!</v>
      </c>
    </row>
    <row r="23" spans="1:14" s="5" customFormat="1" ht="13.5" customHeight="1">
      <c r="A23" s="36">
        <v>44980</v>
      </c>
      <c r="B23" s="281" t="s">
        <v>133</v>
      </c>
      <c r="C23" s="35"/>
      <c r="D23" s="37">
        <v>2</v>
      </c>
      <c r="E23" s="33" t="s">
        <v>107</v>
      </c>
      <c r="F23" s="35"/>
      <c r="G23" s="103"/>
      <c r="H23" s="38"/>
      <c r="I23" s="267">
        <v>1818.8899999999999</v>
      </c>
      <c r="J23" s="277" t="e">
        <f>I23/'통장내역(환율표)'!#REF!</f>
        <v>#REF!</v>
      </c>
      <c r="K23" s="263">
        <f t="shared" si="3"/>
        <v>232677.38867047394</v>
      </c>
      <c r="L23" s="38" t="e">
        <f t="shared" si="4"/>
        <v>#REF!</v>
      </c>
      <c r="M23" s="34" t="s">
        <v>584</v>
      </c>
      <c r="N23" s="45" t="e">
        <f>N22-J23+H23</f>
        <v>#REF!</v>
      </c>
    </row>
    <row r="24" spans="1:14" s="5" customFormat="1" ht="13.5" customHeight="1">
      <c r="A24" s="36">
        <v>44980</v>
      </c>
      <c r="B24" s="281" t="s">
        <v>456</v>
      </c>
      <c r="C24" s="35"/>
      <c r="D24" s="37">
        <v>2</v>
      </c>
      <c r="E24" s="33" t="s">
        <v>107</v>
      </c>
      <c r="F24" s="35"/>
      <c r="G24" s="103"/>
      <c r="H24" s="38"/>
      <c r="I24" s="267">
        <v>13500</v>
      </c>
      <c r="J24" s="277" t="e">
        <f>I24/'통장내역(환율표)'!#REF!</f>
        <v>#REF!</v>
      </c>
      <c r="K24" s="263">
        <f t="shared" si="3"/>
        <v>219177.38867047394</v>
      </c>
      <c r="L24" s="38" t="e">
        <f t="shared" si="4"/>
        <v>#REF!</v>
      </c>
      <c r="M24" s="34" t="s">
        <v>584</v>
      </c>
      <c r="N24" s="45" t="e">
        <f t="shared" ref="N24:N29" si="5">N23-J24+H24</f>
        <v>#REF!</v>
      </c>
    </row>
    <row r="25" spans="1:14" s="5" customFormat="1" ht="13.5" customHeight="1">
      <c r="A25" s="36">
        <v>44980</v>
      </c>
      <c r="B25" s="281" t="s">
        <v>457</v>
      </c>
      <c r="C25" s="35"/>
      <c r="D25" s="37">
        <v>2</v>
      </c>
      <c r="E25" s="33" t="s">
        <v>107</v>
      </c>
      <c r="F25" s="35"/>
      <c r="G25" s="103"/>
      <c r="H25" s="38"/>
      <c r="I25" s="267">
        <v>20000</v>
      </c>
      <c r="J25" s="277" t="e">
        <f>I25/'통장내역(환율표)'!#REF!</f>
        <v>#REF!</v>
      </c>
      <c r="K25" s="263">
        <f t="shared" si="3"/>
        <v>199177.38867047394</v>
      </c>
      <c r="L25" s="38" t="e">
        <f t="shared" si="4"/>
        <v>#REF!</v>
      </c>
      <c r="M25" s="34" t="s">
        <v>584</v>
      </c>
      <c r="N25" s="45" t="e">
        <f t="shared" si="5"/>
        <v>#REF!</v>
      </c>
    </row>
    <row r="26" spans="1:14" s="5" customFormat="1" ht="13.5" customHeight="1">
      <c r="A26" s="36">
        <v>44980</v>
      </c>
      <c r="B26" s="281" t="s">
        <v>130</v>
      </c>
      <c r="C26" s="35"/>
      <c r="D26" s="37">
        <v>2</v>
      </c>
      <c r="E26" s="33" t="s">
        <v>107</v>
      </c>
      <c r="F26" s="35"/>
      <c r="G26" s="103"/>
      <c r="H26" s="38"/>
      <c r="I26" s="267">
        <v>300</v>
      </c>
      <c r="J26" s="277" t="e">
        <f>I26/'통장내역(환율표)'!#REF!</f>
        <v>#REF!</v>
      </c>
      <c r="K26" s="263">
        <f t="shared" si="3"/>
        <v>198877.38867047394</v>
      </c>
      <c r="L26" s="38" t="e">
        <f t="shared" si="4"/>
        <v>#REF!</v>
      </c>
      <c r="M26" s="34" t="s">
        <v>584</v>
      </c>
      <c r="N26" s="45" t="e">
        <f t="shared" si="5"/>
        <v>#REF!</v>
      </c>
    </row>
    <row r="27" spans="1:14" s="5" customFormat="1" ht="13.5" customHeight="1">
      <c r="A27" s="36">
        <v>44980</v>
      </c>
      <c r="B27" s="281" t="s">
        <v>131</v>
      </c>
      <c r="C27" s="35"/>
      <c r="D27" s="37">
        <v>2</v>
      </c>
      <c r="E27" s="33" t="s">
        <v>107</v>
      </c>
      <c r="F27" s="35"/>
      <c r="G27" s="103"/>
      <c r="H27" s="38"/>
      <c r="I27" s="267">
        <v>4231.18</v>
      </c>
      <c r="J27" s="277" t="e">
        <f>I27/'통장내역(환율표)'!#REF!</f>
        <v>#REF!</v>
      </c>
      <c r="K27" s="263">
        <f t="shared" si="3"/>
        <v>194646.20867047395</v>
      </c>
      <c r="L27" s="38" t="e">
        <f t="shared" si="4"/>
        <v>#REF!</v>
      </c>
      <c r="M27" s="34" t="s">
        <v>585</v>
      </c>
      <c r="N27" s="45" t="e">
        <f t="shared" si="5"/>
        <v>#REF!</v>
      </c>
    </row>
    <row r="28" spans="1:14" s="5" customFormat="1" ht="13.5" customHeight="1">
      <c r="A28" s="36">
        <v>44980</v>
      </c>
      <c r="B28" s="281" t="s">
        <v>133</v>
      </c>
      <c r="C28" s="35"/>
      <c r="D28" s="37">
        <v>2</v>
      </c>
      <c r="E28" s="33" t="s">
        <v>107</v>
      </c>
      <c r="F28" s="35"/>
      <c r="G28" s="103"/>
      <c r="H28" s="38"/>
      <c r="I28" s="267">
        <v>1074.29</v>
      </c>
      <c r="J28" s="277" t="e">
        <f>I28/'통장내역(환율표)'!#REF!</f>
        <v>#REF!</v>
      </c>
      <c r="K28" s="263">
        <f t="shared" si="3"/>
        <v>193571.91867047394</v>
      </c>
      <c r="L28" s="38" t="e">
        <f t="shared" si="4"/>
        <v>#REF!</v>
      </c>
      <c r="M28" s="34" t="s">
        <v>585</v>
      </c>
      <c r="N28" s="45" t="e">
        <f t="shared" si="5"/>
        <v>#REF!</v>
      </c>
    </row>
    <row r="29" spans="1:14" s="5" customFormat="1" ht="13.5" customHeight="1">
      <c r="A29" s="284">
        <v>44980</v>
      </c>
      <c r="B29" s="285" t="s">
        <v>590</v>
      </c>
      <c r="C29" s="286"/>
      <c r="D29" s="287">
        <v>2</v>
      </c>
      <c r="E29" s="288" t="s">
        <v>107</v>
      </c>
      <c r="F29" s="286"/>
      <c r="G29" s="190"/>
      <c r="H29" s="289"/>
      <c r="I29" s="290" t="e">
        <f>J29*'통장내역(환율표)'!#REF!</f>
        <v>#REF!</v>
      </c>
      <c r="J29" s="277">
        <v>839.28467052325618</v>
      </c>
      <c r="K29" s="291" t="e">
        <f t="shared" si="3"/>
        <v>#REF!</v>
      </c>
      <c r="L29" s="289" t="e">
        <f t="shared" si="4"/>
        <v>#REF!</v>
      </c>
      <c r="M29" s="292" t="s">
        <v>585</v>
      </c>
      <c r="N29" s="45" t="e">
        <f t="shared" si="5"/>
        <v>#REF!</v>
      </c>
    </row>
    <row r="30" spans="1:14" s="5" customFormat="1" ht="13.5" customHeight="1">
      <c r="A30" s="284">
        <v>44980</v>
      </c>
      <c r="B30" s="285" t="s">
        <v>591</v>
      </c>
      <c r="C30" s="286"/>
      <c r="D30" s="287">
        <v>2</v>
      </c>
      <c r="E30" s="288" t="s">
        <v>107</v>
      </c>
      <c r="F30" s="286"/>
      <c r="G30" s="190"/>
      <c r="H30" s="289"/>
      <c r="I30" s="290" t="e">
        <f>13500-I29</f>
        <v>#REF!</v>
      </c>
      <c r="J30" s="54" t="e">
        <f>I30/'통장내역(환율표)'!#REF!</f>
        <v>#REF!</v>
      </c>
      <c r="K30" s="291" t="e">
        <f t="shared" ref="K30:K33" si="6">K29+G30-I30</f>
        <v>#REF!</v>
      </c>
      <c r="L30" s="289" t="e">
        <f t="shared" ref="L30:L33" si="7">L29+H30-J30</f>
        <v>#REF!</v>
      </c>
      <c r="M30" s="292"/>
      <c r="N30" s="45" t="e">
        <f>27561.62-J30+H30</f>
        <v>#REF!</v>
      </c>
    </row>
    <row r="31" spans="1:14" s="5" customFormat="1" ht="13.5" customHeight="1">
      <c r="A31" s="36">
        <v>44980</v>
      </c>
      <c r="B31" s="281" t="s">
        <v>587</v>
      </c>
      <c r="C31" s="35"/>
      <c r="D31" s="37">
        <v>2</v>
      </c>
      <c r="E31" s="33" t="s">
        <v>588</v>
      </c>
      <c r="F31" s="35"/>
      <c r="G31" s="103"/>
      <c r="H31" s="38"/>
      <c r="I31" s="267">
        <v>14000</v>
      </c>
      <c r="J31" s="54" t="e">
        <f>I31/'통장내역(환율표)'!#REF!</f>
        <v>#REF!</v>
      </c>
      <c r="K31" s="263" t="e">
        <f t="shared" si="6"/>
        <v>#REF!</v>
      </c>
      <c r="L31" s="38" t="e">
        <f t="shared" si="7"/>
        <v>#REF!</v>
      </c>
      <c r="M31" s="34" t="s">
        <v>589</v>
      </c>
      <c r="N31" s="45" t="e">
        <f>N30-J31+H31</f>
        <v>#REF!</v>
      </c>
    </row>
    <row r="32" spans="1:14" s="5" customFormat="1" ht="13.5" customHeight="1">
      <c r="A32" s="36">
        <v>44980</v>
      </c>
      <c r="B32" s="281" t="s">
        <v>130</v>
      </c>
      <c r="C32" s="35"/>
      <c r="D32" s="37">
        <v>2</v>
      </c>
      <c r="E32" s="33" t="s">
        <v>107</v>
      </c>
      <c r="F32" s="35"/>
      <c r="G32" s="103"/>
      <c r="H32" s="38"/>
      <c r="I32" s="267">
        <v>300</v>
      </c>
      <c r="J32" s="54" t="e">
        <f>I32/'통장내역(환율표)'!#REF!</f>
        <v>#REF!</v>
      </c>
      <c r="K32" s="263" t="e">
        <f t="shared" si="6"/>
        <v>#REF!</v>
      </c>
      <c r="L32" s="38" t="e">
        <f t="shared" si="7"/>
        <v>#REF!</v>
      </c>
      <c r="M32" s="34" t="s">
        <v>585</v>
      </c>
      <c r="N32" s="45" t="e">
        <f t="shared" ref="N32:N81" si="8">N31-J32+H32</f>
        <v>#REF!</v>
      </c>
    </row>
    <row r="33" spans="1:14" s="5" customFormat="1" ht="13.5" customHeight="1">
      <c r="A33" s="36">
        <v>44980</v>
      </c>
      <c r="B33" s="281" t="s">
        <v>875</v>
      </c>
      <c r="C33" s="35"/>
      <c r="D33" s="37">
        <v>2</v>
      </c>
      <c r="E33" s="33" t="s">
        <v>107</v>
      </c>
      <c r="F33" s="35"/>
      <c r="G33" s="103"/>
      <c r="H33" s="38"/>
      <c r="I33" s="267">
        <v>5043.1899999999996</v>
      </c>
      <c r="J33" s="54" t="e">
        <f>I33/'통장내역(환율표)'!#REF!</f>
        <v>#REF!</v>
      </c>
      <c r="K33" s="263" t="e">
        <f t="shared" si="6"/>
        <v>#REF!</v>
      </c>
      <c r="L33" s="38" t="e">
        <f t="shared" si="7"/>
        <v>#REF!</v>
      </c>
      <c r="M33" s="34" t="s">
        <v>586</v>
      </c>
      <c r="N33" s="45" t="e">
        <f t="shared" si="8"/>
        <v>#REF!</v>
      </c>
    </row>
    <row r="34" spans="1:14" s="5" customFormat="1" ht="13.5" customHeight="1">
      <c r="A34" s="36">
        <v>44980</v>
      </c>
      <c r="B34" s="281" t="s">
        <v>594</v>
      </c>
      <c r="C34" s="35"/>
      <c r="D34" s="37">
        <v>2</v>
      </c>
      <c r="E34" s="33" t="s">
        <v>107</v>
      </c>
      <c r="F34" s="35"/>
      <c r="G34" s="103"/>
      <c r="H34" s="38"/>
      <c r="I34" s="267">
        <v>25000</v>
      </c>
      <c r="J34" s="54" t="e">
        <f>I34/'통장내역(환율표)'!#REF!</f>
        <v>#REF!</v>
      </c>
      <c r="K34" s="263" t="e">
        <f t="shared" ref="K34:K81" si="9">K33+G34-I34</f>
        <v>#REF!</v>
      </c>
      <c r="L34" s="38" t="e">
        <f t="shared" ref="L34:L81" si="10">L33+H34-J34</f>
        <v>#REF!</v>
      </c>
      <c r="M34" s="34" t="s">
        <v>586</v>
      </c>
      <c r="N34" s="45" t="e">
        <f>#REF!-J34+H34</f>
        <v>#REF!</v>
      </c>
    </row>
    <row r="35" spans="1:14" s="5" customFormat="1" ht="13.5" customHeight="1">
      <c r="A35" s="36">
        <v>44980</v>
      </c>
      <c r="B35" s="281" t="s">
        <v>874</v>
      </c>
      <c r="C35" s="35"/>
      <c r="D35" s="37">
        <v>2</v>
      </c>
      <c r="E35" s="33" t="s">
        <v>107</v>
      </c>
      <c r="F35" s="35"/>
      <c r="G35" s="103"/>
      <c r="H35" s="38"/>
      <c r="I35" s="267">
        <v>300</v>
      </c>
      <c r="J35" s="54" t="e">
        <f>I35/'통장내역(환율표)'!#REF!</f>
        <v>#REF!</v>
      </c>
      <c r="K35" s="263" t="e">
        <f t="shared" si="9"/>
        <v>#REF!</v>
      </c>
      <c r="L35" s="38" t="e">
        <f t="shared" si="10"/>
        <v>#REF!</v>
      </c>
      <c r="M35" s="34" t="s">
        <v>586</v>
      </c>
      <c r="N35" s="45" t="e">
        <f t="shared" si="8"/>
        <v>#REF!</v>
      </c>
    </row>
    <row r="36" spans="1:14" s="5" customFormat="1" ht="13.5" customHeight="1">
      <c r="A36" s="36">
        <v>44980</v>
      </c>
      <c r="B36" s="281" t="s">
        <v>250</v>
      </c>
      <c r="C36" s="35"/>
      <c r="D36" s="37">
        <v>2</v>
      </c>
      <c r="E36" s="33" t="s">
        <v>107</v>
      </c>
      <c r="F36" s="35"/>
      <c r="G36" s="103"/>
      <c r="H36" s="38"/>
      <c r="I36" s="267">
        <v>12</v>
      </c>
      <c r="J36" s="54" t="e">
        <f>I36/'통장내역(환율표)'!#REF!</f>
        <v>#REF!</v>
      </c>
      <c r="K36" s="263" t="e">
        <f t="shared" si="9"/>
        <v>#REF!</v>
      </c>
      <c r="L36" s="38" t="e">
        <f t="shared" si="10"/>
        <v>#REF!</v>
      </c>
      <c r="M36" s="34"/>
      <c r="N36" s="45" t="e">
        <f t="shared" si="8"/>
        <v>#REF!</v>
      </c>
    </row>
    <row r="37" spans="1:14" s="5" customFormat="1" ht="13.5" customHeight="1">
      <c r="A37" s="36">
        <v>44980</v>
      </c>
      <c r="B37" s="281" t="s">
        <v>553</v>
      </c>
      <c r="C37" s="35"/>
      <c r="D37" s="282">
        <v>3</v>
      </c>
      <c r="E37" s="33" t="s">
        <v>568</v>
      </c>
      <c r="F37" s="33" t="s">
        <v>569</v>
      </c>
      <c r="G37" s="103"/>
      <c r="H37" s="38"/>
      <c r="I37" s="267">
        <v>19440</v>
      </c>
      <c r="J37" s="54" t="e">
        <f>I37/'통장내역(환율표)'!#REF!</f>
        <v>#REF!</v>
      </c>
      <c r="K37" s="263" t="e">
        <f t="shared" si="9"/>
        <v>#REF!</v>
      </c>
      <c r="L37" s="38" t="e">
        <f t="shared" si="10"/>
        <v>#REF!</v>
      </c>
      <c r="M37" s="34" t="s">
        <v>567</v>
      </c>
      <c r="N37" s="45" t="e">
        <f t="shared" si="8"/>
        <v>#REF!</v>
      </c>
    </row>
    <row r="38" spans="1:14" s="5" customFormat="1" ht="13.5" customHeight="1">
      <c r="A38" s="36">
        <v>44980</v>
      </c>
      <c r="B38" s="281" t="s">
        <v>250</v>
      </c>
      <c r="C38" s="35"/>
      <c r="D38" s="282">
        <v>3</v>
      </c>
      <c r="E38" s="33" t="s">
        <v>107</v>
      </c>
      <c r="F38" s="35"/>
      <c r="G38" s="103"/>
      <c r="H38" s="38"/>
      <c r="I38" s="267">
        <v>7.2</v>
      </c>
      <c r="J38" s="54" t="e">
        <f>I38/'통장내역(환율표)'!#REF!</f>
        <v>#REF!</v>
      </c>
      <c r="K38" s="263" t="e">
        <f t="shared" si="9"/>
        <v>#REF!</v>
      </c>
      <c r="L38" s="38" t="e">
        <f t="shared" si="10"/>
        <v>#REF!</v>
      </c>
      <c r="M38" s="34"/>
      <c r="N38" s="45" t="e">
        <f t="shared" si="8"/>
        <v>#REF!</v>
      </c>
    </row>
    <row r="39" spans="1:14" s="5" customFormat="1" ht="13.5" customHeight="1">
      <c r="A39" s="36">
        <v>44980</v>
      </c>
      <c r="B39" s="281" t="s">
        <v>554</v>
      </c>
      <c r="C39" s="35"/>
      <c r="D39" s="282">
        <v>4</v>
      </c>
      <c r="E39" s="33" t="s">
        <v>107</v>
      </c>
      <c r="F39" s="35"/>
      <c r="G39" s="103"/>
      <c r="H39" s="38"/>
      <c r="I39" s="267">
        <v>172.05</v>
      </c>
      <c r="J39" s="54" t="e">
        <f>I39/'통장내역(환율표)'!#REF!</f>
        <v>#REF!</v>
      </c>
      <c r="K39" s="263" t="e">
        <f t="shared" si="9"/>
        <v>#REF!</v>
      </c>
      <c r="L39" s="38" t="e">
        <f t="shared" si="10"/>
        <v>#REF!</v>
      </c>
      <c r="M39" s="34" t="s">
        <v>540</v>
      </c>
      <c r="N39" s="45" t="e">
        <f t="shared" si="8"/>
        <v>#REF!</v>
      </c>
    </row>
    <row r="40" spans="1:14" s="5" customFormat="1" ht="13.5" customHeight="1">
      <c r="A40" s="36">
        <v>44980</v>
      </c>
      <c r="B40" s="281" t="s">
        <v>250</v>
      </c>
      <c r="C40" s="35"/>
      <c r="D40" s="282">
        <v>4</v>
      </c>
      <c r="E40" s="33" t="s">
        <v>107</v>
      </c>
      <c r="F40" s="35"/>
      <c r="G40" s="103"/>
      <c r="H40" s="38"/>
      <c r="I40" s="267">
        <v>3.6</v>
      </c>
      <c r="J40" s="54" t="e">
        <f>I40/'통장내역(환율표)'!#REF!</f>
        <v>#REF!</v>
      </c>
      <c r="K40" s="263" t="e">
        <f t="shared" si="9"/>
        <v>#REF!</v>
      </c>
      <c r="L40" s="38" t="e">
        <f t="shared" si="10"/>
        <v>#REF!</v>
      </c>
      <c r="M40" s="34"/>
      <c r="N40" s="45" t="e">
        <f t="shared" si="8"/>
        <v>#REF!</v>
      </c>
    </row>
    <row r="41" spans="1:14" s="5" customFormat="1" ht="13.5" customHeight="1">
      <c r="A41" s="36">
        <v>44980</v>
      </c>
      <c r="B41" s="281" t="s">
        <v>346</v>
      </c>
      <c r="C41" s="35"/>
      <c r="D41" s="282">
        <v>5</v>
      </c>
      <c r="E41" s="33" t="s">
        <v>15</v>
      </c>
      <c r="F41" s="35" t="s">
        <v>226</v>
      </c>
      <c r="G41" s="103"/>
      <c r="H41" s="38"/>
      <c r="I41" s="267">
        <v>10500</v>
      </c>
      <c r="J41" s="54" t="e">
        <f>I41/'통장내역(환율표)'!#REF!</f>
        <v>#REF!</v>
      </c>
      <c r="K41" s="263" t="e">
        <f t="shared" si="9"/>
        <v>#REF!</v>
      </c>
      <c r="L41" s="38" t="e">
        <f t="shared" si="10"/>
        <v>#REF!</v>
      </c>
      <c r="M41" s="34"/>
      <c r="N41" s="45" t="e">
        <f t="shared" si="8"/>
        <v>#REF!</v>
      </c>
    </row>
    <row r="42" spans="1:14" s="5" customFormat="1" ht="13.5" customHeight="1">
      <c r="A42" s="36">
        <v>44980</v>
      </c>
      <c r="B42" s="281" t="s">
        <v>347</v>
      </c>
      <c r="C42" s="35"/>
      <c r="D42" s="282">
        <v>5</v>
      </c>
      <c r="E42" s="33" t="s">
        <v>107</v>
      </c>
      <c r="F42" s="35"/>
      <c r="G42" s="103"/>
      <c r="H42" s="38"/>
      <c r="I42" s="267">
        <v>6000</v>
      </c>
      <c r="J42" s="54" t="e">
        <f>I42/'통장내역(환율표)'!#REF!</f>
        <v>#REF!</v>
      </c>
      <c r="K42" s="263" t="e">
        <f t="shared" si="9"/>
        <v>#REF!</v>
      </c>
      <c r="L42" s="38" t="e">
        <f t="shared" si="10"/>
        <v>#REF!</v>
      </c>
      <c r="M42" s="34"/>
      <c r="N42" s="45" t="e">
        <f t="shared" si="8"/>
        <v>#REF!</v>
      </c>
    </row>
    <row r="43" spans="1:14" s="5" customFormat="1" ht="13.5" customHeight="1">
      <c r="A43" s="36">
        <v>44980</v>
      </c>
      <c r="B43" s="35" t="s">
        <v>593</v>
      </c>
      <c r="C43" s="35"/>
      <c r="D43" s="282">
        <v>5</v>
      </c>
      <c r="E43" s="33" t="s">
        <v>107</v>
      </c>
      <c r="F43" s="35"/>
      <c r="G43" s="103"/>
      <c r="H43" s="38"/>
      <c r="I43" s="267">
        <v>280</v>
      </c>
      <c r="J43" s="54" t="e">
        <f>I43/'통장내역(환율표)'!#REF!</f>
        <v>#REF!</v>
      </c>
      <c r="K43" s="263" t="e">
        <f t="shared" si="9"/>
        <v>#REF!</v>
      </c>
      <c r="L43" s="38" t="e">
        <f t="shared" si="10"/>
        <v>#REF!</v>
      </c>
      <c r="M43" s="34"/>
      <c r="N43" s="45" t="e">
        <f t="shared" si="8"/>
        <v>#REF!</v>
      </c>
    </row>
    <row r="44" spans="1:14" s="5" customFormat="1" ht="13.5" customHeight="1">
      <c r="A44" s="36">
        <v>44980</v>
      </c>
      <c r="B44" s="281" t="s">
        <v>250</v>
      </c>
      <c r="C44" s="35"/>
      <c r="D44" s="282">
        <v>5</v>
      </c>
      <c r="E44" s="33" t="s">
        <v>570</v>
      </c>
      <c r="F44" s="35"/>
      <c r="G44" s="103"/>
      <c r="H44" s="38"/>
      <c r="I44" s="267">
        <v>7.2</v>
      </c>
      <c r="J44" s="54" t="e">
        <f>I44/'통장내역(환율표)'!#REF!</f>
        <v>#REF!</v>
      </c>
      <c r="K44" s="263" t="e">
        <f t="shared" si="9"/>
        <v>#REF!</v>
      </c>
      <c r="L44" s="38" t="e">
        <f t="shared" si="10"/>
        <v>#REF!</v>
      </c>
      <c r="M44" s="34"/>
      <c r="N44" s="45" t="e">
        <f t="shared" si="8"/>
        <v>#REF!</v>
      </c>
    </row>
    <row r="45" spans="1:14" s="5" customFormat="1" ht="13.5" customHeight="1">
      <c r="A45" s="36">
        <v>44980</v>
      </c>
      <c r="B45" s="281" t="s">
        <v>555</v>
      </c>
      <c r="C45" s="35"/>
      <c r="D45" s="282">
        <v>6</v>
      </c>
      <c r="E45" s="33" t="s">
        <v>570</v>
      </c>
      <c r="F45" s="35"/>
      <c r="G45" s="103"/>
      <c r="H45" s="38"/>
      <c r="I45" s="267">
        <v>1000</v>
      </c>
      <c r="J45" s="54" t="e">
        <f>I45/'통장내역(환율표)'!#REF!</f>
        <v>#REF!</v>
      </c>
      <c r="K45" s="263" t="e">
        <f t="shared" si="9"/>
        <v>#REF!</v>
      </c>
      <c r="L45" s="38" t="e">
        <f t="shared" si="10"/>
        <v>#REF!</v>
      </c>
      <c r="M45" s="34" t="s">
        <v>541</v>
      </c>
      <c r="N45" s="45" t="e">
        <f t="shared" si="8"/>
        <v>#REF!</v>
      </c>
    </row>
    <row r="46" spans="1:14" s="5" customFormat="1" ht="13.5" customHeight="1">
      <c r="A46" s="36">
        <v>44980</v>
      </c>
      <c r="B46" s="281" t="s">
        <v>250</v>
      </c>
      <c r="C46" s="35"/>
      <c r="D46" s="282">
        <v>6</v>
      </c>
      <c r="E46" s="33" t="s">
        <v>570</v>
      </c>
      <c r="F46" s="35"/>
      <c r="G46" s="103"/>
      <c r="H46" s="38"/>
      <c r="I46" s="267">
        <v>3.6</v>
      </c>
      <c r="J46" s="54" t="e">
        <f>I46/'통장내역(환율표)'!#REF!</f>
        <v>#REF!</v>
      </c>
      <c r="K46" s="263" t="e">
        <f t="shared" si="9"/>
        <v>#REF!</v>
      </c>
      <c r="L46" s="38" t="e">
        <f t="shared" si="10"/>
        <v>#REF!</v>
      </c>
      <c r="M46" s="34"/>
      <c r="N46" s="45" t="e">
        <f t="shared" si="8"/>
        <v>#REF!</v>
      </c>
    </row>
    <row r="47" spans="1:14" s="5" customFormat="1" ht="13.5" customHeight="1">
      <c r="A47" s="36">
        <v>44980</v>
      </c>
      <c r="B47" s="281" t="s">
        <v>571</v>
      </c>
      <c r="C47" s="35"/>
      <c r="D47" s="283">
        <v>7</v>
      </c>
      <c r="E47" s="33" t="s">
        <v>325</v>
      </c>
      <c r="F47" s="35" t="s">
        <v>527</v>
      </c>
      <c r="G47" s="103"/>
      <c r="H47" s="38"/>
      <c r="I47" s="267">
        <v>918</v>
      </c>
      <c r="J47" s="54" t="e">
        <f>I47/'통장내역(환율표)'!#REF!</f>
        <v>#REF!</v>
      </c>
      <c r="K47" s="263" t="e">
        <f t="shared" si="9"/>
        <v>#REF!</v>
      </c>
      <c r="L47" s="38" t="e">
        <f t="shared" si="10"/>
        <v>#REF!</v>
      </c>
      <c r="M47" s="34"/>
      <c r="N47" s="45" t="e">
        <f t="shared" si="8"/>
        <v>#REF!</v>
      </c>
    </row>
    <row r="48" spans="1:14" s="5" customFormat="1" ht="13.5" customHeight="1">
      <c r="A48" s="36">
        <v>44980</v>
      </c>
      <c r="B48" s="281" t="s">
        <v>572</v>
      </c>
      <c r="C48" s="35"/>
      <c r="D48" s="283">
        <v>7</v>
      </c>
      <c r="E48" s="33" t="s">
        <v>325</v>
      </c>
      <c r="F48" s="35" t="s">
        <v>527</v>
      </c>
      <c r="G48" s="103"/>
      <c r="H48" s="38"/>
      <c r="I48" s="267">
        <v>2120</v>
      </c>
      <c r="J48" s="54" t="e">
        <f>I48/'통장내역(환율표)'!#REF!</f>
        <v>#REF!</v>
      </c>
      <c r="K48" s="263" t="e">
        <f t="shared" si="9"/>
        <v>#REF!</v>
      </c>
      <c r="L48" s="38" t="e">
        <f t="shared" si="10"/>
        <v>#REF!</v>
      </c>
      <c r="M48" s="34"/>
      <c r="N48" s="45" t="e">
        <f t="shared" si="8"/>
        <v>#REF!</v>
      </c>
    </row>
    <row r="49" spans="1:14" s="5" customFormat="1" ht="13.5" customHeight="1">
      <c r="A49" s="36">
        <v>44980</v>
      </c>
      <c r="B49" s="281" t="s">
        <v>573</v>
      </c>
      <c r="C49" s="35"/>
      <c r="D49" s="283">
        <v>7</v>
      </c>
      <c r="E49" s="33" t="s">
        <v>325</v>
      </c>
      <c r="F49" s="35" t="s">
        <v>527</v>
      </c>
      <c r="G49" s="103"/>
      <c r="H49" s="38"/>
      <c r="I49" s="267">
        <v>182</v>
      </c>
      <c r="J49" s="54" t="e">
        <f>I49/'통장내역(환율표)'!#REF!</f>
        <v>#REF!</v>
      </c>
      <c r="K49" s="263" t="e">
        <f t="shared" si="9"/>
        <v>#REF!</v>
      </c>
      <c r="L49" s="38" t="e">
        <f t="shared" si="10"/>
        <v>#REF!</v>
      </c>
      <c r="M49" s="34"/>
      <c r="N49" s="45" t="e">
        <f t="shared" si="8"/>
        <v>#REF!</v>
      </c>
    </row>
    <row r="50" spans="1:14" s="5" customFormat="1" ht="13.5" customHeight="1">
      <c r="A50" s="36">
        <v>44980</v>
      </c>
      <c r="B50" s="281" t="s">
        <v>250</v>
      </c>
      <c r="C50" s="35"/>
      <c r="D50" s="283">
        <v>7</v>
      </c>
      <c r="E50" s="33" t="s">
        <v>570</v>
      </c>
      <c r="F50" s="35"/>
      <c r="G50" s="103"/>
      <c r="H50" s="38"/>
      <c r="I50" s="267">
        <v>3.6</v>
      </c>
      <c r="J50" s="54" t="e">
        <f>I50/'통장내역(환율표)'!#REF!</f>
        <v>#REF!</v>
      </c>
      <c r="K50" s="263" t="e">
        <f t="shared" si="9"/>
        <v>#REF!</v>
      </c>
      <c r="L50" s="38" t="e">
        <f t="shared" si="10"/>
        <v>#REF!</v>
      </c>
      <c r="M50" s="34"/>
      <c r="N50" s="45" t="e">
        <f t="shared" si="8"/>
        <v>#REF!</v>
      </c>
    </row>
    <row r="51" spans="1:14" s="5" customFormat="1" ht="13.5" customHeight="1">
      <c r="A51" s="36">
        <v>44980</v>
      </c>
      <c r="B51" s="281" t="s">
        <v>574</v>
      </c>
      <c r="C51" s="35"/>
      <c r="D51" s="282">
        <v>8</v>
      </c>
      <c r="E51" s="33" t="s">
        <v>580</v>
      </c>
      <c r="F51" s="35" t="s">
        <v>581</v>
      </c>
      <c r="G51" s="103"/>
      <c r="H51" s="38"/>
      <c r="I51" s="267">
        <v>227</v>
      </c>
      <c r="J51" s="54" t="e">
        <f>I51/'통장내역(환율표)'!#REF!</f>
        <v>#REF!</v>
      </c>
      <c r="K51" s="263" t="e">
        <f t="shared" si="9"/>
        <v>#REF!</v>
      </c>
      <c r="L51" s="38" t="e">
        <f t="shared" si="10"/>
        <v>#REF!</v>
      </c>
      <c r="M51" s="34"/>
      <c r="N51" s="45" t="e">
        <f t="shared" si="8"/>
        <v>#REF!</v>
      </c>
    </row>
    <row r="52" spans="1:14" s="5" customFormat="1" ht="13.5" customHeight="1">
      <c r="A52" s="36">
        <v>44980</v>
      </c>
      <c r="B52" s="281" t="s">
        <v>575</v>
      </c>
      <c r="C52" s="35"/>
      <c r="D52" s="282">
        <v>8</v>
      </c>
      <c r="E52" s="33" t="s">
        <v>582</v>
      </c>
      <c r="F52" s="35"/>
      <c r="G52" s="103"/>
      <c r="H52" s="38"/>
      <c r="I52" s="267">
        <v>154.9</v>
      </c>
      <c r="J52" s="54" t="e">
        <f>I52/'통장내역(환율표)'!#REF!</f>
        <v>#REF!</v>
      </c>
      <c r="K52" s="263" t="e">
        <f t="shared" si="9"/>
        <v>#REF!</v>
      </c>
      <c r="L52" s="38" t="e">
        <f t="shared" si="10"/>
        <v>#REF!</v>
      </c>
      <c r="M52" s="34"/>
      <c r="N52" s="45" t="e">
        <f t="shared" si="8"/>
        <v>#REF!</v>
      </c>
    </row>
    <row r="53" spans="1:14" s="5" customFormat="1" ht="13.5" customHeight="1">
      <c r="A53" s="36">
        <v>44980</v>
      </c>
      <c r="B53" s="281" t="s">
        <v>576</v>
      </c>
      <c r="C53" s="35"/>
      <c r="D53" s="282">
        <v>8</v>
      </c>
      <c r="E53" s="33" t="s">
        <v>201</v>
      </c>
      <c r="F53" s="35" t="s">
        <v>444</v>
      </c>
      <c r="G53" s="103"/>
      <c r="H53" s="38"/>
      <c r="I53" s="267">
        <v>98.6</v>
      </c>
      <c r="J53" s="54" t="e">
        <f>I53/'통장내역(환율표)'!#REF!</f>
        <v>#REF!</v>
      </c>
      <c r="K53" s="263" t="e">
        <f t="shared" si="9"/>
        <v>#REF!</v>
      </c>
      <c r="L53" s="38" t="e">
        <f t="shared" si="10"/>
        <v>#REF!</v>
      </c>
      <c r="M53" s="34"/>
      <c r="N53" s="45" t="e">
        <f t="shared" si="8"/>
        <v>#REF!</v>
      </c>
    </row>
    <row r="54" spans="1:14" s="5" customFormat="1" ht="13.5" customHeight="1">
      <c r="A54" s="36">
        <v>44980</v>
      </c>
      <c r="B54" s="281" t="s">
        <v>577</v>
      </c>
      <c r="C54" s="35"/>
      <c r="D54" s="282">
        <v>8</v>
      </c>
      <c r="E54" s="33" t="s">
        <v>325</v>
      </c>
      <c r="F54" s="35" t="s">
        <v>527</v>
      </c>
      <c r="G54" s="103"/>
      <c r="H54" s="38"/>
      <c r="I54" s="267">
        <v>1497.56</v>
      </c>
      <c r="J54" s="54" t="e">
        <f>I54/'통장내역(환율표)'!#REF!</f>
        <v>#REF!</v>
      </c>
      <c r="K54" s="263" t="e">
        <f t="shared" si="9"/>
        <v>#REF!</v>
      </c>
      <c r="L54" s="38" t="e">
        <f t="shared" si="10"/>
        <v>#REF!</v>
      </c>
      <c r="M54" s="34"/>
      <c r="N54" s="45" t="e">
        <f t="shared" si="8"/>
        <v>#REF!</v>
      </c>
    </row>
    <row r="55" spans="1:14" s="5" customFormat="1" ht="13.5" customHeight="1">
      <c r="A55" s="36">
        <v>44980</v>
      </c>
      <c r="B55" s="281" t="s">
        <v>250</v>
      </c>
      <c r="C55" s="35"/>
      <c r="D55" s="282">
        <v>8</v>
      </c>
      <c r="E55" s="33" t="s">
        <v>582</v>
      </c>
      <c r="F55" s="35"/>
      <c r="G55" s="103"/>
      <c r="H55" s="38"/>
      <c r="I55" s="267">
        <v>3.6</v>
      </c>
      <c r="J55" s="54" t="e">
        <f>I55/'통장내역(환율표)'!#REF!</f>
        <v>#REF!</v>
      </c>
      <c r="K55" s="263" t="e">
        <f t="shared" si="9"/>
        <v>#REF!</v>
      </c>
      <c r="L55" s="38" t="e">
        <f t="shared" si="10"/>
        <v>#REF!</v>
      </c>
      <c r="M55" s="34"/>
      <c r="N55" s="45" t="e">
        <f t="shared" si="8"/>
        <v>#REF!</v>
      </c>
    </row>
    <row r="56" spans="1:14" s="5" customFormat="1" ht="13.5" customHeight="1">
      <c r="A56" s="36">
        <v>44980</v>
      </c>
      <c r="B56" s="281" t="s">
        <v>556</v>
      </c>
      <c r="C56" s="35"/>
      <c r="D56" s="283">
        <v>9</v>
      </c>
      <c r="E56" s="33" t="s">
        <v>325</v>
      </c>
      <c r="F56" s="35" t="s">
        <v>527</v>
      </c>
      <c r="G56" s="103"/>
      <c r="H56" s="38"/>
      <c r="I56" s="267">
        <v>2678</v>
      </c>
      <c r="J56" s="54" t="e">
        <f>I56/'통장내역(환율표)'!#REF!</f>
        <v>#REF!</v>
      </c>
      <c r="K56" s="263" t="e">
        <f t="shared" si="9"/>
        <v>#REF!</v>
      </c>
      <c r="L56" s="38" t="e">
        <f t="shared" si="10"/>
        <v>#REF!</v>
      </c>
      <c r="M56" s="34" t="s">
        <v>542</v>
      </c>
      <c r="N56" s="45" t="e">
        <f t="shared" si="8"/>
        <v>#REF!</v>
      </c>
    </row>
    <row r="57" spans="1:14" s="5" customFormat="1" ht="13.5" customHeight="1">
      <c r="A57" s="36">
        <v>44980</v>
      </c>
      <c r="B57" s="281" t="s">
        <v>250</v>
      </c>
      <c r="C57" s="35"/>
      <c r="D57" s="283">
        <v>9</v>
      </c>
      <c r="E57" s="33" t="s">
        <v>582</v>
      </c>
      <c r="F57" s="35"/>
      <c r="G57" s="103"/>
      <c r="H57" s="38"/>
      <c r="I57" s="267">
        <v>3.6</v>
      </c>
      <c r="J57" s="54" t="e">
        <f>I57/'통장내역(환율표)'!#REF!</f>
        <v>#REF!</v>
      </c>
      <c r="K57" s="263" t="e">
        <f t="shared" si="9"/>
        <v>#REF!</v>
      </c>
      <c r="L57" s="38" t="e">
        <f t="shared" si="10"/>
        <v>#REF!</v>
      </c>
      <c r="M57" s="34"/>
      <c r="N57" s="45" t="e">
        <f t="shared" si="8"/>
        <v>#REF!</v>
      </c>
    </row>
    <row r="58" spans="1:14" s="5" customFormat="1" ht="13.5" customHeight="1">
      <c r="A58" s="36">
        <v>44980</v>
      </c>
      <c r="B58" s="281" t="s">
        <v>557</v>
      </c>
      <c r="C58" s="35"/>
      <c r="D58" s="283">
        <v>10</v>
      </c>
      <c r="E58" s="33" t="s">
        <v>325</v>
      </c>
      <c r="F58" s="35" t="s">
        <v>527</v>
      </c>
      <c r="G58" s="103"/>
      <c r="H58" s="38"/>
      <c r="I58" s="267">
        <v>1941.8</v>
      </c>
      <c r="J58" s="54" t="e">
        <f>I58/'통장내역(환율표)'!#REF!</f>
        <v>#REF!</v>
      </c>
      <c r="K58" s="263" t="e">
        <f t="shared" si="9"/>
        <v>#REF!</v>
      </c>
      <c r="L58" s="38" t="e">
        <f t="shared" si="10"/>
        <v>#REF!</v>
      </c>
      <c r="M58" s="34" t="s">
        <v>543</v>
      </c>
      <c r="N58" s="45" t="e">
        <f t="shared" si="8"/>
        <v>#REF!</v>
      </c>
    </row>
    <row r="59" spans="1:14" s="5" customFormat="1" ht="13.5" customHeight="1">
      <c r="A59" s="36">
        <v>44980</v>
      </c>
      <c r="B59" s="281" t="s">
        <v>250</v>
      </c>
      <c r="C59" s="35"/>
      <c r="D59" s="283">
        <v>10</v>
      </c>
      <c r="E59" s="33" t="s">
        <v>582</v>
      </c>
      <c r="F59" s="35"/>
      <c r="G59" s="103"/>
      <c r="H59" s="38"/>
      <c r="I59" s="267">
        <v>3.6</v>
      </c>
      <c r="J59" s="54" t="e">
        <f>I59/'통장내역(환율표)'!#REF!</f>
        <v>#REF!</v>
      </c>
      <c r="K59" s="263" t="e">
        <f t="shared" si="9"/>
        <v>#REF!</v>
      </c>
      <c r="L59" s="38" t="e">
        <f t="shared" si="10"/>
        <v>#REF!</v>
      </c>
      <c r="M59" s="34"/>
      <c r="N59" s="45" t="e">
        <f t="shared" si="8"/>
        <v>#REF!</v>
      </c>
    </row>
    <row r="60" spans="1:14" s="5" customFormat="1" ht="13.5" customHeight="1">
      <c r="A60" s="36">
        <v>44980</v>
      </c>
      <c r="B60" s="281" t="s">
        <v>558</v>
      </c>
      <c r="C60" s="35"/>
      <c r="D60" s="283">
        <v>11</v>
      </c>
      <c r="E60" s="33" t="s">
        <v>582</v>
      </c>
      <c r="F60" s="35"/>
      <c r="G60" s="103"/>
      <c r="H60" s="38"/>
      <c r="I60" s="267">
        <v>7222</v>
      </c>
      <c r="J60" s="54" t="e">
        <f>I60/'통장내역(환율표)'!#REF!</f>
        <v>#REF!</v>
      </c>
      <c r="K60" s="263" t="e">
        <f t="shared" si="9"/>
        <v>#REF!</v>
      </c>
      <c r="L60" s="38" t="e">
        <f t="shared" si="10"/>
        <v>#REF!</v>
      </c>
      <c r="M60" s="34" t="s">
        <v>544</v>
      </c>
      <c r="N60" s="45" t="e">
        <f t="shared" si="8"/>
        <v>#REF!</v>
      </c>
    </row>
    <row r="61" spans="1:14" s="5" customFormat="1" ht="13.5" customHeight="1">
      <c r="A61" s="36">
        <v>44980</v>
      </c>
      <c r="B61" s="281" t="s">
        <v>250</v>
      </c>
      <c r="C61" s="35"/>
      <c r="D61" s="283">
        <v>11</v>
      </c>
      <c r="E61" s="33" t="s">
        <v>582</v>
      </c>
      <c r="F61" s="35"/>
      <c r="G61" s="103"/>
      <c r="H61" s="38"/>
      <c r="I61" s="267">
        <v>3.6</v>
      </c>
      <c r="J61" s="54" t="e">
        <f>I61/'통장내역(환율표)'!#REF!</f>
        <v>#REF!</v>
      </c>
      <c r="K61" s="263" t="e">
        <f t="shared" si="9"/>
        <v>#REF!</v>
      </c>
      <c r="L61" s="38" t="e">
        <f t="shared" si="10"/>
        <v>#REF!</v>
      </c>
      <c r="M61" s="34"/>
      <c r="N61" s="45" t="e">
        <f t="shared" si="8"/>
        <v>#REF!</v>
      </c>
    </row>
    <row r="62" spans="1:14" s="5" customFormat="1" ht="13.5" customHeight="1">
      <c r="A62" s="36">
        <v>44980</v>
      </c>
      <c r="B62" s="281" t="s">
        <v>559</v>
      </c>
      <c r="C62" s="35"/>
      <c r="D62" s="283">
        <v>12</v>
      </c>
      <c r="E62" s="33" t="s">
        <v>325</v>
      </c>
      <c r="F62" s="35" t="s">
        <v>527</v>
      </c>
      <c r="G62" s="103"/>
      <c r="H62" s="38"/>
      <c r="I62" s="267">
        <v>4651.8</v>
      </c>
      <c r="J62" s="54" t="e">
        <f>I62/'통장내역(환율표)'!#REF!</f>
        <v>#REF!</v>
      </c>
      <c r="K62" s="263" t="e">
        <f t="shared" si="9"/>
        <v>#REF!</v>
      </c>
      <c r="L62" s="38" t="e">
        <f t="shared" si="10"/>
        <v>#REF!</v>
      </c>
      <c r="M62" s="34" t="s">
        <v>545</v>
      </c>
      <c r="N62" s="45" t="e">
        <f t="shared" si="8"/>
        <v>#REF!</v>
      </c>
    </row>
    <row r="63" spans="1:14" s="5" customFormat="1" ht="13.5" customHeight="1">
      <c r="A63" s="36">
        <v>44980</v>
      </c>
      <c r="B63" s="281" t="s">
        <v>250</v>
      </c>
      <c r="C63" s="35"/>
      <c r="D63" s="283">
        <v>12</v>
      </c>
      <c r="E63" s="33" t="s">
        <v>582</v>
      </c>
      <c r="F63" s="35"/>
      <c r="G63" s="103"/>
      <c r="H63" s="38"/>
      <c r="I63" s="267">
        <v>3.6</v>
      </c>
      <c r="J63" s="54" t="e">
        <f>I63/'통장내역(환율표)'!#REF!</f>
        <v>#REF!</v>
      </c>
      <c r="K63" s="263" t="e">
        <f t="shared" si="9"/>
        <v>#REF!</v>
      </c>
      <c r="L63" s="38" t="e">
        <f t="shared" si="10"/>
        <v>#REF!</v>
      </c>
      <c r="M63" s="34"/>
      <c r="N63" s="45" t="e">
        <f t="shared" si="8"/>
        <v>#REF!</v>
      </c>
    </row>
    <row r="64" spans="1:14" s="5" customFormat="1" ht="13.5" customHeight="1">
      <c r="A64" s="36">
        <v>44980</v>
      </c>
      <c r="B64" s="281" t="s">
        <v>575</v>
      </c>
      <c r="C64" s="35"/>
      <c r="D64" s="283">
        <v>13</v>
      </c>
      <c r="E64" s="33" t="s">
        <v>582</v>
      </c>
      <c r="F64" s="35"/>
      <c r="G64" s="103"/>
      <c r="H64" s="38"/>
      <c r="I64" s="267">
        <v>236.8</v>
      </c>
      <c r="J64" s="54" t="e">
        <f>I64/'통장내역(환율표)'!#REF!</f>
        <v>#REF!</v>
      </c>
      <c r="K64" s="263" t="e">
        <f t="shared" si="9"/>
        <v>#REF!</v>
      </c>
      <c r="L64" s="38" t="e">
        <f t="shared" si="10"/>
        <v>#REF!</v>
      </c>
      <c r="M64" s="34"/>
      <c r="N64" s="45" t="e">
        <f t="shared" si="8"/>
        <v>#REF!</v>
      </c>
    </row>
    <row r="65" spans="1:14" s="5" customFormat="1" ht="13.5" customHeight="1">
      <c r="A65" s="36">
        <v>44980</v>
      </c>
      <c r="B65" s="281" t="s">
        <v>578</v>
      </c>
      <c r="C65" s="35"/>
      <c r="D65" s="283">
        <v>13</v>
      </c>
      <c r="E65" s="33" t="s">
        <v>582</v>
      </c>
      <c r="F65" s="35"/>
      <c r="G65" s="103"/>
      <c r="H65" s="38"/>
      <c r="I65" s="267">
        <v>300</v>
      </c>
      <c r="J65" s="54" t="e">
        <f>I65/'통장내역(환율표)'!#REF!</f>
        <v>#REF!</v>
      </c>
      <c r="K65" s="263" t="e">
        <f t="shared" si="9"/>
        <v>#REF!</v>
      </c>
      <c r="L65" s="38" t="e">
        <f t="shared" si="10"/>
        <v>#REF!</v>
      </c>
      <c r="M65" s="34"/>
      <c r="N65" s="45" t="e">
        <f t="shared" si="8"/>
        <v>#REF!</v>
      </c>
    </row>
    <row r="66" spans="1:14" s="5" customFormat="1" ht="13.5" customHeight="1">
      <c r="A66" s="36">
        <v>44980</v>
      </c>
      <c r="B66" s="281" t="s">
        <v>579</v>
      </c>
      <c r="C66" s="35"/>
      <c r="D66" s="283">
        <v>13</v>
      </c>
      <c r="E66" s="33" t="s">
        <v>582</v>
      </c>
      <c r="F66" s="35"/>
      <c r="G66" s="103"/>
      <c r="H66" s="38"/>
      <c r="I66" s="267">
        <v>120</v>
      </c>
      <c r="J66" s="54" t="e">
        <f>I66/'통장내역(환율표)'!#REF!</f>
        <v>#REF!</v>
      </c>
      <c r="K66" s="263" t="e">
        <f t="shared" si="9"/>
        <v>#REF!</v>
      </c>
      <c r="L66" s="38" t="e">
        <f t="shared" si="10"/>
        <v>#REF!</v>
      </c>
      <c r="M66" s="34"/>
      <c r="N66" s="45" t="e">
        <f t="shared" si="8"/>
        <v>#REF!</v>
      </c>
    </row>
    <row r="67" spans="1:14" s="5" customFormat="1" ht="13.5" customHeight="1">
      <c r="A67" s="36">
        <v>44980</v>
      </c>
      <c r="B67" s="281" t="s">
        <v>250</v>
      </c>
      <c r="C67" s="35"/>
      <c r="D67" s="283">
        <v>13</v>
      </c>
      <c r="E67" s="33" t="s">
        <v>582</v>
      </c>
      <c r="F67" s="35"/>
      <c r="G67" s="103"/>
      <c r="H67" s="38"/>
      <c r="I67" s="267">
        <v>3.6</v>
      </c>
      <c r="J67" s="54" t="e">
        <f>I67/'통장내역(환율표)'!#REF!</f>
        <v>#REF!</v>
      </c>
      <c r="K67" s="263" t="e">
        <f t="shared" si="9"/>
        <v>#REF!</v>
      </c>
      <c r="L67" s="38" t="e">
        <f t="shared" si="10"/>
        <v>#REF!</v>
      </c>
      <c r="M67" s="34"/>
      <c r="N67" s="45" t="e">
        <f t="shared" si="8"/>
        <v>#REF!</v>
      </c>
    </row>
    <row r="68" spans="1:14" s="5" customFormat="1" ht="13.5" customHeight="1">
      <c r="A68" s="36">
        <v>44980</v>
      </c>
      <c r="B68" s="281" t="s">
        <v>560</v>
      </c>
      <c r="C68" s="35"/>
      <c r="D68" s="282">
        <v>14</v>
      </c>
      <c r="E68" s="33" t="s">
        <v>201</v>
      </c>
      <c r="F68" s="35" t="s">
        <v>444</v>
      </c>
      <c r="G68" s="103"/>
      <c r="H68" s="38"/>
      <c r="I68" s="267">
        <v>499</v>
      </c>
      <c r="J68" s="54" t="e">
        <f>I68/'통장내역(환율표)'!#REF!</f>
        <v>#REF!</v>
      </c>
      <c r="K68" s="263" t="e">
        <f t="shared" si="9"/>
        <v>#REF!</v>
      </c>
      <c r="L68" s="38" t="e">
        <f t="shared" si="10"/>
        <v>#REF!</v>
      </c>
      <c r="M68" s="34" t="s">
        <v>546</v>
      </c>
      <c r="N68" s="45" t="e">
        <f t="shared" si="8"/>
        <v>#REF!</v>
      </c>
    </row>
    <row r="69" spans="1:14" s="5" customFormat="1" ht="13.5" customHeight="1">
      <c r="A69" s="36">
        <v>44980</v>
      </c>
      <c r="B69" s="281" t="s">
        <v>250</v>
      </c>
      <c r="C69" s="35"/>
      <c r="D69" s="282">
        <v>14</v>
      </c>
      <c r="E69" s="33" t="s">
        <v>582</v>
      </c>
      <c r="F69" s="35"/>
      <c r="G69" s="103"/>
      <c r="H69" s="38"/>
      <c r="I69" s="267">
        <v>3.6</v>
      </c>
      <c r="J69" s="54" t="e">
        <f>I69/'통장내역(환율표)'!#REF!</f>
        <v>#REF!</v>
      </c>
      <c r="K69" s="263" t="e">
        <f t="shared" si="9"/>
        <v>#REF!</v>
      </c>
      <c r="L69" s="38" t="e">
        <f t="shared" si="10"/>
        <v>#REF!</v>
      </c>
      <c r="M69" s="34"/>
      <c r="N69" s="45" t="e">
        <f t="shared" si="8"/>
        <v>#REF!</v>
      </c>
    </row>
    <row r="70" spans="1:14" s="5" customFormat="1" ht="13.5" customHeight="1">
      <c r="A70" s="36">
        <v>44980</v>
      </c>
      <c r="B70" s="281" t="s">
        <v>561</v>
      </c>
      <c r="C70" s="35"/>
      <c r="D70" s="33">
        <v>15</v>
      </c>
      <c r="E70" s="33" t="s">
        <v>325</v>
      </c>
      <c r="F70" s="35" t="s">
        <v>527</v>
      </c>
      <c r="G70" s="103"/>
      <c r="H70" s="38"/>
      <c r="I70" s="267">
        <v>298.27</v>
      </c>
      <c r="J70" s="54" t="e">
        <f>I70/'통장내역(환율표)'!#REF!</f>
        <v>#REF!</v>
      </c>
      <c r="K70" s="263" t="e">
        <f t="shared" si="9"/>
        <v>#REF!</v>
      </c>
      <c r="L70" s="38" t="e">
        <f t="shared" si="10"/>
        <v>#REF!</v>
      </c>
      <c r="M70" s="34" t="s">
        <v>547</v>
      </c>
      <c r="N70" s="45" t="e">
        <f t="shared" si="8"/>
        <v>#REF!</v>
      </c>
    </row>
    <row r="71" spans="1:14" s="5" customFormat="1" ht="13.5" customHeight="1">
      <c r="A71" s="36">
        <v>44980</v>
      </c>
      <c r="B71" s="281" t="s">
        <v>250</v>
      </c>
      <c r="C71" s="35"/>
      <c r="D71" s="33">
        <v>15</v>
      </c>
      <c r="E71" s="33" t="s">
        <v>582</v>
      </c>
      <c r="F71" s="35"/>
      <c r="G71" s="103"/>
      <c r="H71" s="38"/>
      <c r="I71" s="267">
        <v>3.6</v>
      </c>
      <c r="J71" s="54" t="e">
        <f>I71/'통장내역(환율표)'!#REF!</f>
        <v>#REF!</v>
      </c>
      <c r="K71" s="263" t="e">
        <f t="shared" si="9"/>
        <v>#REF!</v>
      </c>
      <c r="L71" s="38" t="e">
        <f t="shared" si="10"/>
        <v>#REF!</v>
      </c>
      <c r="M71" s="34"/>
      <c r="N71" s="45" t="e">
        <f t="shared" si="8"/>
        <v>#REF!</v>
      </c>
    </row>
    <row r="72" spans="1:14" s="5" customFormat="1" ht="13.5" customHeight="1">
      <c r="A72" s="36">
        <v>44980</v>
      </c>
      <c r="B72" s="281" t="s">
        <v>562</v>
      </c>
      <c r="C72" s="35"/>
      <c r="D72" s="33">
        <v>16</v>
      </c>
      <c r="E72" s="33" t="s">
        <v>580</v>
      </c>
      <c r="F72" s="35" t="s">
        <v>581</v>
      </c>
      <c r="G72" s="103"/>
      <c r="H72" s="38"/>
      <c r="I72" s="267">
        <v>18000</v>
      </c>
      <c r="J72" s="54" t="e">
        <f>I72/'통장내역(환율표)'!#REF!</f>
        <v>#REF!</v>
      </c>
      <c r="K72" s="263" t="e">
        <f t="shared" si="9"/>
        <v>#REF!</v>
      </c>
      <c r="L72" s="38" t="e">
        <f t="shared" si="10"/>
        <v>#REF!</v>
      </c>
      <c r="M72" s="34" t="s">
        <v>548</v>
      </c>
      <c r="N72" s="45" t="e">
        <f t="shared" si="8"/>
        <v>#REF!</v>
      </c>
    </row>
    <row r="73" spans="1:14" s="5" customFormat="1" ht="13.5" customHeight="1">
      <c r="A73" s="36">
        <v>44980</v>
      </c>
      <c r="B73" s="281" t="s">
        <v>250</v>
      </c>
      <c r="C73" s="35"/>
      <c r="D73" s="33">
        <v>16</v>
      </c>
      <c r="E73" s="33" t="s">
        <v>582</v>
      </c>
      <c r="F73" s="35"/>
      <c r="G73" s="103"/>
      <c r="H73" s="38"/>
      <c r="I73" s="267">
        <v>7.2</v>
      </c>
      <c r="J73" s="54" t="e">
        <f>I73/'통장내역(환율표)'!#REF!</f>
        <v>#REF!</v>
      </c>
      <c r="K73" s="263" t="e">
        <f t="shared" si="9"/>
        <v>#REF!</v>
      </c>
      <c r="L73" s="38" t="e">
        <f t="shared" si="10"/>
        <v>#REF!</v>
      </c>
      <c r="M73" s="34"/>
      <c r="N73" s="45" t="e">
        <f t="shared" si="8"/>
        <v>#REF!</v>
      </c>
    </row>
    <row r="74" spans="1:14" s="5" customFormat="1" ht="13.5" customHeight="1">
      <c r="A74" s="36">
        <v>44980</v>
      </c>
      <c r="B74" s="281" t="s">
        <v>563</v>
      </c>
      <c r="C74" s="35"/>
      <c r="D74" s="33">
        <v>17</v>
      </c>
      <c r="E74" s="33" t="s">
        <v>580</v>
      </c>
      <c r="F74" s="35" t="s">
        <v>581</v>
      </c>
      <c r="G74" s="103"/>
      <c r="H74" s="38"/>
      <c r="I74" s="267">
        <v>4556</v>
      </c>
      <c r="J74" s="54" t="e">
        <f>I74/'통장내역(환율표)'!#REF!</f>
        <v>#REF!</v>
      </c>
      <c r="K74" s="263" t="e">
        <f t="shared" si="9"/>
        <v>#REF!</v>
      </c>
      <c r="L74" s="38" t="e">
        <f t="shared" si="10"/>
        <v>#REF!</v>
      </c>
      <c r="M74" s="34" t="s">
        <v>549</v>
      </c>
      <c r="N74" s="45" t="e">
        <f t="shared" si="8"/>
        <v>#REF!</v>
      </c>
    </row>
    <row r="75" spans="1:14" s="5" customFormat="1" ht="13.5" customHeight="1">
      <c r="A75" s="36">
        <v>44980</v>
      </c>
      <c r="B75" s="281" t="s">
        <v>250</v>
      </c>
      <c r="C75" s="35"/>
      <c r="D75" s="33">
        <v>17</v>
      </c>
      <c r="E75" s="33" t="s">
        <v>582</v>
      </c>
      <c r="F75" s="35"/>
      <c r="G75" s="103"/>
      <c r="H75" s="38"/>
      <c r="I75" s="267">
        <v>3.6</v>
      </c>
      <c r="J75" s="54" t="e">
        <f>I75/'통장내역(환율표)'!#REF!</f>
        <v>#REF!</v>
      </c>
      <c r="K75" s="263" t="e">
        <f t="shared" si="9"/>
        <v>#REF!</v>
      </c>
      <c r="L75" s="38" t="e">
        <f t="shared" si="10"/>
        <v>#REF!</v>
      </c>
      <c r="M75" s="34"/>
      <c r="N75" s="45" t="e">
        <f t="shared" si="8"/>
        <v>#REF!</v>
      </c>
    </row>
    <row r="76" spans="1:14" s="5" customFormat="1" ht="13.5" customHeight="1">
      <c r="A76" s="36">
        <v>44980</v>
      </c>
      <c r="B76" s="281" t="s">
        <v>564</v>
      </c>
      <c r="C76" s="35"/>
      <c r="D76" s="33">
        <v>18</v>
      </c>
      <c r="E76" s="33" t="s">
        <v>582</v>
      </c>
      <c r="F76" s="35"/>
      <c r="G76" s="103"/>
      <c r="H76" s="38"/>
      <c r="I76" s="267">
        <v>387</v>
      </c>
      <c r="J76" s="54" t="e">
        <f>I76/'통장내역(환율표)'!#REF!</f>
        <v>#REF!</v>
      </c>
      <c r="K76" s="263" t="e">
        <f t="shared" si="9"/>
        <v>#REF!</v>
      </c>
      <c r="L76" s="38" t="e">
        <f t="shared" si="10"/>
        <v>#REF!</v>
      </c>
      <c r="M76" s="34" t="s">
        <v>550</v>
      </c>
      <c r="N76" s="45" t="e">
        <f t="shared" si="8"/>
        <v>#REF!</v>
      </c>
    </row>
    <row r="77" spans="1:14" s="5" customFormat="1" ht="13.5" customHeight="1">
      <c r="A77" s="36">
        <v>44980</v>
      </c>
      <c r="B77" s="281" t="s">
        <v>250</v>
      </c>
      <c r="C77" s="35"/>
      <c r="D77" s="33">
        <v>18</v>
      </c>
      <c r="E77" s="33" t="s">
        <v>582</v>
      </c>
      <c r="F77" s="35"/>
      <c r="G77" s="103"/>
      <c r="H77" s="38"/>
      <c r="I77" s="267">
        <v>3.6</v>
      </c>
      <c r="J77" s="54" t="e">
        <f>I77/'통장내역(환율표)'!#REF!</f>
        <v>#REF!</v>
      </c>
      <c r="K77" s="263" t="e">
        <f t="shared" si="9"/>
        <v>#REF!</v>
      </c>
      <c r="L77" s="38" t="e">
        <f t="shared" si="10"/>
        <v>#REF!</v>
      </c>
      <c r="M77" s="34"/>
      <c r="N77" s="45" t="e">
        <f t="shared" si="8"/>
        <v>#REF!</v>
      </c>
    </row>
    <row r="78" spans="1:14" s="5" customFormat="1" ht="13.5" customHeight="1">
      <c r="A78" s="36">
        <v>44980</v>
      </c>
      <c r="B78" s="281" t="s">
        <v>565</v>
      </c>
      <c r="C78" s="35"/>
      <c r="D78" s="33">
        <v>19</v>
      </c>
      <c r="E78" s="33" t="s">
        <v>583</v>
      </c>
      <c r="F78" s="35"/>
      <c r="G78" s="103"/>
      <c r="H78" s="38"/>
      <c r="I78" s="267">
        <v>6800</v>
      </c>
      <c r="J78" s="54" t="e">
        <f>I78/'통장내역(환율표)'!#REF!</f>
        <v>#REF!</v>
      </c>
      <c r="K78" s="263" t="e">
        <f t="shared" si="9"/>
        <v>#REF!</v>
      </c>
      <c r="L78" s="38" t="e">
        <f t="shared" si="10"/>
        <v>#REF!</v>
      </c>
      <c r="M78" s="34" t="s">
        <v>607</v>
      </c>
      <c r="N78" s="45" t="e">
        <f t="shared" si="8"/>
        <v>#REF!</v>
      </c>
    </row>
    <row r="79" spans="1:14" s="5" customFormat="1" ht="13.5" customHeight="1">
      <c r="A79" s="36">
        <v>44980</v>
      </c>
      <c r="B79" s="281" t="s">
        <v>250</v>
      </c>
      <c r="C79" s="35"/>
      <c r="D79" s="33">
        <v>19</v>
      </c>
      <c r="E79" s="33" t="s">
        <v>582</v>
      </c>
      <c r="F79" s="35"/>
      <c r="G79" s="103"/>
      <c r="H79" s="38"/>
      <c r="I79" s="267">
        <v>3.6</v>
      </c>
      <c r="J79" s="54" t="e">
        <f>I79/'통장내역(환율표)'!#REF!</f>
        <v>#REF!</v>
      </c>
      <c r="K79" s="263" t="e">
        <f t="shared" si="9"/>
        <v>#REF!</v>
      </c>
      <c r="L79" s="38" t="e">
        <f t="shared" si="10"/>
        <v>#REF!</v>
      </c>
      <c r="M79" s="34"/>
      <c r="N79" s="45" t="e">
        <f>N78-J79+H79</f>
        <v>#REF!</v>
      </c>
    </row>
    <row r="80" spans="1:14" s="5" customFormat="1" ht="13.5" customHeight="1">
      <c r="A80" s="36">
        <v>44981</v>
      </c>
      <c r="B80" s="281" t="s">
        <v>566</v>
      </c>
      <c r="C80" s="35"/>
      <c r="D80" s="282">
        <v>20</v>
      </c>
      <c r="E80" s="33" t="s">
        <v>582</v>
      </c>
      <c r="F80" s="35"/>
      <c r="G80" s="103"/>
      <c r="H80" s="38"/>
      <c r="I80" s="267">
        <v>500</v>
      </c>
      <c r="J80" s="54" t="e">
        <f>I80/'통장내역(환율표)'!#REF!</f>
        <v>#REF!</v>
      </c>
      <c r="K80" s="263" t="e">
        <f t="shared" si="9"/>
        <v>#REF!</v>
      </c>
      <c r="L80" s="38" t="e">
        <f t="shared" si="10"/>
        <v>#REF!</v>
      </c>
      <c r="M80" s="34" t="s">
        <v>551</v>
      </c>
      <c r="N80" s="45" t="e">
        <f t="shared" si="8"/>
        <v>#REF!</v>
      </c>
    </row>
    <row r="81" spans="1:15" s="5" customFormat="1" ht="13.5" customHeight="1">
      <c r="A81" s="36">
        <v>44981</v>
      </c>
      <c r="B81" s="281" t="s">
        <v>250</v>
      </c>
      <c r="C81" s="35"/>
      <c r="D81" s="33">
        <v>20</v>
      </c>
      <c r="E81" s="33" t="s">
        <v>582</v>
      </c>
      <c r="F81" s="35"/>
      <c r="G81" s="103"/>
      <c r="H81" s="38"/>
      <c r="I81" s="267">
        <v>3.6</v>
      </c>
      <c r="J81" s="54" t="e">
        <f>I81/'통장내역(환율표)'!#REF!</f>
        <v>#REF!</v>
      </c>
      <c r="K81" s="263" t="e">
        <f t="shared" si="9"/>
        <v>#REF!</v>
      </c>
      <c r="L81" s="38" t="e">
        <f t="shared" si="10"/>
        <v>#REF!</v>
      </c>
      <c r="M81" s="34"/>
      <c r="N81" s="45" t="e">
        <f t="shared" si="8"/>
        <v>#REF!</v>
      </c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</sheetData>
  <autoFilter ref="A18:N151" xr:uid="{00000000-0009-0000-0000-00000D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O148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7.399999999999999"/>
  <cols>
    <col min="1" max="1" width="10.19921875" bestFit="1" customWidth="1"/>
    <col min="2" max="2" width="30.69921875" customWidth="1"/>
    <col min="3" max="3" width="11.59765625" customWidth="1"/>
    <col min="4" max="4" width="11.19921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15.09765625" customWidth="1"/>
  </cols>
  <sheetData>
    <row r="1" spans="1:14" ht="24">
      <c r="A1" s="1" t="s">
        <v>638</v>
      </c>
      <c r="B1" s="2"/>
      <c r="C1" s="2"/>
      <c r="D1" s="3"/>
      <c r="E1" s="310">
        <v>100013746</v>
      </c>
      <c r="F1" s="130"/>
      <c r="G1" s="299"/>
      <c r="H1" s="299"/>
      <c r="I1" s="299"/>
      <c r="J1" s="299"/>
      <c r="K1" s="300"/>
      <c r="L1" s="5"/>
      <c r="M1" s="5"/>
    </row>
    <row r="2" spans="1:14" s="5" customFormat="1" ht="15.6">
      <c r="A2" s="130" t="s">
        <v>641</v>
      </c>
      <c r="B2" s="2"/>
      <c r="C2" s="2"/>
      <c r="E2" s="310">
        <v>100013742</v>
      </c>
      <c r="F2" s="130"/>
      <c r="G2" s="130" t="s">
        <v>640</v>
      </c>
      <c r="H2" s="127"/>
      <c r="I2" s="127"/>
      <c r="J2" s="130"/>
      <c r="K2" s="310">
        <v>100013747</v>
      </c>
      <c r="L2" s="139">
        <v>1200000696</v>
      </c>
    </row>
    <row r="3" spans="1:14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7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</row>
    <row r="5" spans="1:14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28814.6</v>
      </c>
      <c r="J5" s="116">
        <v>4177.6741249874294</v>
      </c>
      <c r="K5" s="117">
        <v>5513271</v>
      </c>
      <c r="L5" s="340">
        <f>K5/I5</f>
        <v>191.33602409889431</v>
      </c>
      <c r="M5" s="296"/>
    </row>
    <row r="6" spans="1:14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13634.57</v>
      </c>
      <c r="J6" s="116">
        <v>1976.8002759132005</v>
      </c>
      <c r="K6" s="117">
        <v>2608783</v>
      </c>
      <c r="L6" s="240">
        <f t="shared" ref="L6:L10" si="0">K6+E6</f>
        <v>2608783</v>
      </c>
    </row>
    <row r="7" spans="1:14" s="5" customFormat="1" ht="15.6">
      <c r="A7" s="114" t="s">
        <v>75</v>
      </c>
      <c r="B7" s="115" t="s">
        <v>16</v>
      </c>
      <c r="C7" s="116">
        <v>13744.143453392748</v>
      </c>
      <c r="D7" s="116">
        <v>2016.0388595140528</v>
      </c>
      <c r="E7" s="117">
        <v>2546460</v>
      </c>
      <c r="F7" s="121">
        <v>51201020</v>
      </c>
      <c r="G7" s="114" t="s">
        <v>75</v>
      </c>
      <c r="H7" s="115" t="s">
        <v>16</v>
      </c>
      <c r="I7" s="116">
        <v>5695.8565466072523</v>
      </c>
      <c r="J7" s="116">
        <v>825.81165500827274</v>
      </c>
      <c r="K7" s="117">
        <v>1089821</v>
      </c>
      <c r="L7" s="240">
        <f t="shared" si="0"/>
        <v>3636281</v>
      </c>
    </row>
    <row r="8" spans="1:14" s="5" customFormat="1" ht="15.6">
      <c r="A8" s="114" t="s">
        <v>75</v>
      </c>
      <c r="B8" s="114" t="s">
        <v>17</v>
      </c>
      <c r="C8" s="116">
        <v>10500</v>
      </c>
      <c r="D8" s="116">
        <v>1540.1765920649007</v>
      </c>
      <c r="E8" s="117">
        <v>1945401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0">
        <f t="shared" si="0"/>
        <v>1945401</v>
      </c>
    </row>
    <row r="9" spans="1:14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1593</v>
      </c>
      <c r="J9" s="116">
        <v>230.96051588795177</v>
      </c>
      <c r="K9" s="117">
        <v>304798</v>
      </c>
      <c r="L9" s="240">
        <f t="shared" si="0"/>
        <v>304798</v>
      </c>
    </row>
    <row r="10" spans="1:14" s="5" customFormat="1" ht="15.6">
      <c r="A10" s="114" t="s">
        <v>62</v>
      </c>
      <c r="B10" s="115"/>
      <c r="C10" s="116">
        <v>7805.2</v>
      </c>
      <c r="D10" s="116">
        <v>1144.8939367985679</v>
      </c>
      <c r="E10" s="117">
        <v>1446111</v>
      </c>
      <c r="F10" s="121">
        <v>51321010</v>
      </c>
      <c r="G10" s="114" t="s">
        <v>62</v>
      </c>
      <c r="H10" s="115"/>
      <c r="I10" s="116">
        <v>132486.06000000006</v>
      </c>
      <c r="J10" s="116">
        <v>19234.442414037767</v>
      </c>
      <c r="K10" s="117">
        <v>25383690</v>
      </c>
      <c r="L10" s="240">
        <f t="shared" si="0"/>
        <v>26829801</v>
      </c>
    </row>
    <row r="11" spans="1:14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>
        <v>40000</v>
      </c>
      <c r="J11" s="116">
        <v>5799.3852074815259</v>
      </c>
      <c r="K11" s="117">
        <v>7653455</v>
      </c>
      <c r="L11" s="119"/>
    </row>
    <row r="12" spans="1:14" s="5" customFormat="1" ht="15.6">
      <c r="A12" s="2045" t="s">
        <v>299</v>
      </c>
      <c r="B12" s="2046"/>
      <c r="C12" s="124">
        <f>SUM(C4:C11)</f>
        <v>32049.343453392747</v>
      </c>
      <c r="D12" s="124">
        <f>SUM(D4:D11)</f>
        <v>4701.1093883775211</v>
      </c>
      <c r="E12" s="125">
        <f>SUM(E4:E11)</f>
        <v>5937972</v>
      </c>
      <c r="F12" s="121">
        <v>52981010</v>
      </c>
      <c r="G12" s="2045" t="s">
        <v>299</v>
      </c>
      <c r="H12" s="2046"/>
      <c r="I12" s="124">
        <f>SUM(I4:I11)</f>
        <v>222224.08654660732</v>
      </c>
      <c r="J12" s="124">
        <f t="shared" ref="J12:K12" si="1">SUM(J4:J11)</f>
        <v>32245.074193316148</v>
      </c>
      <c r="K12" s="125">
        <f t="shared" si="1"/>
        <v>42553818</v>
      </c>
      <c r="L12" s="119"/>
    </row>
    <row r="13" spans="1:14" s="5" customFormat="1" ht="15.6">
      <c r="A13" s="126"/>
      <c r="B13" s="307"/>
      <c r="C13" s="308">
        <f>C12+I12</f>
        <v>254273.43000000005</v>
      </c>
      <c r="D13" s="308">
        <f t="shared" ref="D13:E13" si="2">D12+J12</f>
        <v>36946.183581693665</v>
      </c>
      <c r="E13" s="309">
        <f t="shared" si="2"/>
        <v>48491790</v>
      </c>
      <c r="F13" s="172"/>
      <c r="G13" s="130"/>
      <c r="H13" s="130"/>
      <c r="I13" s="131"/>
      <c r="J13" s="130"/>
      <c r="K13" s="280"/>
      <c r="L13" s="245">
        <v>2425.7418328151257</v>
      </c>
      <c r="N13" s="45"/>
    </row>
    <row r="14" spans="1:14" s="5" customFormat="1" ht="15.6">
      <c r="A14" s="126" t="s">
        <v>592</v>
      </c>
      <c r="B14" s="307"/>
      <c r="C14" s="308">
        <v>12600</v>
      </c>
      <c r="D14" s="308" t="e">
        <f>C14/'통장내역(환율표)'!#REF!</f>
        <v>#REF!</v>
      </c>
      <c r="E14" s="309">
        <v>2334474</v>
      </c>
      <c r="F14" s="309" t="s">
        <v>639</v>
      </c>
      <c r="G14" s="310">
        <v>71121010</v>
      </c>
      <c r="H14" s="130"/>
      <c r="I14" s="131"/>
      <c r="J14" s="130"/>
      <c r="K14" s="280"/>
      <c r="L14" s="245"/>
      <c r="N14" s="45"/>
    </row>
    <row r="15" spans="1:14" s="5" customFormat="1" ht="15.6">
      <c r="A15" s="126"/>
      <c r="B15" s="307"/>
      <c r="C15" s="308">
        <f>SUM(C13:C14)</f>
        <v>266873.43000000005</v>
      </c>
      <c r="D15" s="308" t="e">
        <f>SUM(D13:D14)</f>
        <v>#REF!</v>
      </c>
      <c r="G15" s="130"/>
      <c r="H15" s="130"/>
      <c r="I15" s="131"/>
      <c r="J15" s="130"/>
      <c r="K15" s="280"/>
      <c r="L15" s="245"/>
      <c r="N15" s="45" t="e">
        <f>N82</f>
        <v>#REF!</v>
      </c>
    </row>
    <row r="16" spans="1:14" s="5" customFormat="1" ht="15.6">
      <c r="B16" s="134">
        <v>13081010</v>
      </c>
      <c r="C16" s="135"/>
      <c r="D16" s="135"/>
      <c r="G16" s="6"/>
      <c r="H16" s="137" t="e">
        <f>SUBTOTAL(9,H19:H148)</f>
        <v>#REF!</v>
      </c>
      <c r="I16" s="137" t="e">
        <f>SUBTOTAL(9,I19:I163)</f>
        <v>#REF!</v>
      </c>
      <c r="J16" s="137" t="e">
        <f>SUBTOTAL(9,J19:J161)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44985</v>
      </c>
      <c r="B19" s="155" t="s">
        <v>65</v>
      </c>
      <c r="C19" s="156"/>
      <c r="D19" s="232"/>
      <c r="E19" s="231"/>
      <c r="F19" s="232"/>
      <c r="G19" s="233"/>
      <c r="H19" s="233"/>
      <c r="I19" s="233"/>
      <c r="J19" s="233"/>
      <c r="K19" s="233">
        <v>44560.348670473875</v>
      </c>
      <c r="L19" s="233">
        <v>6536.322216025831</v>
      </c>
      <c r="M19" s="232"/>
      <c r="N19" s="45">
        <v>6536.3236752532221</v>
      </c>
    </row>
    <row r="20" spans="1:14" s="5" customFormat="1" ht="13.5" customHeight="1">
      <c r="A20" s="46">
        <v>44998</v>
      </c>
      <c r="B20" s="248" t="s">
        <v>606</v>
      </c>
      <c r="C20" s="249"/>
      <c r="D20" s="302"/>
      <c r="E20" s="47"/>
      <c r="F20" s="49"/>
      <c r="G20" s="54">
        <v>242039.38</v>
      </c>
      <c r="H20" s="50">
        <v>35117.99</v>
      </c>
      <c r="I20" s="294"/>
      <c r="J20" s="54"/>
      <c r="K20" s="295">
        <f t="shared" ref="K20:K49" si="3">K19+G20-I20</f>
        <v>286599.72867047391</v>
      </c>
      <c r="L20" s="50">
        <f t="shared" ref="L20:L49" si="4">L19+H20-J20</f>
        <v>41654.312216025828</v>
      </c>
      <c r="M20" s="52"/>
      <c r="N20" s="45"/>
    </row>
    <row r="21" spans="1:14" s="5" customFormat="1" ht="13.5" customHeight="1">
      <c r="A21" s="46">
        <v>44998</v>
      </c>
      <c r="B21" s="304" t="s">
        <v>445</v>
      </c>
      <c r="C21" s="249"/>
      <c r="D21" s="302">
        <v>1</v>
      </c>
      <c r="E21" s="47" t="s">
        <v>625</v>
      </c>
      <c r="F21" s="49"/>
      <c r="G21" s="54"/>
      <c r="H21" s="50"/>
      <c r="I21" s="294"/>
      <c r="J21" s="53">
        <v>26</v>
      </c>
      <c r="K21" s="295">
        <f t="shared" si="3"/>
        <v>286599.72867047391</v>
      </c>
      <c r="L21" s="50">
        <f t="shared" si="4"/>
        <v>41628.312216025828</v>
      </c>
      <c r="M21" s="52"/>
      <c r="N21" s="45"/>
    </row>
    <row r="22" spans="1:14" s="5" customFormat="1" ht="13.5" customHeight="1">
      <c r="A22" s="36">
        <v>44998</v>
      </c>
      <c r="B22" s="239" t="s">
        <v>250</v>
      </c>
      <c r="C22" s="305"/>
      <c r="D22" s="303">
        <v>2</v>
      </c>
      <c r="E22" s="36" t="s">
        <v>625</v>
      </c>
      <c r="F22" s="36"/>
      <c r="G22" s="38"/>
      <c r="H22" s="38"/>
      <c r="I22" s="38">
        <v>7.2</v>
      </c>
      <c r="J22" s="54" t="e">
        <f>I22/'통장내역(환율표)'!#REF!</f>
        <v>#REF!</v>
      </c>
      <c r="K22" s="263">
        <f t="shared" si="3"/>
        <v>286592.5286704739</v>
      </c>
      <c r="L22" s="38" t="e">
        <f t="shared" si="4"/>
        <v>#REF!</v>
      </c>
      <c r="M22" s="36" t="s">
        <v>624</v>
      </c>
      <c r="N22" s="45" t="e">
        <f>N19-J22</f>
        <v>#REF!</v>
      </c>
    </row>
    <row r="23" spans="1:14" s="5" customFormat="1" ht="13.5" customHeight="1">
      <c r="A23" s="36">
        <v>45005</v>
      </c>
      <c r="B23" s="306" t="s">
        <v>597</v>
      </c>
      <c r="C23" s="305"/>
      <c r="D23" s="303">
        <v>3</v>
      </c>
      <c r="E23" s="36" t="s">
        <v>626</v>
      </c>
      <c r="F23" s="36"/>
      <c r="G23" s="38"/>
      <c r="H23" s="38"/>
      <c r="I23" s="38">
        <v>12600</v>
      </c>
      <c r="J23" s="54" t="e">
        <f>I23/'통장내역(환율표)'!#REF!</f>
        <v>#REF!</v>
      </c>
      <c r="K23" s="263">
        <f t="shared" si="3"/>
        <v>273992.5286704739</v>
      </c>
      <c r="L23" s="38" t="e">
        <f t="shared" si="4"/>
        <v>#REF!</v>
      </c>
      <c r="M23" s="36" t="s">
        <v>647</v>
      </c>
      <c r="N23" s="45" t="e">
        <f>N22-J23</f>
        <v>#REF!</v>
      </c>
    </row>
    <row r="24" spans="1:14" s="5" customFormat="1" ht="13.5" customHeight="1">
      <c r="A24" s="36">
        <v>45005</v>
      </c>
      <c r="B24" s="306" t="s">
        <v>250</v>
      </c>
      <c r="C24" s="305"/>
      <c r="D24" s="303">
        <v>4</v>
      </c>
      <c r="E24" s="36" t="s">
        <v>625</v>
      </c>
      <c r="F24" s="36"/>
      <c r="G24" s="38"/>
      <c r="H24" s="38"/>
      <c r="I24" s="38">
        <v>7.2</v>
      </c>
      <c r="J24" s="54" t="e">
        <f>I24/'통장내역(환율표)'!#REF!</f>
        <v>#REF!</v>
      </c>
      <c r="K24" s="263">
        <f t="shared" si="3"/>
        <v>273985.32867047389</v>
      </c>
      <c r="L24" s="38" t="e">
        <f t="shared" si="4"/>
        <v>#REF!</v>
      </c>
      <c r="M24" s="36"/>
      <c r="N24" s="45" t="e">
        <f>N23-J24</f>
        <v>#REF!</v>
      </c>
    </row>
    <row r="25" spans="1:14" s="5" customFormat="1" ht="13.5" customHeight="1">
      <c r="A25" s="36">
        <v>45006</v>
      </c>
      <c r="B25" s="306" t="s">
        <v>372</v>
      </c>
      <c r="C25" s="305"/>
      <c r="D25" s="303">
        <v>5</v>
      </c>
      <c r="E25" s="36" t="s">
        <v>608</v>
      </c>
      <c r="F25" s="36"/>
      <c r="G25" s="38">
        <v>88.61</v>
      </c>
      <c r="H25" s="38" t="e">
        <f>G25/'통장내역(환율표)'!#REF!</f>
        <v>#REF!</v>
      </c>
      <c r="I25" s="38"/>
      <c r="J25" s="54" t="e">
        <f>I25/'통장내역(환율표)'!#REF!</f>
        <v>#REF!</v>
      </c>
      <c r="K25" s="263">
        <f t="shared" si="3"/>
        <v>274073.93867047387</v>
      </c>
      <c r="L25" s="38" t="e">
        <f t="shared" si="4"/>
        <v>#REF!</v>
      </c>
      <c r="M25" s="36"/>
      <c r="N25" s="45" t="e">
        <f>N24-J25+H25</f>
        <v>#REF!</v>
      </c>
    </row>
    <row r="26" spans="1:14" s="5" customFormat="1" ht="13.5" customHeight="1">
      <c r="A26" s="36">
        <v>45006</v>
      </c>
      <c r="B26" s="306" t="s">
        <v>306</v>
      </c>
      <c r="C26" s="305"/>
      <c r="D26" s="303">
        <v>6</v>
      </c>
      <c r="E26" s="36" t="s">
        <v>625</v>
      </c>
      <c r="F26" s="36"/>
      <c r="G26" s="38"/>
      <c r="H26" s="38"/>
      <c r="I26" s="38">
        <v>1030</v>
      </c>
      <c r="J26" s="54" t="e">
        <f>I26/'통장내역(환율표)'!#REF!</f>
        <v>#REF!</v>
      </c>
      <c r="K26" s="263">
        <f t="shared" si="3"/>
        <v>273043.93867047387</v>
      </c>
      <c r="L26" s="38" t="e">
        <f t="shared" si="4"/>
        <v>#REF!</v>
      </c>
      <c r="M26" s="36"/>
      <c r="N26" s="45" t="e">
        <f t="shared" ref="N26:N32" si="5">N25-J26</f>
        <v>#REF!</v>
      </c>
    </row>
    <row r="27" spans="1:14" s="5" customFormat="1" ht="13.5" customHeight="1">
      <c r="A27" s="36">
        <v>45006</v>
      </c>
      <c r="B27" s="306" t="s">
        <v>250</v>
      </c>
      <c r="C27" s="305"/>
      <c r="D27" s="303">
        <v>7</v>
      </c>
      <c r="E27" s="36" t="s">
        <v>625</v>
      </c>
      <c r="F27" s="36"/>
      <c r="G27" s="38"/>
      <c r="H27" s="38"/>
      <c r="I27" s="38">
        <v>3.6</v>
      </c>
      <c r="J27" s="54" t="e">
        <f>I27/'통장내역(환율표)'!#REF!</f>
        <v>#REF!</v>
      </c>
      <c r="K27" s="263">
        <f t="shared" si="3"/>
        <v>273040.3386704739</v>
      </c>
      <c r="L27" s="38" t="e">
        <f t="shared" si="4"/>
        <v>#REF!</v>
      </c>
      <c r="M27" s="36"/>
      <c r="N27" s="45" t="e">
        <f t="shared" si="5"/>
        <v>#REF!</v>
      </c>
    </row>
    <row r="28" spans="1:14" s="5" customFormat="1" ht="13.5" customHeight="1">
      <c r="A28" s="36">
        <v>45006</v>
      </c>
      <c r="B28" s="306" t="s">
        <v>346</v>
      </c>
      <c r="C28" s="305"/>
      <c r="D28" s="303">
        <v>8</v>
      </c>
      <c r="E28" s="36" t="s">
        <v>627</v>
      </c>
      <c r="F28" s="36" t="s">
        <v>628</v>
      </c>
      <c r="G28" s="38"/>
      <c r="H28" s="38"/>
      <c r="I28" s="267">
        <v>10500</v>
      </c>
      <c r="J28" s="54" t="e">
        <f>I28/'통장내역(환율표)'!#REF!</f>
        <v>#REF!</v>
      </c>
      <c r="K28" s="263">
        <f t="shared" si="3"/>
        <v>262540.3386704739</v>
      </c>
      <c r="L28" s="38" t="e">
        <f t="shared" si="4"/>
        <v>#REF!</v>
      </c>
      <c r="M28" s="36"/>
      <c r="N28" s="45" t="e">
        <f t="shared" si="5"/>
        <v>#REF!</v>
      </c>
    </row>
    <row r="29" spans="1:14" s="5" customFormat="1" ht="13.5" customHeight="1">
      <c r="A29" s="36">
        <v>45006</v>
      </c>
      <c r="B29" s="239" t="s">
        <v>347</v>
      </c>
      <c r="C29" s="305"/>
      <c r="D29" s="303">
        <v>8</v>
      </c>
      <c r="E29" s="36" t="s">
        <v>625</v>
      </c>
      <c r="F29" s="36"/>
      <c r="G29" s="38"/>
      <c r="H29" s="38"/>
      <c r="I29" s="267">
        <v>6000</v>
      </c>
      <c r="J29" s="54" t="e">
        <f>I29/'통장내역(환율표)'!#REF!</f>
        <v>#REF!</v>
      </c>
      <c r="K29" s="263">
        <f t="shared" si="3"/>
        <v>256540.3386704739</v>
      </c>
      <c r="L29" s="38" t="e">
        <f t="shared" si="4"/>
        <v>#REF!</v>
      </c>
      <c r="M29" s="36"/>
      <c r="N29" s="45" t="e">
        <f t="shared" si="5"/>
        <v>#REF!</v>
      </c>
    </row>
    <row r="30" spans="1:14" s="5" customFormat="1" ht="13.5" customHeight="1">
      <c r="A30" s="36">
        <v>45006</v>
      </c>
      <c r="B30" s="159" t="s">
        <v>609</v>
      </c>
      <c r="C30" s="305"/>
      <c r="D30" s="303">
        <v>9</v>
      </c>
      <c r="E30" s="36" t="s">
        <v>625</v>
      </c>
      <c r="F30" s="36"/>
      <c r="G30" s="38"/>
      <c r="H30" s="38"/>
      <c r="I30" s="38">
        <v>750</v>
      </c>
      <c r="J30" s="54" t="e">
        <f>I30/'통장내역(환율표)'!#REF!</f>
        <v>#REF!</v>
      </c>
      <c r="K30" s="263">
        <f t="shared" si="3"/>
        <v>255790.3386704739</v>
      </c>
      <c r="L30" s="38" t="e">
        <f t="shared" si="4"/>
        <v>#REF!</v>
      </c>
      <c r="M30" s="36"/>
      <c r="N30" s="45" t="e">
        <f t="shared" si="5"/>
        <v>#REF!</v>
      </c>
    </row>
    <row r="31" spans="1:14" s="5" customFormat="1" ht="13.5" customHeight="1">
      <c r="A31" s="36">
        <v>45006</v>
      </c>
      <c r="B31" s="239" t="s">
        <v>250</v>
      </c>
      <c r="C31" s="305"/>
      <c r="D31" s="303">
        <v>10</v>
      </c>
      <c r="E31" s="36" t="s">
        <v>625</v>
      </c>
      <c r="F31" s="36"/>
      <c r="G31" s="38"/>
      <c r="H31" s="38"/>
      <c r="I31" s="38">
        <v>7.2</v>
      </c>
      <c r="J31" s="54" t="e">
        <f>I31/'통장내역(환율표)'!#REF!</f>
        <v>#REF!</v>
      </c>
      <c r="K31" s="263">
        <f t="shared" si="3"/>
        <v>255783.13867047388</v>
      </c>
      <c r="L31" s="38" t="e">
        <f t="shared" si="4"/>
        <v>#REF!</v>
      </c>
      <c r="M31" s="36"/>
      <c r="N31" s="45" t="e">
        <f t="shared" si="5"/>
        <v>#REF!</v>
      </c>
    </row>
    <row r="32" spans="1:14" s="5" customFormat="1" ht="13.5" customHeight="1">
      <c r="A32" s="36">
        <v>45006</v>
      </c>
      <c r="B32" s="306" t="s">
        <v>636</v>
      </c>
      <c r="C32" s="305"/>
      <c r="D32" s="303">
        <v>11</v>
      </c>
      <c r="E32" s="36" t="s">
        <v>627</v>
      </c>
      <c r="F32" s="36" t="s">
        <v>629</v>
      </c>
      <c r="G32" s="38"/>
      <c r="H32" s="38"/>
      <c r="I32" s="38" t="e">
        <f>J32*'통장내역(환율표)'!#REF!</f>
        <v>#REF!</v>
      </c>
      <c r="J32" s="54">
        <v>2016.0388595140528</v>
      </c>
      <c r="K32" s="263" t="e">
        <f t="shared" si="3"/>
        <v>#REF!</v>
      </c>
      <c r="L32" s="38" t="e">
        <f t="shared" si="4"/>
        <v>#REF!</v>
      </c>
      <c r="M32" s="36" t="s">
        <v>610</v>
      </c>
      <c r="N32" s="45" t="e">
        <f t="shared" si="5"/>
        <v>#REF!</v>
      </c>
    </row>
    <row r="33" spans="1:14" s="5" customFormat="1" ht="13.5" customHeight="1">
      <c r="A33" s="36">
        <v>45006</v>
      </c>
      <c r="B33" s="306" t="s">
        <v>637</v>
      </c>
      <c r="C33" s="305"/>
      <c r="D33" s="303">
        <v>11</v>
      </c>
      <c r="E33" s="36" t="s">
        <v>627</v>
      </c>
      <c r="F33" s="36" t="s">
        <v>629</v>
      </c>
      <c r="G33" s="38"/>
      <c r="H33" s="38"/>
      <c r="I33" s="38" t="e">
        <f>19440-I32</f>
        <v>#REF!</v>
      </c>
      <c r="J33" s="53" t="e">
        <f>I33/'통장내역(환율표)'!#REF!</f>
        <v>#REF!</v>
      </c>
      <c r="K33" s="263" t="e">
        <f t="shared" si="3"/>
        <v>#REF!</v>
      </c>
      <c r="L33" s="38" t="e">
        <f t="shared" si="4"/>
        <v>#REF!</v>
      </c>
      <c r="M33" s="36"/>
      <c r="N33" s="45" t="e">
        <f>35091.99-J33</f>
        <v>#REF!</v>
      </c>
    </row>
    <row r="34" spans="1:14" s="5" customFormat="1" ht="13.5" customHeight="1">
      <c r="A34" s="36">
        <v>45006</v>
      </c>
      <c r="B34" s="239" t="s">
        <v>250</v>
      </c>
      <c r="C34" s="305"/>
      <c r="D34" s="303">
        <v>12</v>
      </c>
      <c r="E34" s="36" t="s">
        <v>625</v>
      </c>
      <c r="F34" s="36"/>
      <c r="G34" s="38"/>
      <c r="H34" s="38"/>
      <c r="I34" s="38">
        <v>7.2</v>
      </c>
      <c r="J34" s="53" t="e">
        <f>I34/'통장내역(환율표)'!#REF!</f>
        <v>#REF!</v>
      </c>
      <c r="K34" s="263" t="e">
        <f t="shared" si="3"/>
        <v>#REF!</v>
      </c>
      <c r="L34" s="38" t="e">
        <f t="shared" si="4"/>
        <v>#REF!</v>
      </c>
      <c r="M34" s="36"/>
      <c r="N34" s="45" t="e">
        <f t="shared" ref="N34:N82" si="6">N33-J34</f>
        <v>#REF!</v>
      </c>
    </row>
    <row r="35" spans="1:14" s="5" customFormat="1" ht="13.5" customHeight="1">
      <c r="A35" s="36">
        <v>45006</v>
      </c>
      <c r="B35" s="239" t="s">
        <v>478</v>
      </c>
      <c r="C35" s="305"/>
      <c r="D35" s="303">
        <v>13</v>
      </c>
      <c r="E35" s="36" t="s">
        <v>625</v>
      </c>
      <c r="F35" s="36"/>
      <c r="G35" s="38"/>
      <c r="H35" s="38"/>
      <c r="I35" s="38">
        <v>822.71</v>
      </c>
      <c r="J35" s="53" t="e">
        <f>I35/'통장내역(환율표)'!#REF!</f>
        <v>#REF!</v>
      </c>
      <c r="K35" s="263" t="e">
        <f t="shared" si="3"/>
        <v>#REF!</v>
      </c>
      <c r="L35" s="38" t="e">
        <f t="shared" si="4"/>
        <v>#REF!</v>
      </c>
      <c r="M35" s="301" t="s">
        <v>598</v>
      </c>
      <c r="N35" s="45" t="e">
        <f t="shared" si="6"/>
        <v>#REF!</v>
      </c>
    </row>
    <row r="36" spans="1:14" s="5" customFormat="1" ht="13.5" customHeight="1">
      <c r="A36" s="36">
        <v>45006</v>
      </c>
      <c r="B36" s="239" t="s">
        <v>250</v>
      </c>
      <c r="C36" s="305"/>
      <c r="D36" s="303">
        <v>14</v>
      </c>
      <c r="E36" s="36" t="s">
        <v>625</v>
      </c>
      <c r="F36" s="36"/>
      <c r="G36" s="38"/>
      <c r="H36" s="38"/>
      <c r="I36" s="38">
        <v>3.6</v>
      </c>
      <c r="J36" s="53" t="e">
        <f>I36/'통장내역(환율표)'!#REF!</f>
        <v>#REF!</v>
      </c>
      <c r="K36" s="263" t="e">
        <f t="shared" si="3"/>
        <v>#REF!</v>
      </c>
      <c r="L36" s="38" t="e">
        <f t="shared" si="4"/>
        <v>#REF!</v>
      </c>
      <c r="M36" s="301"/>
      <c r="N36" s="45" t="e">
        <f t="shared" si="6"/>
        <v>#REF!</v>
      </c>
    </row>
    <row r="37" spans="1:14" s="5" customFormat="1" ht="13.5" customHeight="1">
      <c r="A37" s="36">
        <v>45006</v>
      </c>
      <c r="B37" s="239" t="s">
        <v>131</v>
      </c>
      <c r="C37" s="305"/>
      <c r="D37" s="303">
        <v>15</v>
      </c>
      <c r="E37" s="36" t="s">
        <v>21</v>
      </c>
      <c r="F37" s="36"/>
      <c r="G37" s="38"/>
      <c r="H37" s="38"/>
      <c r="I37" s="38">
        <v>7606.18</v>
      </c>
      <c r="J37" s="53" t="e">
        <f>I37/'통장내역(환율표)'!#REF!</f>
        <v>#REF!</v>
      </c>
      <c r="K37" s="263" t="e">
        <f t="shared" si="3"/>
        <v>#REF!</v>
      </c>
      <c r="L37" s="38" t="e">
        <f t="shared" si="4"/>
        <v>#REF!</v>
      </c>
      <c r="M37" s="36"/>
      <c r="N37" s="45" t="e">
        <f t="shared" si="6"/>
        <v>#REF!</v>
      </c>
    </row>
    <row r="38" spans="1:14" s="5" customFormat="1" ht="13.5" customHeight="1">
      <c r="A38" s="36">
        <v>45006</v>
      </c>
      <c r="B38" s="239" t="s">
        <v>133</v>
      </c>
      <c r="C38" s="305"/>
      <c r="D38" s="303">
        <v>15</v>
      </c>
      <c r="E38" s="36" t="s">
        <v>21</v>
      </c>
      <c r="F38" s="36"/>
      <c r="G38" s="38"/>
      <c r="H38" s="38"/>
      <c r="I38" s="38">
        <v>2552.3000000000002</v>
      </c>
      <c r="J38" s="53" t="e">
        <f>I38/'통장내역(환율표)'!#REF!</f>
        <v>#REF!</v>
      </c>
      <c r="K38" s="263" t="e">
        <f t="shared" si="3"/>
        <v>#REF!</v>
      </c>
      <c r="L38" s="38" t="e">
        <f t="shared" si="4"/>
        <v>#REF!</v>
      </c>
      <c r="M38" s="36"/>
      <c r="N38" s="45" t="e">
        <f t="shared" si="6"/>
        <v>#REF!</v>
      </c>
    </row>
    <row r="39" spans="1:14" s="5" customFormat="1" ht="13.5" customHeight="1">
      <c r="A39" s="36">
        <v>45006</v>
      </c>
      <c r="B39" s="239" t="s">
        <v>456</v>
      </c>
      <c r="C39" s="305"/>
      <c r="D39" s="303">
        <v>15</v>
      </c>
      <c r="E39" s="36" t="s">
        <v>21</v>
      </c>
      <c r="F39" s="36"/>
      <c r="G39" s="38"/>
      <c r="H39" s="38"/>
      <c r="I39" s="38">
        <v>13500</v>
      </c>
      <c r="J39" s="53" t="e">
        <f>I39/'통장내역(환율표)'!#REF!</f>
        <v>#REF!</v>
      </c>
      <c r="K39" s="263" t="e">
        <f t="shared" si="3"/>
        <v>#REF!</v>
      </c>
      <c r="L39" s="38" t="e">
        <f t="shared" si="4"/>
        <v>#REF!</v>
      </c>
      <c r="M39" s="36"/>
      <c r="N39" s="45" t="e">
        <f t="shared" si="6"/>
        <v>#REF!</v>
      </c>
    </row>
    <row r="40" spans="1:14" s="5" customFormat="1" ht="13.5" customHeight="1">
      <c r="A40" s="36">
        <v>45006</v>
      </c>
      <c r="B40" s="239" t="s">
        <v>457</v>
      </c>
      <c r="C40" s="305"/>
      <c r="D40" s="303">
        <v>15</v>
      </c>
      <c r="E40" s="36" t="s">
        <v>21</v>
      </c>
      <c r="F40" s="36"/>
      <c r="G40" s="38"/>
      <c r="H40" s="38"/>
      <c r="I40" s="38">
        <v>20000</v>
      </c>
      <c r="J40" s="53" t="e">
        <f>I40/'통장내역(환율표)'!#REF!</f>
        <v>#REF!</v>
      </c>
      <c r="K40" s="263" t="e">
        <f t="shared" si="3"/>
        <v>#REF!</v>
      </c>
      <c r="L40" s="38" t="e">
        <f t="shared" si="4"/>
        <v>#REF!</v>
      </c>
      <c r="M40" s="36"/>
      <c r="N40" s="45" t="e">
        <f t="shared" si="6"/>
        <v>#REF!</v>
      </c>
    </row>
    <row r="41" spans="1:14" s="5" customFormat="1" ht="13.5" customHeight="1">
      <c r="A41" s="36">
        <v>45006</v>
      </c>
      <c r="B41" s="239" t="s">
        <v>130</v>
      </c>
      <c r="C41" s="305"/>
      <c r="D41" s="303">
        <v>16</v>
      </c>
      <c r="E41" s="36" t="s">
        <v>21</v>
      </c>
      <c r="F41" s="36"/>
      <c r="G41" s="38"/>
      <c r="H41" s="38"/>
      <c r="I41" s="38">
        <v>300</v>
      </c>
      <c r="J41" s="53" t="e">
        <f>I41/'통장내역(환율표)'!#REF!</f>
        <v>#REF!</v>
      </c>
      <c r="K41" s="263" t="e">
        <f t="shared" si="3"/>
        <v>#REF!</v>
      </c>
      <c r="L41" s="38" t="e">
        <f t="shared" si="4"/>
        <v>#REF!</v>
      </c>
      <c r="M41" s="36"/>
      <c r="N41" s="45" t="e">
        <f t="shared" si="6"/>
        <v>#REF!</v>
      </c>
    </row>
    <row r="42" spans="1:14" s="5" customFormat="1" ht="13.5" customHeight="1">
      <c r="A42" s="36">
        <v>45006</v>
      </c>
      <c r="B42" s="239" t="s">
        <v>131</v>
      </c>
      <c r="C42" s="305"/>
      <c r="D42" s="303">
        <v>17</v>
      </c>
      <c r="E42" s="36" t="s">
        <v>21</v>
      </c>
      <c r="F42" s="36"/>
      <c r="G42" s="38"/>
      <c r="H42" s="38"/>
      <c r="I42" s="38">
        <v>4231.18</v>
      </c>
      <c r="J42" s="53" t="e">
        <f>I42/'통장내역(환율표)'!#REF!</f>
        <v>#REF!</v>
      </c>
      <c r="K42" s="263" t="e">
        <f t="shared" si="3"/>
        <v>#REF!</v>
      </c>
      <c r="L42" s="38" t="e">
        <f t="shared" si="4"/>
        <v>#REF!</v>
      </c>
      <c r="M42" s="36"/>
      <c r="N42" s="45" t="e">
        <f t="shared" si="6"/>
        <v>#REF!</v>
      </c>
    </row>
    <row r="43" spans="1:14" s="5" customFormat="1" ht="13.5" customHeight="1">
      <c r="A43" s="36">
        <v>45006</v>
      </c>
      <c r="B43" s="239" t="s">
        <v>133</v>
      </c>
      <c r="C43" s="305"/>
      <c r="D43" s="303">
        <v>17</v>
      </c>
      <c r="E43" s="36" t="s">
        <v>21</v>
      </c>
      <c r="F43" s="36"/>
      <c r="G43" s="38"/>
      <c r="H43" s="38"/>
      <c r="I43" s="38">
        <v>7714.2999999999993</v>
      </c>
      <c r="J43" s="53" t="e">
        <f>I43/'통장내역(환율표)'!#REF!</f>
        <v>#REF!</v>
      </c>
      <c r="K43" s="263" t="e">
        <f t="shared" si="3"/>
        <v>#REF!</v>
      </c>
      <c r="L43" s="38" t="e">
        <f t="shared" si="4"/>
        <v>#REF!</v>
      </c>
      <c r="M43" s="36"/>
      <c r="N43" s="45" t="e">
        <f t="shared" si="6"/>
        <v>#REF!</v>
      </c>
    </row>
    <row r="44" spans="1:14" s="5" customFormat="1" ht="13.5" customHeight="1">
      <c r="A44" s="36">
        <v>45006</v>
      </c>
      <c r="B44" s="239" t="s">
        <v>456</v>
      </c>
      <c r="C44" s="305"/>
      <c r="D44" s="303">
        <v>17</v>
      </c>
      <c r="E44" s="36" t="s">
        <v>21</v>
      </c>
      <c r="F44" s="36"/>
      <c r="G44" s="38"/>
      <c r="H44" s="38"/>
      <c r="I44" s="38">
        <v>13500</v>
      </c>
      <c r="J44" s="53" t="e">
        <f>I44/'통장내역(환율표)'!#REF!</f>
        <v>#REF!</v>
      </c>
      <c r="K44" s="263" t="e">
        <f t="shared" si="3"/>
        <v>#REF!</v>
      </c>
      <c r="L44" s="38" t="e">
        <f t="shared" si="4"/>
        <v>#REF!</v>
      </c>
      <c r="M44" s="36"/>
      <c r="N44" s="45" t="e">
        <f t="shared" si="6"/>
        <v>#REF!</v>
      </c>
    </row>
    <row r="45" spans="1:14" s="5" customFormat="1" ht="13.5" customHeight="1">
      <c r="A45" s="36">
        <v>45006</v>
      </c>
      <c r="B45" s="239" t="s">
        <v>457</v>
      </c>
      <c r="C45" s="305"/>
      <c r="D45" s="303">
        <v>17</v>
      </c>
      <c r="E45" s="36" t="s">
        <v>21</v>
      </c>
      <c r="F45" s="36"/>
      <c r="G45" s="38"/>
      <c r="H45" s="38"/>
      <c r="I45" s="38">
        <v>20000</v>
      </c>
      <c r="J45" s="53" t="e">
        <f>I45/'통장내역(환율표)'!#REF!</f>
        <v>#REF!</v>
      </c>
      <c r="K45" s="263" t="e">
        <f t="shared" si="3"/>
        <v>#REF!</v>
      </c>
      <c r="L45" s="38" t="e">
        <f t="shared" si="4"/>
        <v>#REF!</v>
      </c>
      <c r="M45" s="36"/>
      <c r="N45" s="45" t="e">
        <f t="shared" si="6"/>
        <v>#REF!</v>
      </c>
    </row>
    <row r="46" spans="1:14" s="5" customFormat="1" ht="13.5" customHeight="1">
      <c r="A46" s="36">
        <v>45006</v>
      </c>
      <c r="B46" s="239" t="s">
        <v>622</v>
      </c>
      <c r="C46" s="305"/>
      <c r="D46" s="303">
        <v>17</v>
      </c>
      <c r="E46" s="33" t="s">
        <v>179</v>
      </c>
      <c r="F46" s="36"/>
      <c r="G46" s="38"/>
      <c r="H46" s="38"/>
      <c r="I46" s="38">
        <v>40000</v>
      </c>
      <c r="J46" s="53" t="e">
        <f>I46/'통장내역(환율표)'!#REF!</f>
        <v>#REF!</v>
      </c>
      <c r="K46" s="263" t="e">
        <f t="shared" si="3"/>
        <v>#REF!</v>
      </c>
      <c r="L46" s="38" t="e">
        <f t="shared" si="4"/>
        <v>#REF!</v>
      </c>
      <c r="M46" s="36"/>
      <c r="N46" s="45" t="e">
        <f t="shared" si="6"/>
        <v>#REF!</v>
      </c>
    </row>
    <row r="47" spans="1:14" s="5" customFormat="1" ht="13.5" customHeight="1">
      <c r="A47" s="36">
        <v>45006</v>
      </c>
      <c r="B47" s="239" t="s">
        <v>623</v>
      </c>
      <c r="C47" s="305"/>
      <c r="D47" s="303">
        <v>17</v>
      </c>
      <c r="E47" s="36" t="s">
        <v>21</v>
      </c>
      <c r="F47" s="36"/>
      <c r="G47" s="38"/>
      <c r="H47" s="38"/>
      <c r="I47" s="38">
        <v>10000</v>
      </c>
      <c r="J47" s="53" t="e">
        <f>I47/'통장내역(환율표)'!#REF!</f>
        <v>#REF!</v>
      </c>
      <c r="K47" s="263" t="e">
        <f t="shared" si="3"/>
        <v>#REF!</v>
      </c>
      <c r="L47" s="38" t="e">
        <f t="shared" si="4"/>
        <v>#REF!</v>
      </c>
      <c r="M47" s="36"/>
      <c r="N47" s="45" t="e">
        <f t="shared" si="6"/>
        <v>#REF!</v>
      </c>
    </row>
    <row r="48" spans="1:14" s="5" customFormat="1" ht="13.5" customHeight="1">
      <c r="A48" s="36">
        <v>45006</v>
      </c>
      <c r="B48" s="239" t="s">
        <v>130</v>
      </c>
      <c r="C48" s="305"/>
      <c r="D48" s="303">
        <v>18</v>
      </c>
      <c r="E48" s="36" t="s">
        <v>21</v>
      </c>
      <c r="F48" s="36"/>
      <c r="G48" s="38"/>
      <c r="H48" s="38"/>
      <c r="I48" s="38">
        <v>300</v>
      </c>
      <c r="J48" s="53" t="e">
        <f>I48/'통장내역(환율표)'!#REF!</f>
        <v>#REF!</v>
      </c>
      <c r="K48" s="263" t="e">
        <f t="shared" si="3"/>
        <v>#REF!</v>
      </c>
      <c r="L48" s="38" t="e">
        <f t="shared" si="4"/>
        <v>#REF!</v>
      </c>
      <c r="M48" s="36"/>
      <c r="N48" s="45" t="e">
        <f t="shared" si="6"/>
        <v>#REF!</v>
      </c>
    </row>
    <row r="49" spans="1:14" s="5" customFormat="1" ht="13.5" customHeight="1">
      <c r="A49" s="36">
        <v>45006</v>
      </c>
      <c r="B49" s="239" t="s">
        <v>848</v>
      </c>
      <c r="C49" s="305"/>
      <c r="D49" s="303">
        <v>19</v>
      </c>
      <c r="E49" s="36" t="s">
        <v>21</v>
      </c>
      <c r="F49" s="36"/>
      <c r="G49" s="38"/>
      <c r="H49" s="38"/>
      <c r="I49" s="44">
        <v>5043.1899999999996</v>
      </c>
      <c r="J49" s="53" t="e">
        <f>I49/'통장내역(환율표)'!#REF!</f>
        <v>#REF!</v>
      </c>
      <c r="K49" s="263" t="e">
        <f t="shared" si="3"/>
        <v>#REF!</v>
      </c>
      <c r="L49" s="38" t="e">
        <f t="shared" si="4"/>
        <v>#REF!</v>
      </c>
      <c r="M49" s="36"/>
      <c r="N49" s="45" t="e">
        <f t="shared" si="6"/>
        <v>#REF!</v>
      </c>
    </row>
    <row r="50" spans="1:14" s="5" customFormat="1" ht="13.5" customHeight="1">
      <c r="A50" s="36">
        <v>45006</v>
      </c>
      <c r="B50" s="239" t="s">
        <v>594</v>
      </c>
      <c r="C50" s="305"/>
      <c r="D50" s="303">
        <v>19</v>
      </c>
      <c r="E50" s="36" t="s">
        <v>21</v>
      </c>
      <c r="F50" s="36"/>
      <c r="G50" s="38"/>
      <c r="H50" s="38"/>
      <c r="I50" s="44">
        <v>25000</v>
      </c>
      <c r="J50" s="53" t="e">
        <f>I50/'통장내역(환율표)'!#REF!</f>
        <v>#REF!</v>
      </c>
      <c r="K50" s="263" t="e">
        <f t="shared" ref="K50:K82" si="7">K49+G50-I50</f>
        <v>#REF!</v>
      </c>
      <c r="L50" s="38" t="e">
        <f t="shared" ref="L50:L82" si="8">L49+H50-J50</f>
        <v>#REF!</v>
      </c>
      <c r="M50" s="36"/>
      <c r="N50" s="45" t="e">
        <f t="shared" si="6"/>
        <v>#REF!</v>
      </c>
    </row>
    <row r="51" spans="1:14" s="5" customFormat="1" ht="13.5" customHeight="1">
      <c r="A51" s="36">
        <v>45006</v>
      </c>
      <c r="B51" s="239" t="s">
        <v>876</v>
      </c>
      <c r="C51" s="305"/>
      <c r="D51" s="303">
        <v>20</v>
      </c>
      <c r="E51" s="36" t="s">
        <v>21</v>
      </c>
      <c r="F51" s="36"/>
      <c r="G51" s="38"/>
      <c r="H51" s="38"/>
      <c r="I51" s="38">
        <v>300</v>
      </c>
      <c r="J51" s="53" t="e">
        <f>I51/'통장내역(환율표)'!#REF!</f>
        <v>#REF!</v>
      </c>
      <c r="K51" s="263" t="e">
        <f t="shared" si="7"/>
        <v>#REF!</v>
      </c>
      <c r="L51" s="38" t="e">
        <f t="shared" si="8"/>
        <v>#REF!</v>
      </c>
      <c r="M51" s="36"/>
      <c r="N51" s="45" t="e">
        <f t="shared" si="6"/>
        <v>#REF!</v>
      </c>
    </row>
    <row r="52" spans="1:14" s="5" customFormat="1" ht="13.5" customHeight="1">
      <c r="A52" s="36">
        <v>45006</v>
      </c>
      <c r="B52" s="239" t="s">
        <v>250</v>
      </c>
      <c r="C52" s="305"/>
      <c r="D52" s="303">
        <v>21</v>
      </c>
      <c r="E52" s="36" t="s">
        <v>21</v>
      </c>
      <c r="F52" s="36"/>
      <c r="G52" s="38"/>
      <c r="H52" s="38"/>
      <c r="I52" s="38">
        <v>12</v>
      </c>
      <c r="J52" s="53" t="e">
        <f>I52/'통장내역(환율표)'!#REF!</f>
        <v>#REF!</v>
      </c>
      <c r="K52" s="263" t="e">
        <f t="shared" si="7"/>
        <v>#REF!</v>
      </c>
      <c r="L52" s="38" t="e">
        <f t="shared" si="8"/>
        <v>#REF!</v>
      </c>
      <c r="M52" s="36"/>
      <c r="N52" s="45" t="e">
        <f t="shared" si="6"/>
        <v>#REF!</v>
      </c>
    </row>
    <row r="53" spans="1:14" s="5" customFormat="1" ht="13.5" customHeight="1">
      <c r="A53" s="36">
        <v>45006</v>
      </c>
      <c r="B53" s="306" t="s">
        <v>611</v>
      </c>
      <c r="C53" s="305"/>
      <c r="D53" s="303">
        <v>22</v>
      </c>
      <c r="E53" s="36" t="s">
        <v>630</v>
      </c>
      <c r="F53" s="36" t="s">
        <v>631</v>
      </c>
      <c r="G53" s="38"/>
      <c r="H53" s="38"/>
      <c r="I53" s="38">
        <v>385</v>
      </c>
      <c r="J53" s="53" t="e">
        <f>I53/'통장내역(환율표)'!#REF!</f>
        <v>#REF!</v>
      </c>
      <c r="K53" s="263" t="e">
        <f t="shared" si="7"/>
        <v>#REF!</v>
      </c>
      <c r="L53" s="38" t="e">
        <f t="shared" si="8"/>
        <v>#REF!</v>
      </c>
      <c r="M53" s="36"/>
      <c r="N53" s="45" t="e">
        <f t="shared" si="6"/>
        <v>#REF!</v>
      </c>
    </row>
    <row r="54" spans="1:14" s="5" customFormat="1" ht="13.5" customHeight="1">
      <c r="A54" s="36">
        <v>45006</v>
      </c>
      <c r="B54" s="306" t="s">
        <v>612</v>
      </c>
      <c r="C54" s="305"/>
      <c r="D54" s="303">
        <v>23</v>
      </c>
      <c r="E54" s="36" t="s">
        <v>630</v>
      </c>
      <c r="F54" s="36" t="s">
        <v>631</v>
      </c>
      <c r="G54" s="38"/>
      <c r="H54" s="38"/>
      <c r="I54" s="38">
        <v>935</v>
      </c>
      <c r="J54" s="53" t="e">
        <f>I54/'통장내역(환율표)'!#REF!</f>
        <v>#REF!</v>
      </c>
      <c r="K54" s="263" t="e">
        <f t="shared" si="7"/>
        <v>#REF!</v>
      </c>
      <c r="L54" s="38" t="e">
        <f t="shared" si="8"/>
        <v>#REF!</v>
      </c>
      <c r="M54" s="36"/>
      <c r="N54" s="45" t="e">
        <f t="shared" si="6"/>
        <v>#REF!</v>
      </c>
    </row>
    <row r="55" spans="1:14" s="5" customFormat="1" ht="13.5" customHeight="1">
      <c r="A55" s="36">
        <v>45006</v>
      </c>
      <c r="B55" s="306" t="s">
        <v>613</v>
      </c>
      <c r="C55" s="305"/>
      <c r="D55" s="303">
        <v>24</v>
      </c>
      <c r="E55" s="36" t="s">
        <v>630</v>
      </c>
      <c r="F55" s="36" t="s">
        <v>631</v>
      </c>
      <c r="G55" s="38"/>
      <c r="H55" s="38"/>
      <c r="I55" s="38">
        <v>2478.02</v>
      </c>
      <c r="J55" s="312">
        <v>359.27</v>
      </c>
      <c r="K55" s="263" t="e">
        <f t="shared" si="7"/>
        <v>#REF!</v>
      </c>
      <c r="L55" s="38" t="e">
        <f t="shared" si="8"/>
        <v>#REF!</v>
      </c>
      <c r="M55" s="36"/>
      <c r="N55" s="45" t="e">
        <f t="shared" si="6"/>
        <v>#REF!</v>
      </c>
    </row>
    <row r="56" spans="1:14" s="5" customFormat="1" ht="13.5" customHeight="1">
      <c r="A56" s="36">
        <v>45006</v>
      </c>
      <c r="B56" s="239" t="s">
        <v>250</v>
      </c>
      <c r="C56" s="305"/>
      <c r="D56" s="303">
        <v>25</v>
      </c>
      <c r="E56" s="36" t="s">
        <v>625</v>
      </c>
      <c r="F56" s="36"/>
      <c r="G56" s="38"/>
      <c r="H56" s="38"/>
      <c r="I56" s="38">
        <v>3.6</v>
      </c>
      <c r="J56" s="53" t="e">
        <f>I56/'통장내역(환율표)'!#REF!</f>
        <v>#REF!</v>
      </c>
      <c r="K56" s="263" t="e">
        <f t="shared" si="7"/>
        <v>#REF!</v>
      </c>
      <c r="L56" s="38" t="e">
        <f t="shared" si="8"/>
        <v>#REF!</v>
      </c>
      <c r="M56" s="36"/>
      <c r="N56" s="45" t="e">
        <f t="shared" si="6"/>
        <v>#REF!</v>
      </c>
    </row>
    <row r="57" spans="1:14" s="5" customFormat="1" ht="13.5" customHeight="1">
      <c r="A57" s="36">
        <v>45006</v>
      </c>
      <c r="B57" s="306" t="s">
        <v>614</v>
      </c>
      <c r="C57" s="305"/>
      <c r="D57" s="303">
        <v>26</v>
      </c>
      <c r="E57" s="36" t="s">
        <v>632</v>
      </c>
      <c r="F57" s="36" t="s">
        <v>633</v>
      </c>
      <c r="G57" s="38"/>
      <c r="H57" s="38"/>
      <c r="I57" s="38">
        <v>98.5</v>
      </c>
      <c r="J57" s="53" t="e">
        <f>I57/'통장내역(환율표)'!#REF!</f>
        <v>#REF!</v>
      </c>
      <c r="K57" s="263" t="e">
        <f t="shared" si="7"/>
        <v>#REF!</v>
      </c>
      <c r="L57" s="38" t="e">
        <f t="shared" si="8"/>
        <v>#REF!</v>
      </c>
      <c r="M57" s="36"/>
      <c r="N57" s="45" t="e">
        <f t="shared" si="6"/>
        <v>#REF!</v>
      </c>
    </row>
    <row r="58" spans="1:14" s="5" customFormat="1" ht="13.5" customHeight="1">
      <c r="A58" s="36">
        <v>45006</v>
      </c>
      <c r="B58" s="306" t="s">
        <v>615</v>
      </c>
      <c r="C58" s="305"/>
      <c r="D58" s="303">
        <v>27</v>
      </c>
      <c r="E58" s="36" t="s">
        <v>625</v>
      </c>
      <c r="F58" s="36"/>
      <c r="G58" s="38"/>
      <c r="H58" s="38"/>
      <c r="I58" s="38">
        <v>237.8</v>
      </c>
      <c r="J58" s="53" t="e">
        <f>I58/'통장내역(환율표)'!#REF!</f>
        <v>#REF!</v>
      </c>
      <c r="K58" s="263" t="e">
        <f t="shared" si="7"/>
        <v>#REF!</v>
      </c>
      <c r="L58" s="38" t="e">
        <f t="shared" si="8"/>
        <v>#REF!</v>
      </c>
      <c r="M58" s="36"/>
      <c r="N58" s="45" t="e">
        <f t="shared" si="6"/>
        <v>#REF!</v>
      </c>
    </row>
    <row r="59" spans="1:14" s="5" customFormat="1" ht="13.5" customHeight="1">
      <c r="A59" s="36">
        <v>45006</v>
      </c>
      <c r="B59" s="306" t="s">
        <v>616</v>
      </c>
      <c r="C59" s="305"/>
      <c r="D59" s="303">
        <v>28</v>
      </c>
      <c r="E59" s="36" t="s">
        <v>630</v>
      </c>
      <c r="F59" s="36" t="s">
        <v>631</v>
      </c>
      <c r="G59" s="38"/>
      <c r="H59" s="38"/>
      <c r="I59" s="38">
        <v>534.39</v>
      </c>
      <c r="J59" s="53" t="e">
        <f>I59/'통장내역(환율표)'!#REF!</f>
        <v>#REF!</v>
      </c>
      <c r="K59" s="263" t="e">
        <f t="shared" si="7"/>
        <v>#REF!</v>
      </c>
      <c r="L59" s="38" t="e">
        <f t="shared" si="8"/>
        <v>#REF!</v>
      </c>
      <c r="M59" s="36"/>
      <c r="N59" s="45" t="e">
        <f t="shared" si="6"/>
        <v>#REF!</v>
      </c>
    </row>
    <row r="60" spans="1:14" s="5" customFormat="1" ht="13.5" customHeight="1">
      <c r="A60" s="36">
        <v>45006</v>
      </c>
      <c r="B60" s="239" t="s">
        <v>250</v>
      </c>
      <c r="C60" s="305"/>
      <c r="D60" s="303">
        <v>29</v>
      </c>
      <c r="E60" s="36" t="s">
        <v>625</v>
      </c>
      <c r="F60" s="36"/>
      <c r="G60" s="38"/>
      <c r="H60" s="38"/>
      <c r="I60" s="38">
        <v>3.6</v>
      </c>
      <c r="J60" s="53" t="e">
        <f>I60/'통장내역(환율표)'!#REF!</f>
        <v>#REF!</v>
      </c>
      <c r="K60" s="263" t="e">
        <f t="shared" si="7"/>
        <v>#REF!</v>
      </c>
      <c r="L60" s="38" t="e">
        <f t="shared" si="8"/>
        <v>#REF!</v>
      </c>
      <c r="M60" s="36"/>
      <c r="N60" s="45" t="e">
        <f t="shared" si="6"/>
        <v>#REF!</v>
      </c>
    </row>
    <row r="61" spans="1:14" s="5" customFormat="1" ht="13.5" customHeight="1">
      <c r="A61" s="36">
        <v>45008</v>
      </c>
      <c r="B61" s="306" t="s">
        <v>599</v>
      </c>
      <c r="C61" s="305"/>
      <c r="D61" s="303">
        <v>31</v>
      </c>
      <c r="E61" s="36" t="s">
        <v>632</v>
      </c>
      <c r="F61" s="36" t="s">
        <v>633</v>
      </c>
      <c r="G61" s="38"/>
      <c r="H61" s="38"/>
      <c r="I61" s="38">
        <v>200</v>
      </c>
      <c r="J61" s="53" t="e">
        <f>I61/'통장내역(환율표)'!#REF!</f>
        <v>#REF!</v>
      </c>
      <c r="K61" s="263" t="e">
        <f t="shared" si="7"/>
        <v>#REF!</v>
      </c>
      <c r="L61" s="38" t="e">
        <f t="shared" si="8"/>
        <v>#REF!</v>
      </c>
      <c r="M61" s="36"/>
      <c r="N61" s="45" t="e">
        <f t="shared" si="6"/>
        <v>#REF!</v>
      </c>
    </row>
    <row r="62" spans="1:14" s="5" customFormat="1" ht="13.5" customHeight="1">
      <c r="A62" s="36">
        <v>45008</v>
      </c>
      <c r="B62" s="239" t="s">
        <v>250</v>
      </c>
      <c r="C62" s="305"/>
      <c r="D62" s="303">
        <v>32</v>
      </c>
      <c r="E62" s="36" t="s">
        <v>625</v>
      </c>
      <c r="F62" s="36"/>
      <c r="G62" s="38"/>
      <c r="H62" s="38"/>
      <c r="I62" s="38">
        <v>3.6</v>
      </c>
      <c r="J62" s="53" t="e">
        <f>I62/'통장내역(환율표)'!#REF!</f>
        <v>#REF!</v>
      </c>
      <c r="K62" s="263" t="e">
        <f t="shared" si="7"/>
        <v>#REF!</v>
      </c>
      <c r="L62" s="38" t="e">
        <f t="shared" si="8"/>
        <v>#REF!</v>
      </c>
      <c r="M62" s="36"/>
      <c r="N62" s="45" t="e">
        <f t="shared" si="6"/>
        <v>#REF!</v>
      </c>
    </row>
    <row r="63" spans="1:14" s="5" customFormat="1" ht="13.5" customHeight="1">
      <c r="A63" s="36">
        <v>45008</v>
      </c>
      <c r="B63" s="306" t="s">
        <v>600</v>
      </c>
      <c r="C63" s="305"/>
      <c r="D63" s="303">
        <v>33</v>
      </c>
      <c r="E63" s="36" t="s">
        <v>630</v>
      </c>
      <c r="F63" s="36" t="s">
        <v>631</v>
      </c>
      <c r="G63" s="38"/>
      <c r="H63" s="38"/>
      <c r="I63" s="38">
        <v>2717.99</v>
      </c>
      <c r="J63" s="53" t="e">
        <f>I63/'통장내역(환율표)'!#REF!</f>
        <v>#REF!</v>
      </c>
      <c r="K63" s="263" t="e">
        <f t="shared" si="7"/>
        <v>#REF!</v>
      </c>
      <c r="L63" s="38" t="e">
        <f t="shared" si="8"/>
        <v>#REF!</v>
      </c>
      <c r="M63" s="36"/>
      <c r="N63" s="45" t="e">
        <f t="shared" si="6"/>
        <v>#REF!</v>
      </c>
    </row>
    <row r="64" spans="1:14" s="5" customFormat="1" ht="13.5" customHeight="1">
      <c r="A64" s="36">
        <v>45008</v>
      </c>
      <c r="B64" s="239" t="s">
        <v>250</v>
      </c>
      <c r="C64" s="305"/>
      <c r="D64" s="303">
        <v>34</v>
      </c>
      <c r="E64" s="36" t="s">
        <v>625</v>
      </c>
      <c r="F64" s="36"/>
      <c r="G64" s="38"/>
      <c r="H64" s="38"/>
      <c r="I64" s="38">
        <v>3.6</v>
      </c>
      <c r="J64" s="53" t="e">
        <f>I64/'통장내역(환율표)'!#REF!</f>
        <v>#REF!</v>
      </c>
      <c r="K64" s="263" t="e">
        <f t="shared" si="7"/>
        <v>#REF!</v>
      </c>
      <c r="L64" s="38" t="e">
        <f t="shared" si="8"/>
        <v>#REF!</v>
      </c>
      <c r="M64" s="36"/>
      <c r="N64" s="45" t="e">
        <f t="shared" si="6"/>
        <v>#REF!</v>
      </c>
    </row>
    <row r="65" spans="1:14" s="5" customFormat="1" ht="13.5" customHeight="1">
      <c r="A65" s="36">
        <v>45008</v>
      </c>
      <c r="B65" s="306" t="s">
        <v>601</v>
      </c>
      <c r="C65" s="305"/>
      <c r="D65" s="303">
        <v>35</v>
      </c>
      <c r="E65" s="36" t="s">
        <v>634</v>
      </c>
      <c r="F65" s="36" t="s">
        <v>635</v>
      </c>
      <c r="G65" s="38"/>
      <c r="H65" s="38"/>
      <c r="I65" s="38">
        <v>8709</v>
      </c>
      <c r="J65" s="53" t="e">
        <f>I65/'통장내역(환율표)'!#REF!</f>
        <v>#REF!</v>
      </c>
      <c r="K65" s="263" t="e">
        <f t="shared" si="7"/>
        <v>#REF!</v>
      </c>
      <c r="L65" s="38" t="e">
        <f t="shared" si="8"/>
        <v>#REF!</v>
      </c>
      <c r="M65" s="36"/>
      <c r="N65" s="45" t="e">
        <f t="shared" si="6"/>
        <v>#REF!</v>
      </c>
    </row>
    <row r="66" spans="1:14" s="5" customFormat="1" ht="13.5" customHeight="1">
      <c r="A66" s="36">
        <v>45008</v>
      </c>
      <c r="B66" s="239" t="s">
        <v>250</v>
      </c>
      <c r="C66" s="305"/>
      <c r="D66" s="303">
        <v>36</v>
      </c>
      <c r="E66" s="36" t="s">
        <v>625</v>
      </c>
      <c r="F66" s="36"/>
      <c r="G66" s="38"/>
      <c r="H66" s="38"/>
      <c r="I66" s="38">
        <v>3.6</v>
      </c>
      <c r="J66" s="53" t="e">
        <f>I66/'통장내역(환율표)'!#REF!</f>
        <v>#REF!</v>
      </c>
      <c r="K66" s="263" t="e">
        <f t="shared" si="7"/>
        <v>#REF!</v>
      </c>
      <c r="L66" s="38" t="e">
        <f t="shared" si="8"/>
        <v>#REF!</v>
      </c>
      <c r="M66" s="36"/>
      <c r="N66" s="45" t="e">
        <f t="shared" si="6"/>
        <v>#REF!</v>
      </c>
    </row>
    <row r="67" spans="1:14" s="5" customFormat="1" ht="13.5" customHeight="1">
      <c r="A67" s="36">
        <v>45008</v>
      </c>
      <c r="B67" s="306" t="s">
        <v>602</v>
      </c>
      <c r="C67" s="305"/>
      <c r="D67" s="303">
        <v>37</v>
      </c>
      <c r="E67" s="36" t="s">
        <v>630</v>
      </c>
      <c r="F67" s="36" t="s">
        <v>631</v>
      </c>
      <c r="G67" s="38"/>
      <c r="H67" s="38"/>
      <c r="I67" s="38">
        <v>140</v>
      </c>
      <c r="J67" s="53" t="e">
        <f>I67/'통장내역(환율표)'!#REF!</f>
        <v>#REF!</v>
      </c>
      <c r="K67" s="263" t="e">
        <f t="shared" si="7"/>
        <v>#REF!</v>
      </c>
      <c r="L67" s="38" t="e">
        <f t="shared" si="8"/>
        <v>#REF!</v>
      </c>
      <c r="M67" s="36"/>
      <c r="N67" s="45" t="e">
        <f t="shared" si="6"/>
        <v>#REF!</v>
      </c>
    </row>
    <row r="68" spans="1:14" s="5" customFormat="1" ht="13.5" customHeight="1">
      <c r="A68" s="36">
        <v>45008</v>
      </c>
      <c r="B68" s="239" t="s">
        <v>250</v>
      </c>
      <c r="C68" s="305"/>
      <c r="D68" s="303">
        <v>38</v>
      </c>
      <c r="E68" s="36" t="s">
        <v>625</v>
      </c>
      <c r="F68" s="36"/>
      <c r="G68" s="38"/>
      <c r="H68" s="38"/>
      <c r="I68" s="38">
        <v>3.6</v>
      </c>
      <c r="J68" s="53" t="e">
        <f>I68/'통장내역(환율표)'!#REF!</f>
        <v>#REF!</v>
      </c>
      <c r="K68" s="263" t="e">
        <f t="shared" si="7"/>
        <v>#REF!</v>
      </c>
      <c r="L68" s="38" t="e">
        <f t="shared" si="8"/>
        <v>#REF!</v>
      </c>
      <c r="M68" s="36"/>
      <c r="N68" s="45" t="e">
        <f t="shared" si="6"/>
        <v>#REF!</v>
      </c>
    </row>
    <row r="69" spans="1:14" s="5" customFormat="1" ht="13.5" customHeight="1">
      <c r="A69" s="36">
        <v>45008</v>
      </c>
      <c r="B69" s="306" t="s">
        <v>603</v>
      </c>
      <c r="C69" s="305"/>
      <c r="D69" s="303">
        <v>39</v>
      </c>
      <c r="E69" s="36" t="s">
        <v>630</v>
      </c>
      <c r="F69" s="36" t="s">
        <v>631</v>
      </c>
      <c r="G69" s="38"/>
      <c r="H69" s="38"/>
      <c r="I69" s="38">
        <v>1365.7</v>
      </c>
      <c r="J69" s="53" t="e">
        <f>I69/'통장내역(환율표)'!#REF!</f>
        <v>#REF!</v>
      </c>
      <c r="K69" s="263" t="e">
        <f t="shared" si="7"/>
        <v>#REF!</v>
      </c>
      <c r="L69" s="38" t="e">
        <f t="shared" si="8"/>
        <v>#REF!</v>
      </c>
      <c r="M69" s="36"/>
      <c r="N69" s="45" t="e">
        <f t="shared" si="6"/>
        <v>#REF!</v>
      </c>
    </row>
    <row r="70" spans="1:14" s="5" customFormat="1" ht="13.5" customHeight="1">
      <c r="A70" s="36">
        <v>45008</v>
      </c>
      <c r="B70" s="239" t="s">
        <v>250</v>
      </c>
      <c r="C70" s="305"/>
      <c r="D70" s="303">
        <v>40</v>
      </c>
      <c r="E70" s="36" t="s">
        <v>625</v>
      </c>
      <c r="F70" s="36"/>
      <c r="G70" s="38"/>
      <c r="H70" s="38"/>
      <c r="I70" s="38">
        <v>3.6</v>
      </c>
      <c r="J70" s="53" t="e">
        <f>I70/'통장내역(환율표)'!#REF!</f>
        <v>#REF!</v>
      </c>
      <c r="K70" s="263" t="e">
        <f t="shared" si="7"/>
        <v>#REF!</v>
      </c>
      <c r="L70" s="38" t="e">
        <f t="shared" si="8"/>
        <v>#REF!</v>
      </c>
      <c r="M70" s="36"/>
      <c r="N70" s="45" t="e">
        <f t="shared" si="6"/>
        <v>#REF!</v>
      </c>
    </row>
    <row r="71" spans="1:14" s="5" customFormat="1" ht="13.5" customHeight="1">
      <c r="A71" s="36">
        <v>45008</v>
      </c>
      <c r="B71" s="306" t="s">
        <v>617</v>
      </c>
      <c r="C71" s="305"/>
      <c r="D71" s="303">
        <v>41</v>
      </c>
      <c r="E71" s="36" t="s">
        <v>625</v>
      </c>
      <c r="F71" s="36"/>
      <c r="G71" s="38"/>
      <c r="H71" s="38"/>
      <c r="I71" s="38">
        <v>446.4</v>
      </c>
      <c r="J71" s="53" t="e">
        <f>I71/'통장내역(환율표)'!#REF!</f>
        <v>#REF!</v>
      </c>
      <c r="K71" s="263" t="e">
        <f t="shared" si="7"/>
        <v>#REF!</v>
      </c>
      <c r="L71" s="38" t="e">
        <f t="shared" si="8"/>
        <v>#REF!</v>
      </c>
      <c r="M71" s="36"/>
      <c r="N71" s="45" t="e">
        <f t="shared" si="6"/>
        <v>#REF!</v>
      </c>
    </row>
    <row r="72" spans="1:14" s="5" customFormat="1" ht="13.5" customHeight="1">
      <c r="A72" s="36">
        <v>45008</v>
      </c>
      <c r="B72" s="306" t="s">
        <v>618</v>
      </c>
      <c r="C72" s="305"/>
      <c r="D72" s="303">
        <v>42</v>
      </c>
      <c r="E72" s="36" t="s">
        <v>625</v>
      </c>
      <c r="F72" s="36"/>
      <c r="G72" s="38"/>
      <c r="H72" s="38"/>
      <c r="I72" s="38">
        <v>184</v>
      </c>
      <c r="J72" s="53" t="e">
        <f>I72/'통장내역(환율표)'!#REF!</f>
        <v>#REF!</v>
      </c>
      <c r="K72" s="263" t="e">
        <f t="shared" si="7"/>
        <v>#REF!</v>
      </c>
      <c r="L72" s="38" t="e">
        <f t="shared" si="8"/>
        <v>#REF!</v>
      </c>
      <c r="M72" s="36"/>
      <c r="N72" s="45" t="e">
        <f t="shared" si="6"/>
        <v>#REF!</v>
      </c>
    </row>
    <row r="73" spans="1:14" s="5" customFormat="1" ht="13.5" customHeight="1">
      <c r="A73" s="36">
        <v>45008</v>
      </c>
      <c r="B73" s="306" t="s">
        <v>619</v>
      </c>
      <c r="C73" s="305"/>
      <c r="D73" s="303">
        <v>43</v>
      </c>
      <c r="E73" s="36" t="s">
        <v>625</v>
      </c>
      <c r="F73" s="36"/>
      <c r="G73" s="38"/>
      <c r="H73" s="38"/>
      <c r="I73" s="38">
        <v>382</v>
      </c>
      <c r="J73" s="53" t="e">
        <f>I73/'통장내역(환율표)'!#REF!</f>
        <v>#REF!</v>
      </c>
      <c r="K73" s="263" t="e">
        <f t="shared" si="7"/>
        <v>#REF!</v>
      </c>
      <c r="L73" s="38" t="e">
        <f t="shared" si="8"/>
        <v>#REF!</v>
      </c>
      <c r="M73" s="36"/>
      <c r="N73" s="45" t="e">
        <f t="shared" si="6"/>
        <v>#REF!</v>
      </c>
    </row>
    <row r="74" spans="1:14" s="5" customFormat="1" ht="13.5" customHeight="1">
      <c r="A74" s="36">
        <v>45008</v>
      </c>
      <c r="B74" s="306" t="s">
        <v>620</v>
      </c>
      <c r="C74" s="305"/>
      <c r="D74" s="303">
        <v>44</v>
      </c>
      <c r="E74" s="36" t="s">
        <v>625</v>
      </c>
      <c r="F74" s="36"/>
      <c r="G74" s="38"/>
      <c r="H74" s="38"/>
      <c r="I74" s="38">
        <v>300</v>
      </c>
      <c r="J74" s="53" t="e">
        <f>I74/'통장내역(환율표)'!#REF!</f>
        <v>#REF!</v>
      </c>
      <c r="K74" s="263" t="e">
        <f t="shared" si="7"/>
        <v>#REF!</v>
      </c>
      <c r="L74" s="38" t="e">
        <f t="shared" si="8"/>
        <v>#REF!</v>
      </c>
      <c r="M74" s="36"/>
      <c r="N74" s="45" t="e">
        <f t="shared" si="6"/>
        <v>#REF!</v>
      </c>
    </row>
    <row r="75" spans="1:14" s="5" customFormat="1" ht="13.5" customHeight="1">
      <c r="A75" s="36">
        <v>45008</v>
      </c>
      <c r="B75" s="239" t="s">
        <v>250</v>
      </c>
      <c r="C75" s="305"/>
      <c r="D75" s="303">
        <v>45</v>
      </c>
      <c r="E75" s="36" t="s">
        <v>625</v>
      </c>
      <c r="F75" s="36"/>
      <c r="G75" s="38"/>
      <c r="H75" s="38"/>
      <c r="I75" s="38">
        <v>3.6</v>
      </c>
      <c r="J75" s="53" t="e">
        <f>I75/'통장내역(환율표)'!#REF!</f>
        <v>#REF!</v>
      </c>
      <c r="K75" s="263" t="e">
        <f t="shared" si="7"/>
        <v>#REF!</v>
      </c>
      <c r="L75" s="38" t="e">
        <f t="shared" si="8"/>
        <v>#REF!</v>
      </c>
      <c r="M75" s="36"/>
      <c r="N75" s="45" t="e">
        <f t="shared" si="6"/>
        <v>#REF!</v>
      </c>
    </row>
    <row r="76" spans="1:14" s="5" customFormat="1" ht="13.5" customHeight="1">
      <c r="A76" s="36">
        <v>45008</v>
      </c>
      <c r="B76" s="306" t="s">
        <v>621</v>
      </c>
      <c r="C76" s="305"/>
      <c r="D76" s="303">
        <v>46</v>
      </c>
      <c r="E76" s="36" t="s">
        <v>632</v>
      </c>
      <c r="F76" s="36" t="s">
        <v>633</v>
      </c>
      <c r="G76" s="38"/>
      <c r="H76" s="38"/>
      <c r="I76" s="38">
        <v>499</v>
      </c>
      <c r="J76" s="53" t="e">
        <f>I76/'통장내역(환율표)'!#REF!</f>
        <v>#REF!</v>
      </c>
      <c r="K76" s="263" t="e">
        <f t="shared" si="7"/>
        <v>#REF!</v>
      </c>
      <c r="L76" s="38" t="e">
        <f t="shared" si="8"/>
        <v>#REF!</v>
      </c>
      <c r="M76" s="36"/>
      <c r="N76" s="45" t="e">
        <f t="shared" si="6"/>
        <v>#REF!</v>
      </c>
    </row>
    <row r="77" spans="1:14" s="5" customFormat="1" ht="13.5" customHeight="1">
      <c r="A77" s="36">
        <v>45008</v>
      </c>
      <c r="B77" s="306" t="s">
        <v>649</v>
      </c>
      <c r="C77" s="305"/>
      <c r="D77" s="303">
        <v>47</v>
      </c>
      <c r="E77" s="36" t="s">
        <v>632</v>
      </c>
      <c r="F77" s="36" t="s">
        <v>633</v>
      </c>
      <c r="G77" s="38"/>
      <c r="H77" s="38"/>
      <c r="I77" s="38">
        <v>795.5</v>
      </c>
      <c r="J77" s="53" t="e">
        <f>I77/'통장내역(환율표)'!#REF!</f>
        <v>#REF!</v>
      </c>
      <c r="K77" s="263" t="e">
        <f t="shared" si="7"/>
        <v>#REF!</v>
      </c>
      <c r="L77" s="38" t="e">
        <f t="shared" si="8"/>
        <v>#REF!</v>
      </c>
      <c r="M77" s="36"/>
      <c r="N77" s="45" t="e">
        <f t="shared" si="6"/>
        <v>#REF!</v>
      </c>
    </row>
    <row r="78" spans="1:14" s="5" customFormat="1" ht="13.5" customHeight="1">
      <c r="A78" s="36">
        <v>45008</v>
      </c>
      <c r="B78" s="239" t="s">
        <v>250</v>
      </c>
      <c r="C78" s="305"/>
      <c r="D78" s="303">
        <v>48</v>
      </c>
      <c r="E78" s="36" t="s">
        <v>625</v>
      </c>
      <c r="F78" s="36"/>
      <c r="G78" s="38"/>
      <c r="H78" s="38"/>
      <c r="I78" s="38">
        <v>3.6</v>
      </c>
      <c r="J78" s="53" t="e">
        <f>I78/'통장내역(환율표)'!#REF!</f>
        <v>#REF!</v>
      </c>
      <c r="K78" s="263" t="e">
        <f t="shared" si="7"/>
        <v>#REF!</v>
      </c>
      <c r="L78" s="38" t="e">
        <f t="shared" si="8"/>
        <v>#REF!</v>
      </c>
      <c r="M78" s="36"/>
      <c r="N78" s="45" t="e">
        <f t="shared" si="6"/>
        <v>#REF!</v>
      </c>
    </row>
    <row r="79" spans="1:14" s="5" customFormat="1" ht="13.5" customHeight="1">
      <c r="A79" s="36">
        <v>45008</v>
      </c>
      <c r="B79" s="306" t="s">
        <v>604</v>
      </c>
      <c r="C79" s="305"/>
      <c r="D79" s="303">
        <v>49</v>
      </c>
      <c r="E79" s="36" t="s">
        <v>630</v>
      </c>
      <c r="F79" s="36" t="s">
        <v>631</v>
      </c>
      <c r="G79" s="38"/>
      <c r="H79" s="38"/>
      <c r="I79" s="38">
        <v>5078.47</v>
      </c>
      <c r="J79" s="53" t="e">
        <f>I79/'통장내역(환율표)'!#REF!</f>
        <v>#REF!</v>
      </c>
      <c r="K79" s="263" t="e">
        <f t="shared" si="7"/>
        <v>#REF!</v>
      </c>
      <c r="L79" s="38" t="e">
        <f t="shared" si="8"/>
        <v>#REF!</v>
      </c>
      <c r="M79" s="36"/>
      <c r="N79" s="45" t="e">
        <f t="shared" si="6"/>
        <v>#REF!</v>
      </c>
    </row>
    <row r="80" spans="1:14" s="5" customFormat="1" ht="13.5" customHeight="1">
      <c r="A80" s="36">
        <v>45008</v>
      </c>
      <c r="B80" s="239" t="s">
        <v>250</v>
      </c>
      <c r="C80" s="305"/>
      <c r="D80" s="303">
        <v>50</v>
      </c>
      <c r="E80" s="36" t="s">
        <v>625</v>
      </c>
      <c r="F80" s="36"/>
      <c r="G80" s="38"/>
      <c r="H80" s="38"/>
      <c r="I80" s="38">
        <v>3.6</v>
      </c>
      <c r="J80" s="53" t="e">
        <f>I80/'통장내역(환율표)'!#REF!</f>
        <v>#REF!</v>
      </c>
      <c r="K80" s="263" t="e">
        <f t="shared" si="7"/>
        <v>#REF!</v>
      </c>
      <c r="L80" s="38" t="e">
        <f t="shared" si="8"/>
        <v>#REF!</v>
      </c>
      <c r="M80" s="36"/>
      <c r="N80" s="45" t="e">
        <f t="shared" si="6"/>
        <v>#REF!</v>
      </c>
    </row>
    <row r="81" spans="1:15" s="5" customFormat="1" ht="13.5" customHeight="1">
      <c r="A81" s="36">
        <v>45008</v>
      </c>
      <c r="B81" s="306" t="s">
        <v>605</v>
      </c>
      <c r="C81" s="305"/>
      <c r="D81" s="303">
        <v>51</v>
      </c>
      <c r="E81" s="36" t="s">
        <v>634</v>
      </c>
      <c r="F81" s="36" t="s">
        <v>635</v>
      </c>
      <c r="G81" s="38"/>
      <c r="H81" s="38"/>
      <c r="I81" s="38">
        <v>20105.599999999999</v>
      </c>
      <c r="J81" s="53" t="e">
        <f>I81/'통장내역(환율표)'!#REF!</f>
        <v>#REF!</v>
      </c>
      <c r="K81" s="263" t="e">
        <f t="shared" si="7"/>
        <v>#REF!</v>
      </c>
      <c r="L81" s="38" t="e">
        <f t="shared" si="8"/>
        <v>#REF!</v>
      </c>
      <c r="M81" s="36"/>
      <c r="N81" s="45" t="e">
        <f t="shared" si="6"/>
        <v>#REF!</v>
      </c>
    </row>
    <row r="82" spans="1:15" s="5" customFormat="1" ht="13.5" customHeight="1">
      <c r="A82" s="36">
        <v>45008</v>
      </c>
      <c r="B82" s="239" t="s">
        <v>250</v>
      </c>
      <c r="C82" s="305"/>
      <c r="D82" s="303">
        <v>52</v>
      </c>
      <c r="E82" s="36" t="s">
        <v>625</v>
      </c>
      <c r="F82" s="36"/>
      <c r="G82" s="38"/>
      <c r="H82" s="38"/>
      <c r="I82" s="38">
        <v>7.2</v>
      </c>
      <c r="J82" s="53" t="e">
        <f>I82/'통장내역(환율표)'!#REF!</f>
        <v>#REF!</v>
      </c>
      <c r="K82" s="263" t="e">
        <f t="shared" si="7"/>
        <v>#REF!</v>
      </c>
      <c r="L82" s="38" t="e">
        <f t="shared" si="8"/>
        <v>#REF!</v>
      </c>
      <c r="M82" s="36"/>
      <c r="N82" s="45" t="e">
        <f t="shared" si="6"/>
        <v>#REF!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</sheetData>
  <autoFilter ref="A18:N152" xr:uid="{00000000-0009-0000-0000-00000E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O151"/>
  <sheetViews>
    <sheetView showGridLines="0" workbookViewId="0">
      <pane ySplit="18" topLeftCell="A19" activePane="bottomLeft" state="frozen"/>
      <selection activeCell="H22" sqref="H22"/>
      <selection pane="bottomLeft" activeCell="H22" sqref="H22"/>
    </sheetView>
  </sheetViews>
  <sheetFormatPr defaultRowHeight="17.399999999999999"/>
  <cols>
    <col min="1" max="4" width="11.796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15.09765625" customWidth="1"/>
  </cols>
  <sheetData>
    <row r="1" spans="1:14" ht="24">
      <c r="A1" s="1" t="s">
        <v>642</v>
      </c>
      <c r="B1" s="2"/>
      <c r="C1" s="2"/>
      <c r="D1" s="3"/>
      <c r="E1" s="4">
        <v>100021363</v>
      </c>
      <c r="F1" s="130"/>
      <c r="G1" s="299"/>
      <c r="H1" s="299"/>
      <c r="I1" s="299"/>
      <c r="J1" s="299"/>
      <c r="K1" s="300"/>
      <c r="L1" s="5"/>
      <c r="M1" s="5"/>
    </row>
    <row r="2" spans="1:14" s="5" customFormat="1">
      <c r="A2" s="130" t="s">
        <v>695</v>
      </c>
      <c r="B2" s="2"/>
      <c r="C2" s="2"/>
      <c r="E2" s="4">
        <v>100021362</v>
      </c>
      <c r="F2" s="130"/>
      <c r="G2" s="130" t="s">
        <v>694</v>
      </c>
      <c r="H2" s="127"/>
      <c r="I2" s="127"/>
      <c r="J2" s="130"/>
      <c r="K2" s="4">
        <v>100021364</v>
      </c>
      <c r="L2" s="139">
        <v>1200000696</v>
      </c>
    </row>
    <row r="3" spans="1:14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30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</row>
    <row r="4" spans="1:14" s="5" customFormat="1" ht="15.6">
      <c r="A4" s="114" t="s">
        <v>292</v>
      </c>
      <c r="B4" s="115"/>
      <c r="C4" s="116"/>
      <c r="D4" s="116"/>
      <c r="E4" s="117"/>
      <c r="F4" s="315"/>
      <c r="G4" s="114" t="s">
        <v>292</v>
      </c>
      <c r="H4" s="115"/>
      <c r="I4" s="116"/>
      <c r="J4" s="116"/>
      <c r="K4" s="117"/>
      <c r="L4" s="119"/>
    </row>
    <row r="5" spans="1:14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9868</v>
      </c>
      <c r="J5" s="116">
        <v>1436.0974473906338</v>
      </c>
      <c r="K5" s="117">
        <v>1894072</v>
      </c>
      <c r="L5" s="340">
        <f>K5/I5</f>
        <v>191.94081880826914</v>
      </c>
      <c r="M5" s="296"/>
    </row>
    <row r="6" spans="1:14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26965.219999999998</v>
      </c>
      <c r="J6" s="116">
        <v>3924.2687079779957</v>
      </c>
      <c r="K6" s="117">
        <v>5175720</v>
      </c>
      <c r="L6" s="240">
        <f t="shared" ref="L6:L10" si="0">K6+E6</f>
        <v>5175720</v>
      </c>
    </row>
    <row r="7" spans="1:14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20606</v>
      </c>
      <c r="J7" s="116">
        <v>2998.8066478446899</v>
      </c>
      <c r="K7" s="117">
        <v>3955131</v>
      </c>
      <c r="L7" s="240">
        <f t="shared" si="0"/>
        <v>3955131</v>
      </c>
    </row>
    <row r="8" spans="1:14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1528.0728817999245</v>
      </c>
      <c r="K8" s="117">
        <v>2015372</v>
      </c>
      <c r="L8" s="240">
        <f t="shared" si="0"/>
        <v>2015372</v>
      </c>
    </row>
    <row r="9" spans="1:14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992.5</v>
      </c>
      <c r="J9" s="116">
        <v>144.43927001775478</v>
      </c>
      <c r="K9" s="117">
        <v>190502</v>
      </c>
      <c r="L9" s="240">
        <f t="shared" si="0"/>
        <v>190502</v>
      </c>
    </row>
    <row r="10" spans="1:14" s="5" customFormat="1" ht="15.6">
      <c r="A10" s="114" t="s">
        <v>62</v>
      </c>
      <c r="B10" s="115"/>
      <c r="C10" s="116">
        <v>19815.312857491524</v>
      </c>
      <c r="D10" s="116">
        <v>2872.9158066838709</v>
      </c>
      <c r="E10" s="117">
        <v>3791393</v>
      </c>
      <c r="F10" s="121">
        <v>51321010</v>
      </c>
      <c r="G10" s="114" t="s">
        <v>62</v>
      </c>
      <c r="H10" s="115"/>
      <c r="I10" s="116">
        <v>149443.05714250859</v>
      </c>
      <c r="J10" s="116">
        <v>21799.560285023192</v>
      </c>
      <c r="K10" s="117">
        <v>28751440</v>
      </c>
      <c r="L10" s="240">
        <f t="shared" si="0"/>
        <v>32542833</v>
      </c>
    </row>
    <row r="11" spans="1:14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119"/>
    </row>
    <row r="12" spans="1:14" s="5" customFormat="1" ht="15.6">
      <c r="A12" s="2045" t="s">
        <v>299</v>
      </c>
      <c r="B12" s="2046"/>
      <c r="C12" s="124">
        <f>SUM(C4:C11)</f>
        <v>19815.312857491524</v>
      </c>
      <c r="D12" s="124">
        <f>SUM(D4:D11)</f>
        <v>2872.9158066838709</v>
      </c>
      <c r="E12" s="125">
        <f>SUM(E4:E11)</f>
        <v>3791393</v>
      </c>
      <c r="F12" s="121">
        <v>52981010</v>
      </c>
      <c r="G12" s="2045" t="s">
        <v>299</v>
      </c>
      <c r="H12" s="2046"/>
      <c r="I12" s="124">
        <f>SUM(I4:I11)</f>
        <v>218374.7771425086</v>
      </c>
      <c r="J12" s="124">
        <f t="shared" ref="J12:K12" si="1">SUM(J4:J11)</f>
        <v>31831.245240054188</v>
      </c>
      <c r="K12" s="125">
        <f t="shared" si="1"/>
        <v>41982237</v>
      </c>
      <c r="L12" s="119"/>
    </row>
    <row r="13" spans="1:14" s="5" customFormat="1" ht="15.6">
      <c r="A13" s="126"/>
      <c r="B13" s="307"/>
      <c r="C13" s="308">
        <f>C12+I12</f>
        <v>238190.09000000011</v>
      </c>
      <c r="D13" s="308">
        <f t="shared" ref="D13:E13" si="2">D12+J12</f>
        <v>34704.16104673806</v>
      </c>
      <c r="E13" s="309">
        <f t="shared" si="2"/>
        <v>45773630</v>
      </c>
      <c r="F13" s="315"/>
      <c r="G13" s="130"/>
      <c r="H13" s="130"/>
      <c r="I13" s="131"/>
      <c r="J13" s="130"/>
      <c r="K13" s="280"/>
      <c r="L13" s="245">
        <v>2425.7418328151257</v>
      </c>
      <c r="N13" s="45"/>
    </row>
    <row r="14" spans="1:14" s="5" customFormat="1" ht="15.6">
      <c r="A14" s="126" t="s">
        <v>592</v>
      </c>
      <c r="B14" s="307"/>
      <c r="C14" s="308">
        <v>2628</v>
      </c>
      <c r="D14" s="308">
        <v>382.45481270192397</v>
      </c>
      <c r="E14" s="309">
        <v>504413</v>
      </c>
      <c r="F14" s="309" t="s">
        <v>639</v>
      </c>
      <c r="G14" s="310">
        <v>71121010</v>
      </c>
      <c r="H14" s="130"/>
      <c r="I14" s="131"/>
      <c r="J14" s="130"/>
      <c r="K14" s="280"/>
      <c r="L14" s="245"/>
      <c r="N14" s="45"/>
    </row>
    <row r="15" spans="1:14" s="5" customFormat="1" ht="15.6">
      <c r="A15" s="126"/>
      <c r="B15" s="307"/>
      <c r="C15" s="308">
        <f>SUM(C13:C14)</f>
        <v>240818.09000000011</v>
      </c>
      <c r="D15" s="308">
        <f>SUM(D13:D14)</f>
        <v>35086.615859439982</v>
      </c>
      <c r="G15" s="130"/>
      <c r="H15" s="130"/>
      <c r="I15" s="131"/>
      <c r="J15" s="130"/>
      <c r="K15" s="280"/>
      <c r="L15" s="245"/>
      <c r="N15" s="45" t="e">
        <f>#REF!</f>
        <v>#REF!</v>
      </c>
    </row>
    <row r="16" spans="1:14" s="5" customFormat="1" ht="15.6">
      <c r="B16" s="134">
        <v>13081010</v>
      </c>
      <c r="C16" s="135"/>
      <c r="D16" s="135"/>
      <c r="G16" s="6" t="s">
        <v>696</v>
      </c>
      <c r="H16" s="137">
        <f>SUBTOTAL(9,H19:H145)</f>
        <v>84751</v>
      </c>
      <c r="I16" s="137" t="e">
        <f>SUBTOTAL(9,I19:I160)</f>
        <v>#REF!</v>
      </c>
      <c r="J16" s="137" t="e">
        <f>SUBTOTAL(9,J19:J158)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45016</v>
      </c>
      <c r="B19" s="155" t="s">
        <v>65</v>
      </c>
      <c r="C19" s="156"/>
      <c r="D19" s="232"/>
      <c r="E19" s="231"/>
      <c r="F19" s="232"/>
      <c r="G19" s="233"/>
      <c r="H19" s="233"/>
      <c r="I19" s="233"/>
      <c r="J19" s="233"/>
      <c r="K19" s="233">
        <v>19814.908670473927</v>
      </c>
      <c r="L19" s="233">
        <v>2872.9163474564693</v>
      </c>
      <c r="M19" s="232"/>
      <c r="N19" s="45">
        <v>2872.9158066838709</v>
      </c>
    </row>
    <row r="20" spans="1:14" s="5" customFormat="1" ht="13.5" customHeight="1">
      <c r="A20" s="46">
        <v>45027</v>
      </c>
      <c r="B20" s="248" t="s">
        <v>643</v>
      </c>
      <c r="C20" s="249"/>
      <c r="D20" s="302">
        <v>1</v>
      </c>
      <c r="E20" s="47"/>
      <c r="F20" s="49"/>
      <c r="G20" s="54">
        <v>582007.57999999996</v>
      </c>
      <c r="H20" s="50">
        <v>84751</v>
      </c>
      <c r="I20" s="294"/>
      <c r="J20" s="54"/>
      <c r="K20" s="295">
        <f>K19+G20-I20</f>
        <v>601822.48867047392</v>
      </c>
      <c r="L20" s="50">
        <f>L19+H20-J20</f>
        <v>87623.91634745647</v>
      </c>
      <c r="M20" s="52"/>
      <c r="N20" s="45"/>
    </row>
    <row r="21" spans="1:14" s="5" customFormat="1" ht="13.5" customHeight="1">
      <c r="A21" s="46">
        <v>45027</v>
      </c>
      <c r="B21" s="248" t="s">
        <v>658</v>
      </c>
      <c r="C21" s="249"/>
      <c r="D21" s="302">
        <v>1</v>
      </c>
      <c r="E21" s="47" t="s">
        <v>684</v>
      </c>
      <c r="F21" s="49"/>
      <c r="G21" s="54"/>
      <c r="H21" s="50"/>
      <c r="I21" s="294"/>
      <c r="J21" s="53">
        <v>51</v>
      </c>
      <c r="K21" s="295">
        <f t="shared" ref="K21:L21" si="3">K20+G21-I21</f>
        <v>601822.48867047392</v>
      </c>
      <c r="L21" s="50">
        <f t="shared" si="3"/>
        <v>87572.91634745647</v>
      </c>
      <c r="M21" s="52"/>
      <c r="N21" s="45"/>
    </row>
    <row r="22" spans="1:14" s="5" customFormat="1" ht="13.5" customHeight="1">
      <c r="A22" s="36">
        <v>45033</v>
      </c>
      <c r="B22" s="306" t="s">
        <v>651</v>
      </c>
      <c r="C22" s="305"/>
      <c r="D22" s="303">
        <v>2</v>
      </c>
      <c r="E22" s="36" t="s">
        <v>684</v>
      </c>
      <c r="F22" s="36"/>
      <c r="G22" s="38"/>
      <c r="H22" s="38"/>
      <c r="I22" s="38" t="e">
        <f>J22*'통장내역(환율표)'!#REF!</f>
        <v>#REF!</v>
      </c>
      <c r="J22" s="54">
        <v>2872.9158066838709</v>
      </c>
      <c r="K22" s="263" t="e">
        <f t="shared" ref="K22:K23" si="4">K21+G22-I22</f>
        <v>#REF!</v>
      </c>
      <c r="L22" s="38">
        <f t="shared" ref="L22:L23" si="5">L21+H22-J22</f>
        <v>84700.000540772598</v>
      </c>
      <c r="M22" s="36"/>
      <c r="N22" s="45">
        <f>N19-J22</f>
        <v>0</v>
      </c>
    </row>
    <row r="23" spans="1:14" s="5" customFormat="1" ht="13.5" customHeight="1">
      <c r="A23" s="36">
        <v>45033</v>
      </c>
      <c r="B23" s="313" t="s">
        <v>651</v>
      </c>
      <c r="C23" s="305"/>
      <c r="D23" s="303">
        <v>2</v>
      </c>
      <c r="E23" s="36" t="s">
        <v>684</v>
      </c>
      <c r="F23" s="36"/>
      <c r="G23" s="38"/>
      <c r="H23" s="38"/>
      <c r="I23" s="38" t="e">
        <f>35077.15-I22</f>
        <v>#REF!</v>
      </c>
      <c r="J23" s="53" t="e">
        <f>I23/'통장내역(환율표)'!#REF!</f>
        <v>#REF!</v>
      </c>
      <c r="K23" s="263" t="e">
        <f t="shared" si="4"/>
        <v>#REF!</v>
      </c>
      <c r="L23" s="38" t="e">
        <f t="shared" si="5"/>
        <v>#REF!</v>
      </c>
      <c r="M23" s="36"/>
      <c r="N23" s="45" t="e">
        <f>84700-J23</f>
        <v>#REF!</v>
      </c>
    </row>
    <row r="24" spans="1:14" s="5" customFormat="1" ht="13.5" customHeight="1">
      <c r="A24" s="36">
        <v>45037</v>
      </c>
      <c r="B24" s="313" t="s">
        <v>652</v>
      </c>
      <c r="C24" s="305"/>
      <c r="D24" s="303">
        <v>3</v>
      </c>
      <c r="E24" s="36" t="s">
        <v>684</v>
      </c>
      <c r="F24" s="36"/>
      <c r="G24" s="38"/>
      <c r="H24" s="38"/>
      <c r="I24" s="38">
        <v>7606.18</v>
      </c>
      <c r="J24" s="53" t="e">
        <f>I24/'통장내역(환율표)'!#REF!</f>
        <v>#REF!</v>
      </c>
      <c r="K24" s="263" t="e">
        <f t="shared" ref="K24:K34" si="6">K23+G24-I24</f>
        <v>#REF!</v>
      </c>
      <c r="L24" s="38" t="e">
        <f t="shared" ref="L24:L34" si="7">L23+H24-J24</f>
        <v>#REF!</v>
      </c>
      <c r="M24" s="36" t="s">
        <v>644</v>
      </c>
      <c r="N24" s="45" t="e">
        <f>N23-J24</f>
        <v>#REF!</v>
      </c>
    </row>
    <row r="25" spans="1:14" s="5" customFormat="1" ht="13.5" customHeight="1">
      <c r="A25" s="36">
        <v>45037</v>
      </c>
      <c r="B25" s="313" t="s">
        <v>653</v>
      </c>
      <c r="C25" s="305"/>
      <c r="D25" s="303">
        <v>3</v>
      </c>
      <c r="E25" s="36" t="s">
        <v>684</v>
      </c>
      <c r="F25" s="36"/>
      <c r="G25" s="38"/>
      <c r="H25" s="38"/>
      <c r="I25" s="38">
        <v>2902.29</v>
      </c>
      <c r="J25" s="53" t="e">
        <f>I25/'통장내역(환율표)'!#REF!</f>
        <v>#REF!</v>
      </c>
      <c r="K25" s="263" t="e">
        <f t="shared" si="6"/>
        <v>#REF!</v>
      </c>
      <c r="L25" s="38" t="e">
        <f t="shared" si="7"/>
        <v>#REF!</v>
      </c>
      <c r="M25" s="36" t="s">
        <v>644</v>
      </c>
      <c r="N25" s="45" t="e">
        <f t="shared" ref="N25:N79" si="8">N24-J25</f>
        <v>#REF!</v>
      </c>
    </row>
    <row r="26" spans="1:14" s="5" customFormat="1" ht="13.5" customHeight="1">
      <c r="A26" s="36">
        <v>45037</v>
      </c>
      <c r="B26" s="313" t="s">
        <v>654</v>
      </c>
      <c r="C26" s="305"/>
      <c r="D26" s="303">
        <v>3</v>
      </c>
      <c r="E26" s="36" t="s">
        <v>684</v>
      </c>
      <c r="F26" s="36"/>
      <c r="G26" s="38"/>
      <c r="H26" s="38"/>
      <c r="I26" s="38">
        <v>15000</v>
      </c>
      <c r="J26" s="53" t="e">
        <f>I26/'통장내역(환율표)'!#REF!</f>
        <v>#REF!</v>
      </c>
      <c r="K26" s="263" t="e">
        <f t="shared" si="6"/>
        <v>#REF!</v>
      </c>
      <c r="L26" s="38" t="e">
        <f t="shared" si="7"/>
        <v>#REF!</v>
      </c>
      <c r="M26" s="36" t="s">
        <v>644</v>
      </c>
      <c r="N26" s="45" t="e">
        <f t="shared" si="8"/>
        <v>#REF!</v>
      </c>
    </row>
    <row r="27" spans="1:14" s="5" customFormat="1" ht="13.5" customHeight="1">
      <c r="A27" s="36">
        <v>45037</v>
      </c>
      <c r="B27" s="313" t="s">
        <v>655</v>
      </c>
      <c r="C27" s="305"/>
      <c r="D27" s="303">
        <v>3</v>
      </c>
      <c r="E27" s="36" t="s">
        <v>684</v>
      </c>
      <c r="F27" s="36"/>
      <c r="G27" s="38"/>
      <c r="H27" s="38"/>
      <c r="I27" s="38">
        <v>22000</v>
      </c>
      <c r="J27" s="53" t="e">
        <f>I27/'통장내역(환율표)'!#REF!</f>
        <v>#REF!</v>
      </c>
      <c r="K27" s="263" t="e">
        <f t="shared" si="6"/>
        <v>#REF!</v>
      </c>
      <c r="L27" s="38" t="e">
        <f t="shared" si="7"/>
        <v>#REF!</v>
      </c>
      <c r="M27" s="36" t="s">
        <v>644</v>
      </c>
      <c r="N27" s="45" t="e">
        <f t="shared" si="8"/>
        <v>#REF!</v>
      </c>
    </row>
    <row r="28" spans="1:14" s="5" customFormat="1" ht="13.5" customHeight="1">
      <c r="A28" s="36">
        <v>45037</v>
      </c>
      <c r="B28" s="313" t="s">
        <v>656</v>
      </c>
      <c r="C28" s="305"/>
      <c r="D28" s="303">
        <v>3</v>
      </c>
      <c r="E28" s="36" t="s">
        <v>684</v>
      </c>
      <c r="F28" s="36"/>
      <c r="G28" s="38"/>
      <c r="H28" s="38"/>
      <c r="I28" s="38">
        <v>300</v>
      </c>
      <c r="J28" s="53" t="e">
        <f>I28/'통장내역(환율표)'!#REF!</f>
        <v>#REF!</v>
      </c>
      <c r="K28" s="263" t="e">
        <f t="shared" si="6"/>
        <v>#REF!</v>
      </c>
      <c r="L28" s="38" t="e">
        <f t="shared" si="7"/>
        <v>#REF!</v>
      </c>
      <c r="M28" s="36" t="s">
        <v>644</v>
      </c>
      <c r="N28" s="45" t="e">
        <f t="shared" si="8"/>
        <v>#REF!</v>
      </c>
    </row>
    <row r="29" spans="1:14" s="5" customFormat="1" ht="13.5" customHeight="1">
      <c r="A29" s="36">
        <v>45037</v>
      </c>
      <c r="B29" s="313" t="s">
        <v>652</v>
      </c>
      <c r="C29" s="305"/>
      <c r="D29" s="303">
        <v>3</v>
      </c>
      <c r="E29" s="36" t="s">
        <v>684</v>
      </c>
      <c r="F29" s="36"/>
      <c r="G29" s="38"/>
      <c r="H29" s="38"/>
      <c r="I29" s="38">
        <v>4231.18</v>
      </c>
      <c r="J29" s="53" t="e">
        <f>I29/'통장내역(환율표)'!#REF!</f>
        <v>#REF!</v>
      </c>
      <c r="K29" s="263" t="e">
        <f t="shared" si="6"/>
        <v>#REF!</v>
      </c>
      <c r="L29" s="38" t="e">
        <f t="shared" si="7"/>
        <v>#REF!</v>
      </c>
      <c r="M29" s="36" t="s">
        <v>645</v>
      </c>
      <c r="N29" s="45" t="e">
        <f t="shared" si="8"/>
        <v>#REF!</v>
      </c>
    </row>
    <row r="30" spans="1:14" s="5" customFormat="1" ht="13.5" customHeight="1">
      <c r="A30" s="36">
        <v>45037</v>
      </c>
      <c r="B30" s="313" t="s">
        <v>653</v>
      </c>
      <c r="C30" s="305"/>
      <c r="D30" s="303">
        <v>3</v>
      </c>
      <c r="E30" s="36" t="s">
        <v>684</v>
      </c>
      <c r="F30" s="36"/>
      <c r="G30" s="38"/>
      <c r="H30" s="38"/>
      <c r="I30" s="38">
        <v>564.29000000000087</v>
      </c>
      <c r="J30" s="53" t="e">
        <f>I30/'통장내역(환율표)'!#REF!</f>
        <v>#REF!</v>
      </c>
      <c r="K30" s="263" t="e">
        <f t="shared" si="6"/>
        <v>#REF!</v>
      </c>
      <c r="L30" s="38" t="e">
        <f t="shared" si="7"/>
        <v>#REF!</v>
      </c>
      <c r="M30" s="36" t="s">
        <v>645</v>
      </c>
      <c r="N30" s="45" t="e">
        <f t="shared" si="8"/>
        <v>#REF!</v>
      </c>
    </row>
    <row r="31" spans="1:14" s="5" customFormat="1" ht="13.5" customHeight="1">
      <c r="A31" s="36">
        <v>45037</v>
      </c>
      <c r="B31" s="313" t="s">
        <v>654</v>
      </c>
      <c r="C31" s="305"/>
      <c r="D31" s="303">
        <v>3</v>
      </c>
      <c r="E31" s="36" t="s">
        <v>684</v>
      </c>
      <c r="F31" s="36"/>
      <c r="G31" s="38"/>
      <c r="H31" s="38"/>
      <c r="I31" s="38">
        <v>15000</v>
      </c>
      <c r="J31" s="53" t="e">
        <f>I31/'통장내역(환율표)'!#REF!</f>
        <v>#REF!</v>
      </c>
      <c r="K31" s="263" t="e">
        <f t="shared" si="6"/>
        <v>#REF!</v>
      </c>
      <c r="L31" s="38" t="e">
        <f t="shared" si="7"/>
        <v>#REF!</v>
      </c>
      <c r="M31" s="36" t="s">
        <v>645</v>
      </c>
      <c r="N31" s="45" t="e">
        <f t="shared" si="8"/>
        <v>#REF!</v>
      </c>
    </row>
    <row r="32" spans="1:14" s="5" customFormat="1" ht="13.5" customHeight="1">
      <c r="A32" s="36">
        <v>45037</v>
      </c>
      <c r="B32" s="313" t="s">
        <v>655</v>
      </c>
      <c r="C32" s="305"/>
      <c r="D32" s="303">
        <v>3</v>
      </c>
      <c r="E32" s="36" t="s">
        <v>684</v>
      </c>
      <c r="F32" s="36"/>
      <c r="G32" s="38"/>
      <c r="H32" s="38"/>
      <c r="I32" s="38">
        <v>22000</v>
      </c>
      <c r="J32" s="53" t="e">
        <f>I32/'통장내역(환율표)'!#REF!</f>
        <v>#REF!</v>
      </c>
      <c r="K32" s="263" t="e">
        <f t="shared" si="6"/>
        <v>#REF!</v>
      </c>
      <c r="L32" s="38" t="e">
        <f t="shared" si="7"/>
        <v>#REF!</v>
      </c>
      <c r="M32" s="36" t="s">
        <v>645</v>
      </c>
      <c r="N32" s="45" t="e">
        <f t="shared" si="8"/>
        <v>#REF!</v>
      </c>
    </row>
    <row r="33" spans="1:14" s="5" customFormat="1" ht="13.5" customHeight="1">
      <c r="A33" s="36">
        <v>45037</v>
      </c>
      <c r="B33" s="313" t="s">
        <v>656</v>
      </c>
      <c r="C33" s="305"/>
      <c r="D33" s="303">
        <v>3</v>
      </c>
      <c r="E33" s="36" t="s">
        <v>684</v>
      </c>
      <c r="F33" s="36"/>
      <c r="G33" s="38"/>
      <c r="H33" s="38"/>
      <c r="I33" s="38">
        <v>300</v>
      </c>
      <c r="J33" s="53" t="e">
        <f>I33/'통장내역(환율표)'!#REF!</f>
        <v>#REF!</v>
      </c>
      <c r="K33" s="263" t="e">
        <f t="shared" si="6"/>
        <v>#REF!</v>
      </c>
      <c r="L33" s="38" t="e">
        <f t="shared" si="7"/>
        <v>#REF!</v>
      </c>
      <c r="M33" s="36" t="s">
        <v>645</v>
      </c>
      <c r="N33" s="45" t="e">
        <f t="shared" si="8"/>
        <v>#REF!</v>
      </c>
    </row>
    <row r="34" spans="1:14" s="5" customFormat="1" ht="13.5" customHeight="1">
      <c r="A34" s="36">
        <v>45037</v>
      </c>
      <c r="B34" s="313" t="s">
        <v>848</v>
      </c>
      <c r="C34" s="305"/>
      <c r="D34" s="303">
        <v>3</v>
      </c>
      <c r="E34" s="36" t="s">
        <v>684</v>
      </c>
      <c r="F34" s="36"/>
      <c r="G34" s="38"/>
      <c r="H34" s="38"/>
      <c r="I34" s="38">
        <v>5043.1899999999996</v>
      </c>
      <c r="J34" s="53" t="e">
        <f>I34/'통장내역(환율표)'!#REF!</f>
        <v>#REF!</v>
      </c>
      <c r="K34" s="263" t="e">
        <f t="shared" si="6"/>
        <v>#REF!</v>
      </c>
      <c r="L34" s="38" t="e">
        <f t="shared" si="7"/>
        <v>#REF!</v>
      </c>
      <c r="M34" s="36" t="s">
        <v>646</v>
      </c>
      <c r="N34" s="45" t="e">
        <f t="shared" si="8"/>
        <v>#REF!</v>
      </c>
    </row>
    <row r="35" spans="1:14" s="5" customFormat="1" ht="13.5" customHeight="1">
      <c r="A35" s="36">
        <v>45037</v>
      </c>
      <c r="B35" s="313" t="s">
        <v>657</v>
      </c>
      <c r="C35" s="305"/>
      <c r="D35" s="303">
        <v>3</v>
      </c>
      <c r="E35" s="36" t="s">
        <v>684</v>
      </c>
      <c r="F35" s="36"/>
      <c r="G35" s="38"/>
      <c r="H35" s="38"/>
      <c r="I35" s="38">
        <v>25000</v>
      </c>
      <c r="J35" s="53" t="e">
        <f>I35/'통장내역(환율표)'!#REF!</f>
        <v>#REF!</v>
      </c>
      <c r="K35" s="263" t="e">
        <f t="shared" ref="K35:K79" si="9">K34+G35-I35</f>
        <v>#REF!</v>
      </c>
      <c r="L35" s="38" t="e">
        <f t="shared" ref="L35:L79" si="10">L34+H35-J35</f>
        <v>#REF!</v>
      </c>
      <c r="M35" s="36" t="s">
        <v>646</v>
      </c>
      <c r="N35" s="45" t="e">
        <f t="shared" si="8"/>
        <v>#REF!</v>
      </c>
    </row>
    <row r="36" spans="1:14" s="5" customFormat="1" ht="13.5" customHeight="1">
      <c r="A36" s="36">
        <v>45037</v>
      </c>
      <c r="B36" s="313" t="s">
        <v>874</v>
      </c>
      <c r="C36" s="305"/>
      <c r="D36" s="303">
        <v>3</v>
      </c>
      <c r="E36" s="36" t="s">
        <v>684</v>
      </c>
      <c r="F36" s="36"/>
      <c r="G36" s="38"/>
      <c r="H36" s="38"/>
      <c r="I36" s="38">
        <v>300</v>
      </c>
      <c r="J36" s="53" t="e">
        <f>I36/'통장내역(환율표)'!#REF!</f>
        <v>#REF!</v>
      </c>
      <c r="K36" s="263" t="e">
        <f t="shared" si="9"/>
        <v>#REF!</v>
      </c>
      <c r="L36" s="38" t="e">
        <f t="shared" si="10"/>
        <v>#REF!</v>
      </c>
      <c r="M36" s="36" t="s">
        <v>646</v>
      </c>
      <c r="N36" s="45" t="e">
        <f t="shared" si="8"/>
        <v>#REF!</v>
      </c>
    </row>
    <row r="37" spans="1:14" s="5" customFormat="1" ht="13.5" customHeight="1">
      <c r="A37" s="36">
        <v>45037</v>
      </c>
      <c r="B37" s="313" t="s">
        <v>658</v>
      </c>
      <c r="C37" s="305"/>
      <c r="D37" s="303">
        <v>4</v>
      </c>
      <c r="E37" s="36" t="s">
        <v>684</v>
      </c>
      <c r="F37" s="36"/>
      <c r="G37" s="38"/>
      <c r="H37" s="38"/>
      <c r="I37" s="38">
        <v>12</v>
      </c>
      <c r="J37" s="53" t="e">
        <f>I37/'통장내역(환율표)'!#REF!</f>
        <v>#REF!</v>
      </c>
      <c r="K37" s="263" t="e">
        <f t="shared" si="9"/>
        <v>#REF!</v>
      </c>
      <c r="L37" s="38" t="e">
        <f t="shared" si="10"/>
        <v>#REF!</v>
      </c>
      <c r="M37" s="36"/>
      <c r="N37" s="45" t="e">
        <f t="shared" si="8"/>
        <v>#REF!</v>
      </c>
    </row>
    <row r="38" spans="1:14" s="5" customFormat="1" ht="13.5" customHeight="1">
      <c r="A38" s="36">
        <v>45037</v>
      </c>
      <c r="B38" s="313" t="s">
        <v>659</v>
      </c>
      <c r="C38" s="305"/>
      <c r="D38" s="303">
        <v>5</v>
      </c>
      <c r="E38" s="36" t="s">
        <v>685</v>
      </c>
      <c r="F38" s="36" t="s">
        <v>686</v>
      </c>
      <c r="G38" s="38"/>
      <c r="H38" s="38"/>
      <c r="I38" s="38">
        <v>20606</v>
      </c>
      <c r="J38" s="53" t="e">
        <f>I38/'통장내역(환율표)'!#REF!</f>
        <v>#REF!</v>
      </c>
      <c r="K38" s="263" t="e">
        <f t="shared" si="9"/>
        <v>#REF!</v>
      </c>
      <c r="L38" s="38" t="e">
        <f t="shared" si="10"/>
        <v>#REF!</v>
      </c>
      <c r="M38" s="36"/>
      <c r="N38" s="45" t="e">
        <f t="shared" si="8"/>
        <v>#REF!</v>
      </c>
    </row>
    <row r="39" spans="1:14" s="5" customFormat="1" ht="13.5" customHeight="1">
      <c r="A39" s="36">
        <v>45037</v>
      </c>
      <c r="B39" s="313" t="s">
        <v>658</v>
      </c>
      <c r="C39" s="305"/>
      <c r="D39" s="303">
        <v>6</v>
      </c>
      <c r="E39" s="36" t="s">
        <v>684</v>
      </c>
      <c r="F39" s="36"/>
      <c r="G39" s="38"/>
      <c r="H39" s="38"/>
      <c r="I39" s="38">
        <v>7.2</v>
      </c>
      <c r="J39" s="53" t="e">
        <f>I39/'통장내역(환율표)'!#REF!</f>
        <v>#REF!</v>
      </c>
      <c r="K39" s="263" t="e">
        <f t="shared" si="9"/>
        <v>#REF!</v>
      </c>
      <c r="L39" s="38" t="e">
        <f t="shared" si="10"/>
        <v>#REF!</v>
      </c>
      <c r="M39" s="36"/>
      <c r="N39" s="45" t="e">
        <f t="shared" si="8"/>
        <v>#REF!</v>
      </c>
    </row>
    <row r="40" spans="1:14" s="5" customFormat="1" ht="13.5" customHeight="1">
      <c r="A40" s="36">
        <v>45037</v>
      </c>
      <c r="B40" s="313" t="s">
        <v>660</v>
      </c>
      <c r="C40" s="305"/>
      <c r="D40" s="303">
        <v>7</v>
      </c>
      <c r="E40" s="36" t="s">
        <v>684</v>
      </c>
      <c r="F40" s="36"/>
      <c r="G40" s="38"/>
      <c r="H40" s="38"/>
      <c r="I40" s="38">
        <v>321.18</v>
      </c>
      <c r="J40" s="53" t="e">
        <f>I40/'통장내역(환율표)'!#REF!</f>
        <v>#REF!</v>
      </c>
      <c r="K40" s="263" t="e">
        <f t="shared" si="9"/>
        <v>#REF!</v>
      </c>
      <c r="L40" s="38" t="e">
        <f t="shared" si="10"/>
        <v>#REF!</v>
      </c>
      <c r="M40" s="36"/>
      <c r="N40" s="45" t="e">
        <f t="shared" si="8"/>
        <v>#REF!</v>
      </c>
    </row>
    <row r="41" spans="1:14" s="5" customFormat="1" ht="13.5" customHeight="1">
      <c r="A41" s="36">
        <v>45037</v>
      </c>
      <c r="B41" s="313" t="s">
        <v>658</v>
      </c>
      <c r="C41" s="305"/>
      <c r="D41" s="303">
        <v>8</v>
      </c>
      <c r="E41" s="36" t="s">
        <v>684</v>
      </c>
      <c r="F41" s="36"/>
      <c r="G41" s="38"/>
      <c r="H41" s="38"/>
      <c r="I41" s="38">
        <v>3.6</v>
      </c>
      <c r="J41" s="53" t="e">
        <f>I41/'통장내역(환율표)'!#REF!</f>
        <v>#REF!</v>
      </c>
      <c r="K41" s="263" t="e">
        <f t="shared" si="9"/>
        <v>#REF!</v>
      </c>
      <c r="L41" s="38" t="e">
        <f t="shared" si="10"/>
        <v>#REF!</v>
      </c>
      <c r="M41" s="36"/>
      <c r="N41" s="45" t="e">
        <f t="shared" si="8"/>
        <v>#REF!</v>
      </c>
    </row>
    <row r="42" spans="1:14" s="5" customFormat="1" ht="13.5" customHeight="1">
      <c r="A42" s="36">
        <v>45037</v>
      </c>
      <c r="B42" s="313" t="s">
        <v>661</v>
      </c>
      <c r="C42" s="305"/>
      <c r="D42" s="303">
        <v>10</v>
      </c>
      <c r="E42" s="36" t="s">
        <v>685</v>
      </c>
      <c r="F42" s="36" t="s">
        <v>687</v>
      </c>
      <c r="G42" s="38"/>
      <c r="H42" s="38"/>
      <c r="I42" s="38">
        <v>10500</v>
      </c>
      <c r="J42" s="53" t="e">
        <f>I42/'통장내역(환율표)'!#REF!</f>
        <v>#REF!</v>
      </c>
      <c r="K42" s="263" t="e">
        <f t="shared" si="9"/>
        <v>#REF!</v>
      </c>
      <c r="L42" s="38" t="e">
        <f t="shared" si="10"/>
        <v>#REF!</v>
      </c>
      <c r="M42" s="36"/>
      <c r="N42" s="45" t="e">
        <f t="shared" si="8"/>
        <v>#REF!</v>
      </c>
    </row>
    <row r="43" spans="1:14" s="5" customFormat="1" ht="13.5" customHeight="1">
      <c r="A43" s="36">
        <v>45037</v>
      </c>
      <c r="B43" s="313" t="s">
        <v>662</v>
      </c>
      <c r="C43" s="305"/>
      <c r="D43" s="303">
        <v>10</v>
      </c>
      <c r="E43" s="36" t="s">
        <v>684</v>
      </c>
      <c r="F43" s="36"/>
      <c r="G43" s="38"/>
      <c r="H43" s="38"/>
      <c r="I43" s="38">
        <v>6000</v>
      </c>
      <c r="J43" s="53" t="e">
        <f>I43/'통장내역(환율표)'!#REF!</f>
        <v>#REF!</v>
      </c>
      <c r="K43" s="263" t="e">
        <f t="shared" si="9"/>
        <v>#REF!</v>
      </c>
      <c r="L43" s="38" t="e">
        <f t="shared" si="10"/>
        <v>#REF!</v>
      </c>
      <c r="M43" s="36"/>
      <c r="N43" s="45" t="e">
        <f t="shared" si="8"/>
        <v>#REF!</v>
      </c>
    </row>
    <row r="44" spans="1:14" s="5" customFormat="1" ht="13.5" customHeight="1">
      <c r="A44" s="36">
        <v>45037</v>
      </c>
      <c r="B44" s="313" t="s">
        <v>351</v>
      </c>
      <c r="C44" s="305"/>
      <c r="D44" s="303">
        <v>10</v>
      </c>
      <c r="E44" s="36" t="s">
        <v>684</v>
      </c>
      <c r="F44" s="36"/>
      <c r="G44" s="38"/>
      <c r="H44" s="38"/>
      <c r="I44" s="38">
        <v>720</v>
      </c>
      <c r="J44" s="53" t="e">
        <f>I44/'통장내역(환율표)'!#REF!</f>
        <v>#REF!</v>
      </c>
      <c r="K44" s="263" t="e">
        <f t="shared" si="9"/>
        <v>#REF!</v>
      </c>
      <c r="L44" s="38" t="e">
        <f t="shared" si="10"/>
        <v>#REF!</v>
      </c>
      <c r="M44" s="36"/>
      <c r="N44" s="45" t="e">
        <f t="shared" si="8"/>
        <v>#REF!</v>
      </c>
    </row>
    <row r="45" spans="1:14" s="5" customFormat="1" ht="13.5" customHeight="1">
      <c r="A45" s="36">
        <v>45037</v>
      </c>
      <c r="B45" s="313" t="s">
        <v>658</v>
      </c>
      <c r="C45" s="305"/>
      <c r="D45" s="303">
        <v>11</v>
      </c>
      <c r="E45" s="36" t="s">
        <v>684</v>
      </c>
      <c r="F45" s="36"/>
      <c r="G45" s="38"/>
      <c r="H45" s="38"/>
      <c r="I45" s="38">
        <v>7.2</v>
      </c>
      <c r="J45" s="53" t="e">
        <f>I45/'통장내역(환율표)'!#REF!</f>
        <v>#REF!</v>
      </c>
      <c r="K45" s="263" t="e">
        <f t="shared" si="9"/>
        <v>#REF!</v>
      </c>
      <c r="L45" s="38" t="e">
        <f t="shared" si="10"/>
        <v>#REF!</v>
      </c>
      <c r="M45" s="36"/>
      <c r="N45" s="45" t="e">
        <f t="shared" si="8"/>
        <v>#REF!</v>
      </c>
    </row>
    <row r="46" spans="1:14" s="5" customFormat="1" ht="13.5" customHeight="1">
      <c r="A46" s="36">
        <v>45037</v>
      </c>
      <c r="B46" s="313" t="s">
        <v>663</v>
      </c>
      <c r="C46" s="305"/>
      <c r="D46" s="303">
        <v>12</v>
      </c>
      <c r="E46" s="36" t="s">
        <v>684</v>
      </c>
      <c r="F46" s="36"/>
      <c r="G46" s="38"/>
      <c r="H46" s="38"/>
      <c r="I46" s="38">
        <v>3838</v>
      </c>
      <c r="J46" s="53" t="e">
        <f>I46/'통장내역(환율표)'!#REF!</f>
        <v>#REF!</v>
      </c>
      <c r="K46" s="263" t="e">
        <f t="shared" si="9"/>
        <v>#REF!</v>
      </c>
      <c r="L46" s="38" t="e">
        <f t="shared" si="10"/>
        <v>#REF!</v>
      </c>
      <c r="M46" s="36"/>
      <c r="N46" s="45" t="e">
        <f t="shared" si="8"/>
        <v>#REF!</v>
      </c>
    </row>
    <row r="47" spans="1:14" s="5" customFormat="1" ht="13.5" customHeight="1">
      <c r="A47" s="36">
        <v>45037</v>
      </c>
      <c r="B47" s="313" t="s">
        <v>658</v>
      </c>
      <c r="C47" s="305"/>
      <c r="D47" s="303">
        <v>13</v>
      </c>
      <c r="E47" s="36" t="s">
        <v>684</v>
      </c>
      <c r="F47" s="36"/>
      <c r="G47" s="38"/>
      <c r="H47" s="38"/>
      <c r="I47" s="38">
        <v>3.6</v>
      </c>
      <c r="J47" s="53" t="e">
        <f>I47/'통장내역(환율표)'!#REF!</f>
        <v>#REF!</v>
      </c>
      <c r="K47" s="263" t="e">
        <f t="shared" si="9"/>
        <v>#REF!</v>
      </c>
      <c r="L47" s="38" t="e">
        <f t="shared" si="10"/>
        <v>#REF!</v>
      </c>
      <c r="M47" s="36"/>
      <c r="N47" s="45" t="e">
        <f t="shared" si="8"/>
        <v>#REF!</v>
      </c>
    </row>
    <row r="48" spans="1:14" s="5" customFormat="1" ht="13.5" customHeight="1">
      <c r="A48" s="36">
        <v>45037</v>
      </c>
      <c r="B48" s="313" t="s">
        <v>664</v>
      </c>
      <c r="C48" s="305"/>
      <c r="D48" s="303">
        <v>14</v>
      </c>
      <c r="E48" s="36" t="s">
        <v>684</v>
      </c>
      <c r="F48" s="36"/>
      <c r="G48" s="38"/>
      <c r="H48" s="38"/>
      <c r="I48" s="38">
        <v>484.7</v>
      </c>
      <c r="J48" s="53" t="e">
        <f>I48/'통장내역(환율표)'!#REF!</f>
        <v>#REF!</v>
      </c>
      <c r="K48" s="263" t="e">
        <f t="shared" si="9"/>
        <v>#REF!</v>
      </c>
      <c r="L48" s="38" t="e">
        <f t="shared" si="10"/>
        <v>#REF!</v>
      </c>
      <c r="M48" s="36"/>
      <c r="N48" s="45" t="e">
        <f t="shared" si="8"/>
        <v>#REF!</v>
      </c>
    </row>
    <row r="49" spans="1:14" s="5" customFormat="1" ht="13.5" customHeight="1">
      <c r="A49" s="36">
        <v>45037</v>
      </c>
      <c r="B49" s="313" t="s">
        <v>665</v>
      </c>
      <c r="C49" s="305"/>
      <c r="D49" s="303">
        <v>15</v>
      </c>
      <c r="E49" s="36" t="s">
        <v>688</v>
      </c>
      <c r="F49" s="36" t="s">
        <v>689</v>
      </c>
      <c r="G49" s="38"/>
      <c r="H49" s="38"/>
      <c r="I49" s="38">
        <v>98.5</v>
      </c>
      <c r="J49" s="53" t="e">
        <f>I49/'통장내역(환율표)'!#REF!</f>
        <v>#REF!</v>
      </c>
      <c r="K49" s="263" t="e">
        <f t="shared" si="9"/>
        <v>#REF!</v>
      </c>
      <c r="L49" s="38" t="e">
        <f t="shared" si="10"/>
        <v>#REF!</v>
      </c>
      <c r="M49" s="36"/>
      <c r="N49" s="45" t="e">
        <f t="shared" si="8"/>
        <v>#REF!</v>
      </c>
    </row>
    <row r="50" spans="1:14" s="5" customFormat="1" ht="13.5" customHeight="1">
      <c r="A50" s="36">
        <v>45037</v>
      </c>
      <c r="B50" s="313" t="s">
        <v>666</v>
      </c>
      <c r="C50" s="305"/>
      <c r="D50" s="303">
        <v>16</v>
      </c>
      <c r="E50" s="36" t="s">
        <v>690</v>
      </c>
      <c r="F50" s="36" t="s">
        <v>691</v>
      </c>
      <c r="G50" s="38"/>
      <c r="H50" s="38"/>
      <c r="I50" s="38">
        <v>246.77</v>
      </c>
      <c r="J50" s="53" t="e">
        <f>I50/'통장내역(환율표)'!#REF!</f>
        <v>#REF!</v>
      </c>
      <c r="K50" s="263" t="e">
        <f t="shared" si="9"/>
        <v>#REF!</v>
      </c>
      <c r="L50" s="38" t="e">
        <f t="shared" si="10"/>
        <v>#REF!</v>
      </c>
      <c r="M50" s="36"/>
      <c r="N50" s="45" t="e">
        <f t="shared" si="8"/>
        <v>#REF!</v>
      </c>
    </row>
    <row r="51" spans="1:14" s="5" customFormat="1" ht="13.5" customHeight="1">
      <c r="A51" s="36">
        <v>45037</v>
      </c>
      <c r="B51" s="313" t="s">
        <v>658</v>
      </c>
      <c r="C51" s="305"/>
      <c r="D51" s="303">
        <v>17</v>
      </c>
      <c r="E51" s="36" t="s">
        <v>684</v>
      </c>
      <c r="F51" s="36"/>
      <c r="G51" s="38"/>
      <c r="H51" s="38"/>
      <c r="I51" s="38">
        <v>3.6</v>
      </c>
      <c r="J51" s="53" t="e">
        <f>I51/'통장내역(환율표)'!#REF!</f>
        <v>#REF!</v>
      </c>
      <c r="K51" s="263" t="e">
        <f t="shared" si="9"/>
        <v>#REF!</v>
      </c>
      <c r="L51" s="38" t="e">
        <f t="shared" si="10"/>
        <v>#REF!</v>
      </c>
      <c r="M51" s="36"/>
      <c r="N51" s="45" t="e">
        <f t="shared" si="8"/>
        <v>#REF!</v>
      </c>
    </row>
    <row r="52" spans="1:14" s="5" customFormat="1" ht="13.5" customHeight="1">
      <c r="A52" s="36">
        <v>45037</v>
      </c>
      <c r="B52" s="313" t="s">
        <v>667</v>
      </c>
      <c r="C52" s="305"/>
      <c r="D52" s="303">
        <v>18</v>
      </c>
      <c r="E52" s="36" t="s">
        <v>690</v>
      </c>
      <c r="F52" s="36" t="s">
        <v>691</v>
      </c>
      <c r="G52" s="38"/>
      <c r="H52" s="38"/>
      <c r="I52" s="38">
        <v>983</v>
      </c>
      <c r="J52" s="53" t="e">
        <f>I52/'통장내역(환율표)'!#REF!</f>
        <v>#REF!</v>
      </c>
      <c r="K52" s="263" t="e">
        <f t="shared" si="9"/>
        <v>#REF!</v>
      </c>
      <c r="L52" s="38" t="e">
        <f t="shared" si="10"/>
        <v>#REF!</v>
      </c>
      <c r="M52" s="36"/>
      <c r="N52" s="45" t="e">
        <f t="shared" si="8"/>
        <v>#REF!</v>
      </c>
    </row>
    <row r="53" spans="1:14" s="5" customFormat="1" ht="13.5" customHeight="1">
      <c r="A53" s="36">
        <v>45037</v>
      </c>
      <c r="B53" s="313" t="s">
        <v>668</v>
      </c>
      <c r="C53" s="305"/>
      <c r="D53" s="303">
        <v>19</v>
      </c>
      <c r="E53" s="36" t="s">
        <v>690</v>
      </c>
      <c r="F53" s="36" t="s">
        <v>691</v>
      </c>
      <c r="G53" s="38"/>
      <c r="H53" s="38"/>
      <c r="I53" s="38">
        <v>2566</v>
      </c>
      <c r="J53" s="53" t="e">
        <f>I53/'통장내역(환율표)'!#REF!</f>
        <v>#REF!</v>
      </c>
      <c r="K53" s="263" t="e">
        <f t="shared" si="9"/>
        <v>#REF!</v>
      </c>
      <c r="L53" s="38" t="e">
        <f t="shared" si="10"/>
        <v>#REF!</v>
      </c>
      <c r="M53" s="36"/>
      <c r="N53" s="45" t="e">
        <f t="shared" si="8"/>
        <v>#REF!</v>
      </c>
    </row>
    <row r="54" spans="1:14" s="5" customFormat="1" ht="13.5" customHeight="1">
      <c r="A54" s="36">
        <v>45037</v>
      </c>
      <c r="B54" s="313" t="s">
        <v>669</v>
      </c>
      <c r="C54" s="305"/>
      <c r="D54" s="303">
        <v>20</v>
      </c>
      <c r="E54" s="36" t="s">
        <v>690</v>
      </c>
      <c r="F54" s="36" t="s">
        <v>691</v>
      </c>
      <c r="G54" s="38"/>
      <c r="H54" s="38"/>
      <c r="I54" s="38">
        <v>184</v>
      </c>
      <c r="J54" s="53" t="e">
        <f>I54/'통장내역(환율표)'!#REF!</f>
        <v>#REF!</v>
      </c>
      <c r="K54" s="263" t="e">
        <f t="shared" si="9"/>
        <v>#REF!</v>
      </c>
      <c r="L54" s="38" t="e">
        <f t="shared" si="10"/>
        <v>#REF!</v>
      </c>
      <c r="M54" s="36"/>
      <c r="N54" s="45" t="e">
        <f t="shared" si="8"/>
        <v>#REF!</v>
      </c>
    </row>
    <row r="55" spans="1:14" s="5" customFormat="1" ht="13.5" customHeight="1">
      <c r="A55" s="36">
        <v>45037</v>
      </c>
      <c r="B55" s="313" t="s">
        <v>658</v>
      </c>
      <c r="C55" s="305"/>
      <c r="D55" s="303">
        <v>21</v>
      </c>
      <c r="E55" s="36" t="s">
        <v>684</v>
      </c>
      <c r="F55" s="36"/>
      <c r="G55" s="38"/>
      <c r="H55" s="38"/>
      <c r="I55" s="38">
        <v>3.6</v>
      </c>
      <c r="J55" s="53" t="e">
        <f>I55/'통장내역(환율표)'!#REF!</f>
        <v>#REF!</v>
      </c>
      <c r="K55" s="263" t="e">
        <f t="shared" si="9"/>
        <v>#REF!</v>
      </c>
      <c r="L55" s="38" t="e">
        <f t="shared" si="10"/>
        <v>#REF!</v>
      </c>
      <c r="M55" s="36"/>
      <c r="N55" s="45" t="e">
        <f t="shared" si="8"/>
        <v>#REF!</v>
      </c>
    </row>
    <row r="56" spans="1:14" s="5" customFormat="1" ht="13.5" customHeight="1">
      <c r="A56" s="36">
        <v>45037</v>
      </c>
      <c r="B56" s="313" t="s">
        <v>670</v>
      </c>
      <c r="C56" s="305"/>
      <c r="D56" s="303">
        <v>22</v>
      </c>
      <c r="E56" s="36" t="s">
        <v>692</v>
      </c>
      <c r="F56" s="36" t="s">
        <v>693</v>
      </c>
      <c r="G56" s="38"/>
      <c r="H56" s="38"/>
      <c r="I56" s="38">
        <v>2694</v>
      </c>
      <c r="J56" s="53" t="e">
        <f>I56/'통장내역(환율표)'!#REF!</f>
        <v>#REF!</v>
      </c>
      <c r="K56" s="263" t="e">
        <f t="shared" si="9"/>
        <v>#REF!</v>
      </c>
      <c r="L56" s="38" t="e">
        <f t="shared" si="10"/>
        <v>#REF!</v>
      </c>
      <c r="M56" s="36"/>
      <c r="N56" s="45" t="e">
        <f t="shared" si="8"/>
        <v>#REF!</v>
      </c>
    </row>
    <row r="57" spans="1:14" s="5" customFormat="1" ht="13.5" customHeight="1">
      <c r="A57" s="36">
        <v>45037</v>
      </c>
      <c r="B57" s="313" t="s">
        <v>658</v>
      </c>
      <c r="C57" s="305"/>
      <c r="D57" s="303">
        <v>23</v>
      </c>
      <c r="E57" s="36" t="s">
        <v>684</v>
      </c>
      <c r="F57" s="36"/>
      <c r="G57" s="38"/>
      <c r="H57" s="38"/>
      <c r="I57" s="38">
        <v>3.6</v>
      </c>
      <c r="J57" s="53" t="e">
        <f>I57/'통장내역(환율표)'!#REF!</f>
        <v>#REF!</v>
      </c>
      <c r="K57" s="263" t="e">
        <f t="shared" si="9"/>
        <v>#REF!</v>
      </c>
      <c r="L57" s="38" t="e">
        <f t="shared" si="10"/>
        <v>#REF!</v>
      </c>
      <c r="M57" s="36"/>
      <c r="N57" s="45" t="e">
        <f t="shared" si="8"/>
        <v>#REF!</v>
      </c>
    </row>
    <row r="58" spans="1:14" s="5" customFormat="1" ht="13.5" customHeight="1">
      <c r="A58" s="36">
        <v>45037</v>
      </c>
      <c r="B58" s="313" t="s">
        <v>671</v>
      </c>
      <c r="C58" s="305"/>
      <c r="D58" s="303">
        <v>24</v>
      </c>
      <c r="E58" s="36" t="s">
        <v>684</v>
      </c>
      <c r="F58" s="36"/>
      <c r="G58" s="38"/>
      <c r="H58" s="38"/>
      <c r="I58" s="38">
        <v>717.1</v>
      </c>
      <c r="J58" s="53" t="e">
        <f>I58/'통장내역(환율표)'!#REF!</f>
        <v>#REF!</v>
      </c>
      <c r="K58" s="263" t="e">
        <f t="shared" si="9"/>
        <v>#REF!</v>
      </c>
      <c r="L58" s="38" t="e">
        <f t="shared" si="10"/>
        <v>#REF!</v>
      </c>
      <c r="M58" s="36"/>
      <c r="N58" s="45" t="e">
        <f t="shared" si="8"/>
        <v>#REF!</v>
      </c>
    </row>
    <row r="59" spans="1:14" s="5" customFormat="1" ht="13.5" customHeight="1">
      <c r="A59" s="36">
        <v>45037</v>
      </c>
      <c r="B59" s="313" t="s">
        <v>658</v>
      </c>
      <c r="C59" s="305"/>
      <c r="D59" s="303">
        <v>25</v>
      </c>
      <c r="E59" s="36" t="s">
        <v>684</v>
      </c>
      <c r="F59" s="36"/>
      <c r="G59" s="38"/>
      <c r="H59" s="38"/>
      <c r="I59" s="38">
        <v>3.6</v>
      </c>
      <c r="J59" s="53" t="e">
        <f>I59/'통장내역(환율표)'!#REF!</f>
        <v>#REF!</v>
      </c>
      <c r="K59" s="263" t="e">
        <f t="shared" si="9"/>
        <v>#REF!</v>
      </c>
      <c r="L59" s="38" t="e">
        <f t="shared" si="10"/>
        <v>#REF!</v>
      </c>
      <c r="M59" s="36"/>
      <c r="N59" s="45" t="e">
        <f t="shared" si="8"/>
        <v>#REF!</v>
      </c>
    </row>
    <row r="60" spans="1:14" s="5" customFormat="1" ht="13.5" customHeight="1">
      <c r="A60" s="36">
        <v>45037</v>
      </c>
      <c r="B60" s="313" t="s">
        <v>672</v>
      </c>
      <c r="C60" s="305"/>
      <c r="D60" s="303">
        <v>26</v>
      </c>
      <c r="E60" s="36" t="s">
        <v>690</v>
      </c>
      <c r="F60" s="36" t="s">
        <v>691</v>
      </c>
      <c r="G60" s="38"/>
      <c r="H60" s="38"/>
      <c r="I60" s="38">
        <v>11697.31</v>
      </c>
      <c r="J60" s="53" t="e">
        <f>I60/'통장내역(환율표)'!#REF!</f>
        <v>#REF!</v>
      </c>
      <c r="K60" s="263" t="e">
        <f t="shared" si="9"/>
        <v>#REF!</v>
      </c>
      <c r="L60" s="38" t="e">
        <f t="shared" si="10"/>
        <v>#REF!</v>
      </c>
      <c r="M60" s="36"/>
      <c r="N60" s="45" t="e">
        <f t="shared" si="8"/>
        <v>#REF!</v>
      </c>
    </row>
    <row r="61" spans="1:14" s="5" customFormat="1" ht="13.5" customHeight="1">
      <c r="A61" s="36">
        <v>45037</v>
      </c>
      <c r="B61" s="313" t="s">
        <v>658</v>
      </c>
      <c r="C61" s="305"/>
      <c r="D61" s="303">
        <v>27</v>
      </c>
      <c r="E61" s="36" t="s">
        <v>684</v>
      </c>
      <c r="F61" s="36"/>
      <c r="G61" s="38"/>
      <c r="H61" s="38"/>
      <c r="I61" s="38">
        <v>7.2</v>
      </c>
      <c r="J61" s="53" t="e">
        <f>I61/'통장내역(환율표)'!#REF!</f>
        <v>#REF!</v>
      </c>
      <c r="K61" s="263" t="e">
        <f t="shared" si="9"/>
        <v>#REF!</v>
      </c>
      <c r="L61" s="38" t="e">
        <f t="shared" si="10"/>
        <v>#REF!</v>
      </c>
      <c r="M61" s="36"/>
      <c r="N61" s="45" t="e">
        <f t="shared" si="8"/>
        <v>#REF!</v>
      </c>
    </row>
    <row r="62" spans="1:14" s="5" customFormat="1" ht="13.5" customHeight="1">
      <c r="A62" s="36">
        <v>45037</v>
      </c>
      <c r="B62" s="313" t="s">
        <v>673</v>
      </c>
      <c r="C62" s="305"/>
      <c r="D62" s="303">
        <v>28</v>
      </c>
      <c r="E62" s="36" t="s">
        <v>684</v>
      </c>
      <c r="F62" s="36"/>
      <c r="G62" s="38"/>
      <c r="H62" s="38"/>
      <c r="I62" s="38">
        <v>753</v>
      </c>
      <c r="J62" s="53" t="e">
        <f>I62/'통장내역(환율표)'!#REF!</f>
        <v>#REF!</v>
      </c>
      <c r="K62" s="263" t="e">
        <f t="shared" si="9"/>
        <v>#REF!</v>
      </c>
      <c r="L62" s="38" t="e">
        <f t="shared" si="10"/>
        <v>#REF!</v>
      </c>
      <c r="M62" s="36"/>
      <c r="N62" s="45" t="e">
        <f t="shared" si="8"/>
        <v>#REF!</v>
      </c>
    </row>
    <row r="63" spans="1:14" s="5" customFormat="1" ht="13.5" customHeight="1">
      <c r="A63" s="36">
        <v>45037</v>
      </c>
      <c r="B63" s="313" t="s">
        <v>674</v>
      </c>
      <c r="C63" s="305"/>
      <c r="D63" s="303">
        <v>29</v>
      </c>
      <c r="E63" s="36" t="s">
        <v>684</v>
      </c>
      <c r="F63" s="36"/>
      <c r="G63" s="38"/>
      <c r="H63" s="38"/>
      <c r="I63" s="38">
        <v>300</v>
      </c>
      <c r="J63" s="53" t="e">
        <f>I63/'통장내역(환율표)'!#REF!</f>
        <v>#REF!</v>
      </c>
      <c r="K63" s="263" t="e">
        <f t="shared" si="9"/>
        <v>#REF!</v>
      </c>
      <c r="L63" s="38" t="e">
        <f t="shared" si="10"/>
        <v>#REF!</v>
      </c>
      <c r="M63" s="36"/>
      <c r="N63" s="45" t="e">
        <f t="shared" si="8"/>
        <v>#REF!</v>
      </c>
    </row>
    <row r="64" spans="1:14" s="5" customFormat="1" ht="13.5" customHeight="1">
      <c r="A64" s="36">
        <v>45037</v>
      </c>
      <c r="B64" s="313" t="s">
        <v>675</v>
      </c>
      <c r="C64" s="305"/>
      <c r="D64" s="303">
        <v>30</v>
      </c>
      <c r="E64" s="36" t="s">
        <v>684</v>
      </c>
      <c r="F64" s="36"/>
      <c r="G64" s="38"/>
      <c r="H64" s="38"/>
      <c r="I64" s="38">
        <v>444.91</v>
      </c>
      <c r="J64" s="53" t="e">
        <f>I64/'통장내역(환율표)'!#REF!</f>
        <v>#REF!</v>
      </c>
      <c r="K64" s="263" t="e">
        <f t="shared" si="9"/>
        <v>#REF!</v>
      </c>
      <c r="L64" s="38" t="e">
        <f t="shared" si="10"/>
        <v>#REF!</v>
      </c>
      <c r="M64" s="36"/>
      <c r="N64" s="45" t="e">
        <f t="shared" si="8"/>
        <v>#REF!</v>
      </c>
    </row>
    <row r="65" spans="1:14" s="5" customFormat="1" ht="13.5" customHeight="1">
      <c r="A65" s="36">
        <v>45037</v>
      </c>
      <c r="B65" s="313" t="s">
        <v>676</v>
      </c>
      <c r="C65" s="305"/>
      <c r="D65" s="303">
        <v>31</v>
      </c>
      <c r="E65" s="36" t="s">
        <v>684</v>
      </c>
      <c r="F65" s="36"/>
      <c r="G65" s="38"/>
      <c r="H65" s="38"/>
      <c r="I65" s="38">
        <v>274.8</v>
      </c>
      <c r="J65" s="53" t="e">
        <f>I65/'통장내역(환율표)'!#REF!</f>
        <v>#REF!</v>
      </c>
      <c r="K65" s="263" t="e">
        <f t="shared" si="9"/>
        <v>#REF!</v>
      </c>
      <c r="L65" s="38" t="e">
        <f t="shared" si="10"/>
        <v>#REF!</v>
      </c>
      <c r="M65" s="36"/>
      <c r="N65" s="45" t="e">
        <f t="shared" si="8"/>
        <v>#REF!</v>
      </c>
    </row>
    <row r="66" spans="1:14" s="5" customFormat="1" ht="13.5" customHeight="1">
      <c r="A66" s="36">
        <v>45037</v>
      </c>
      <c r="B66" s="313" t="s">
        <v>658</v>
      </c>
      <c r="C66" s="305"/>
      <c r="D66" s="303">
        <v>32</v>
      </c>
      <c r="E66" s="36" t="s">
        <v>684</v>
      </c>
      <c r="F66" s="36"/>
      <c r="G66" s="38"/>
      <c r="H66" s="38"/>
      <c r="I66" s="38">
        <v>3.6</v>
      </c>
      <c r="J66" s="53" t="e">
        <f>I66/'통장내역(환율표)'!#REF!</f>
        <v>#REF!</v>
      </c>
      <c r="K66" s="263" t="e">
        <f t="shared" si="9"/>
        <v>#REF!</v>
      </c>
      <c r="L66" s="38" t="e">
        <f t="shared" si="10"/>
        <v>#REF!</v>
      </c>
      <c r="M66" s="36"/>
      <c r="N66" s="45" t="e">
        <f t="shared" si="8"/>
        <v>#REF!</v>
      </c>
    </row>
    <row r="67" spans="1:14" s="5" customFormat="1" ht="13.5" customHeight="1">
      <c r="A67" s="36">
        <v>45037</v>
      </c>
      <c r="B67" s="306" t="s">
        <v>677</v>
      </c>
      <c r="C67" s="305"/>
      <c r="D67" s="303">
        <v>33</v>
      </c>
      <c r="E67" s="36" t="s">
        <v>583</v>
      </c>
      <c r="F67" s="36"/>
      <c r="G67" s="38"/>
      <c r="H67" s="38"/>
      <c r="I67" s="38">
        <v>1620</v>
      </c>
      <c r="J67" s="53" t="e">
        <f>I67/'통장내역(환율표)'!#REF!</f>
        <v>#REF!</v>
      </c>
      <c r="K67" s="263" t="e">
        <f t="shared" si="9"/>
        <v>#REF!</v>
      </c>
      <c r="L67" s="38" t="e">
        <f t="shared" si="10"/>
        <v>#REF!</v>
      </c>
      <c r="M67" s="36" t="s">
        <v>648</v>
      </c>
      <c r="N67" s="45" t="e">
        <f t="shared" si="8"/>
        <v>#REF!</v>
      </c>
    </row>
    <row r="68" spans="1:14" s="5" customFormat="1" ht="13.5" customHeight="1">
      <c r="A68" s="36">
        <v>45037</v>
      </c>
      <c r="B68" s="313" t="s">
        <v>658</v>
      </c>
      <c r="C68" s="305"/>
      <c r="D68" s="303">
        <v>34</v>
      </c>
      <c r="E68" s="36" t="s">
        <v>684</v>
      </c>
      <c r="F68" s="36"/>
      <c r="G68" s="38"/>
      <c r="H68" s="38"/>
      <c r="I68" s="38">
        <v>3.6</v>
      </c>
      <c r="J68" s="53" t="e">
        <f>I68/'통장내역(환율표)'!#REF!</f>
        <v>#REF!</v>
      </c>
      <c r="K68" s="263" t="e">
        <f t="shared" si="9"/>
        <v>#REF!</v>
      </c>
      <c r="L68" s="38" t="e">
        <f t="shared" si="10"/>
        <v>#REF!</v>
      </c>
      <c r="M68" s="36"/>
      <c r="N68" s="45" t="e">
        <f t="shared" si="8"/>
        <v>#REF!</v>
      </c>
    </row>
    <row r="69" spans="1:14" s="5" customFormat="1" ht="13.5" customHeight="1">
      <c r="A69" s="36">
        <v>45037</v>
      </c>
      <c r="B69" s="306" t="s">
        <v>678</v>
      </c>
      <c r="C69" s="305"/>
      <c r="D69" s="303">
        <v>35</v>
      </c>
      <c r="E69" s="36" t="s">
        <v>583</v>
      </c>
      <c r="F69" s="36"/>
      <c r="G69" s="38"/>
      <c r="H69" s="38"/>
      <c r="I69" s="38">
        <v>1008</v>
      </c>
      <c r="J69" s="53" t="e">
        <f>I69/'통장내역(환율표)'!#REF!</f>
        <v>#REF!</v>
      </c>
      <c r="K69" s="263" t="e">
        <f t="shared" si="9"/>
        <v>#REF!</v>
      </c>
      <c r="L69" s="38" t="e">
        <f t="shared" si="10"/>
        <v>#REF!</v>
      </c>
      <c r="M69" s="36" t="s">
        <v>648</v>
      </c>
      <c r="N69" s="45" t="e">
        <f t="shared" si="8"/>
        <v>#REF!</v>
      </c>
    </row>
    <row r="70" spans="1:14" s="5" customFormat="1" ht="13.5" customHeight="1">
      <c r="A70" s="36">
        <v>45037</v>
      </c>
      <c r="B70" s="313" t="s">
        <v>658</v>
      </c>
      <c r="C70" s="305"/>
      <c r="D70" s="303">
        <v>36</v>
      </c>
      <c r="E70" s="36" t="s">
        <v>684</v>
      </c>
      <c r="F70" s="36"/>
      <c r="G70" s="38"/>
      <c r="H70" s="38"/>
      <c r="I70" s="38">
        <v>3.6</v>
      </c>
      <c r="J70" s="53" t="e">
        <f>I70/'통장내역(환율표)'!#REF!</f>
        <v>#REF!</v>
      </c>
      <c r="K70" s="263" t="e">
        <f t="shared" si="9"/>
        <v>#REF!</v>
      </c>
      <c r="L70" s="38" t="e">
        <f t="shared" si="10"/>
        <v>#REF!</v>
      </c>
      <c r="M70" s="36"/>
      <c r="N70" s="45" t="e">
        <f t="shared" si="8"/>
        <v>#REF!</v>
      </c>
    </row>
    <row r="71" spans="1:14" s="5" customFormat="1" ht="13.5" customHeight="1">
      <c r="A71" s="36">
        <v>45037</v>
      </c>
      <c r="B71" s="313" t="s">
        <v>679</v>
      </c>
      <c r="C71" s="305"/>
      <c r="D71" s="303">
        <v>37</v>
      </c>
      <c r="E71" s="36" t="s">
        <v>690</v>
      </c>
      <c r="F71" s="36" t="s">
        <v>691</v>
      </c>
      <c r="G71" s="38"/>
      <c r="H71" s="38"/>
      <c r="I71" s="38">
        <v>9734.27</v>
      </c>
      <c r="J71" s="53" t="e">
        <f>I71/'통장내역(환율표)'!#REF!</f>
        <v>#REF!</v>
      </c>
      <c r="K71" s="263" t="e">
        <f t="shared" si="9"/>
        <v>#REF!</v>
      </c>
      <c r="L71" s="38" t="e">
        <f t="shared" si="10"/>
        <v>#REF!</v>
      </c>
      <c r="M71" s="36"/>
      <c r="N71" s="45" t="e">
        <f t="shared" si="8"/>
        <v>#REF!</v>
      </c>
    </row>
    <row r="72" spans="1:14" s="5" customFormat="1" ht="13.5" customHeight="1">
      <c r="A72" s="36">
        <v>45037</v>
      </c>
      <c r="B72" s="313" t="s">
        <v>658</v>
      </c>
      <c r="C72" s="305"/>
      <c r="D72" s="303">
        <v>38</v>
      </c>
      <c r="E72" s="36" t="s">
        <v>684</v>
      </c>
      <c r="F72" s="36"/>
      <c r="G72" s="38"/>
      <c r="H72" s="38"/>
      <c r="I72" s="38">
        <v>3.6</v>
      </c>
      <c r="J72" s="53" t="e">
        <f>I72/'통장내역(환율표)'!#REF!</f>
        <v>#REF!</v>
      </c>
      <c r="K72" s="263" t="e">
        <f t="shared" si="9"/>
        <v>#REF!</v>
      </c>
      <c r="L72" s="38" t="e">
        <f t="shared" si="10"/>
        <v>#REF!</v>
      </c>
      <c r="M72" s="36"/>
      <c r="N72" s="45" t="e">
        <f t="shared" si="8"/>
        <v>#REF!</v>
      </c>
    </row>
    <row r="73" spans="1:14" s="5" customFormat="1" ht="13.5" customHeight="1">
      <c r="A73" s="36">
        <v>45037</v>
      </c>
      <c r="B73" s="313" t="s">
        <v>680</v>
      </c>
      <c r="C73" s="305"/>
      <c r="D73" s="303">
        <v>39</v>
      </c>
      <c r="E73" s="36" t="s">
        <v>688</v>
      </c>
      <c r="F73" s="36" t="s">
        <v>689</v>
      </c>
      <c r="G73" s="38"/>
      <c r="H73" s="38"/>
      <c r="I73" s="38">
        <v>396.5</v>
      </c>
      <c r="J73" s="53" t="e">
        <f>I73/'통장내역(환율표)'!#REF!</f>
        <v>#REF!</v>
      </c>
      <c r="K73" s="263" t="e">
        <f t="shared" si="9"/>
        <v>#REF!</v>
      </c>
      <c r="L73" s="38" t="e">
        <f t="shared" si="10"/>
        <v>#REF!</v>
      </c>
      <c r="M73" s="36"/>
      <c r="N73" s="45" t="e">
        <f t="shared" si="8"/>
        <v>#REF!</v>
      </c>
    </row>
    <row r="74" spans="1:14" s="5" customFormat="1" ht="13.5" customHeight="1">
      <c r="A74" s="36">
        <v>45037</v>
      </c>
      <c r="B74" s="313" t="s">
        <v>681</v>
      </c>
      <c r="C74" s="305"/>
      <c r="D74" s="303">
        <v>40</v>
      </c>
      <c r="E74" s="36" t="s">
        <v>688</v>
      </c>
      <c r="F74" s="36" t="s">
        <v>689</v>
      </c>
      <c r="G74" s="38"/>
      <c r="H74" s="38"/>
      <c r="I74" s="38">
        <v>497.5</v>
      </c>
      <c r="J74" s="53" t="e">
        <f>I74/'통장내역(환율표)'!#REF!</f>
        <v>#REF!</v>
      </c>
      <c r="K74" s="263" t="e">
        <f t="shared" si="9"/>
        <v>#REF!</v>
      </c>
      <c r="L74" s="38" t="e">
        <f t="shared" si="10"/>
        <v>#REF!</v>
      </c>
      <c r="M74" s="36"/>
      <c r="N74" s="45" t="e">
        <f t="shared" si="8"/>
        <v>#REF!</v>
      </c>
    </row>
    <row r="75" spans="1:14" s="5" customFormat="1" ht="13.5" customHeight="1">
      <c r="A75" s="36">
        <v>45037</v>
      </c>
      <c r="B75" s="313" t="s">
        <v>658</v>
      </c>
      <c r="C75" s="305"/>
      <c r="D75" s="303">
        <v>41</v>
      </c>
      <c r="E75" s="36" t="s">
        <v>684</v>
      </c>
      <c r="F75" s="36"/>
      <c r="G75" s="38"/>
      <c r="H75" s="38"/>
      <c r="I75" s="38">
        <v>3.6</v>
      </c>
      <c r="J75" s="53" t="e">
        <f>I75/'통장내역(환율표)'!#REF!</f>
        <v>#REF!</v>
      </c>
      <c r="K75" s="263" t="e">
        <f t="shared" si="9"/>
        <v>#REF!</v>
      </c>
      <c r="L75" s="38" t="e">
        <f t="shared" si="10"/>
        <v>#REF!</v>
      </c>
      <c r="M75" s="36"/>
      <c r="N75" s="45" t="e">
        <f t="shared" si="8"/>
        <v>#REF!</v>
      </c>
    </row>
    <row r="76" spans="1:14" s="5" customFormat="1" ht="13.5" customHeight="1">
      <c r="A76" s="36">
        <v>45037</v>
      </c>
      <c r="B76" s="313" t="s">
        <v>682</v>
      </c>
      <c r="C76" s="305"/>
      <c r="D76" s="303">
        <v>42</v>
      </c>
      <c r="E76" s="36" t="s">
        <v>692</v>
      </c>
      <c r="F76" s="36" t="s">
        <v>693</v>
      </c>
      <c r="G76" s="38"/>
      <c r="H76" s="38"/>
      <c r="I76" s="38">
        <f>7177.6-3.6</f>
        <v>7174</v>
      </c>
      <c r="J76" s="53" t="e">
        <f>I76/'통장내역(환율표)'!#REF!</f>
        <v>#REF!</v>
      </c>
      <c r="K76" s="263" t="e">
        <f t="shared" si="9"/>
        <v>#REF!</v>
      </c>
      <c r="L76" s="38" t="e">
        <f t="shared" si="10"/>
        <v>#REF!</v>
      </c>
      <c r="M76" s="36" t="s">
        <v>650</v>
      </c>
      <c r="N76" s="45" t="e">
        <f t="shared" si="8"/>
        <v>#REF!</v>
      </c>
    </row>
    <row r="77" spans="1:14" s="5" customFormat="1" ht="13.5" customHeight="1">
      <c r="A77" s="36">
        <v>45037</v>
      </c>
      <c r="B77" s="313" t="s">
        <v>658</v>
      </c>
      <c r="C77" s="305"/>
      <c r="D77" s="303">
        <v>43</v>
      </c>
      <c r="E77" s="36" t="s">
        <v>684</v>
      </c>
      <c r="F77" s="36"/>
      <c r="G77" s="38"/>
      <c r="H77" s="38"/>
      <c r="I77" s="38">
        <v>3.6</v>
      </c>
      <c r="J77" s="53" t="e">
        <f>I77/'통장내역(환율표)'!#REF!</f>
        <v>#REF!</v>
      </c>
      <c r="K77" s="263" t="e">
        <f t="shared" si="9"/>
        <v>#REF!</v>
      </c>
      <c r="L77" s="38" t="e">
        <f t="shared" si="10"/>
        <v>#REF!</v>
      </c>
      <c r="M77" s="36"/>
      <c r="N77" s="45" t="e">
        <f t="shared" si="8"/>
        <v>#REF!</v>
      </c>
    </row>
    <row r="78" spans="1:14" s="5" customFormat="1" ht="13.5" customHeight="1">
      <c r="A78" s="36">
        <v>45040</v>
      </c>
      <c r="B78" s="313" t="s">
        <v>683</v>
      </c>
      <c r="C78" s="305"/>
      <c r="D78" s="303">
        <v>44</v>
      </c>
      <c r="E78" s="36" t="s">
        <v>690</v>
      </c>
      <c r="F78" s="36" t="s">
        <v>691</v>
      </c>
      <c r="G78" s="38"/>
      <c r="H78" s="38"/>
      <c r="I78" s="38">
        <v>1553.87</v>
      </c>
      <c r="J78" s="53" t="e">
        <f>I78/'통장내역(환율표)'!#REF!</f>
        <v>#REF!</v>
      </c>
      <c r="K78" s="263" t="e">
        <f t="shared" si="9"/>
        <v>#REF!</v>
      </c>
      <c r="L78" s="38" t="e">
        <f t="shared" si="10"/>
        <v>#REF!</v>
      </c>
      <c r="M78" s="36"/>
      <c r="N78" s="45" t="e">
        <f t="shared" si="8"/>
        <v>#REF!</v>
      </c>
    </row>
    <row r="79" spans="1:14" s="5" customFormat="1" ht="13.5" customHeight="1">
      <c r="A79" s="36">
        <v>45040</v>
      </c>
      <c r="B79" s="313" t="s">
        <v>658</v>
      </c>
      <c r="C79" s="305"/>
      <c r="D79" s="303">
        <v>45</v>
      </c>
      <c r="E79" s="36" t="s">
        <v>684</v>
      </c>
      <c r="F79" s="36"/>
      <c r="G79" s="38"/>
      <c r="H79" s="38"/>
      <c r="I79" s="38">
        <v>3.6</v>
      </c>
      <c r="J79" s="53" t="e">
        <f>I79/'통장내역(환율표)'!#REF!</f>
        <v>#REF!</v>
      </c>
      <c r="K79" s="263" t="e">
        <f t="shared" si="9"/>
        <v>#REF!</v>
      </c>
      <c r="L79" s="38" t="e">
        <f t="shared" si="10"/>
        <v>#REF!</v>
      </c>
      <c r="M79" s="36"/>
      <c r="N79" s="45" t="e">
        <f t="shared" si="8"/>
        <v>#REF!</v>
      </c>
    </row>
    <row r="80" spans="1:14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2.7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2.7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2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2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2.7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2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50" spans="1:15">
      <c r="B150" s="314"/>
    </row>
    <row r="151" spans="1:15">
      <c r="B151" s="314"/>
    </row>
  </sheetData>
  <autoFilter ref="A18:N149" xr:uid="{00000000-0009-0000-0000-00000F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3" type="noConversion"/>
  <pageMargins left="0.25" right="0.25" top="0.75" bottom="0.75" header="0.3" footer="0.3"/>
  <pageSetup paperSize="9" scale="4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A1:O154"/>
  <sheetViews>
    <sheetView showGridLines="0" zoomScaleNormal="100" workbookViewId="0">
      <pane ySplit="18" topLeftCell="A28" activePane="bottomLeft" state="frozen"/>
      <selection activeCell="H22" sqref="H22"/>
      <selection pane="bottomLeft" activeCell="H22" sqref="H22"/>
    </sheetView>
  </sheetViews>
  <sheetFormatPr defaultRowHeight="17.399999999999999"/>
  <cols>
    <col min="1" max="4" width="11.796875" customWidth="1"/>
    <col min="5" max="5" width="13.5" bestFit="1" customWidth="1"/>
    <col min="6" max="6" width="9.19921875" bestFit="1" customWidth="1"/>
    <col min="7" max="7" width="10.796875" bestFit="1" customWidth="1"/>
    <col min="8" max="8" width="10" bestFit="1" customWidth="1"/>
    <col min="9" max="9" width="11.5976562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15.09765625" customWidth="1"/>
  </cols>
  <sheetData>
    <row r="1" spans="1:14" ht="24">
      <c r="A1" s="1" t="s">
        <v>730</v>
      </c>
      <c r="B1" s="2"/>
      <c r="C1" s="2"/>
      <c r="D1" s="3"/>
      <c r="E1" s="4">
        <v>100021363</v>
      </c>
      <c r="F1" s="130"/>
      <c r="G1" s="299"/>
      <c r="H1" s="299"/>
      <c r="I1" s="299"/>
      <c r="J1" s="299"/>
      <c r="K1" s="299"/>
      <c r="L1" s="5"/>
      <c r="M1" s="5"/>
    </row>
    <row r="2" spans="1:14" s="5" customFormat="1">
      <c r="A2" s="130" t="s">
        <v>694</v>
      </c>
      <c r="B2" s="2"/>
      <c r="C2" s="2"/>
      <c r="E2" s="4">
        <v>100000031</v>
      </c>
      <c r="F2" s="338"/>
      <c r="G2" s="299"/>
      <c r="H2" s="299"/>
      <c r="I2" s="299"/>
      <c r="J2" s="299"/>
      <c r="K2" s="299"/>
      <c r="L2" s="139">
        <v>1200000696</v>
      </c>
    </row>
    <row r="3" spans="1:14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38"/>
      <c r="G3" s="299"/>
      <c r="H3" s="299"/>
      <c r="I3" s="299"/>
      <c r="J3" s="299"/>
      <c r="K3" s="299"/>
    </row>
    <row r="4" spans="1:14" s="5" customFormat="1" ht="15.6">
      <c r="A4" s="114" t="s">
        <v>292</v>
      </c>
      <c r="B4" s="115"/>
      <c r="C4" s="116"/>
      <c r="D4" s="116"/>
      <c r="E4" s="117"/>
      <c r="F4" s="118"/>
      <c r="G4" s="337"/>
      <c r="H4" s="299"/>
      <c r="I4" s="299"/>
      <c r="J4" s="299"/>
      <c r="K4" s="299"/>
      <c r="L4" s="119"/>
    </row>
    <row r="5" spans="1:14" s="5" customFormat="1" ht="15.6">
      <c r="A5" s="114" t="s">
        <v>238</v>
      </c>
      <c r="B5" s="115" t="s">
        <v>12</v>
      </c>
      <c r="C5" s="120">
        <v>17371.86</v>
      </c>
      <c r="D5" s="116">
        <v>2528.1398259452226</v>
      </c>
      <c r="E5" s="117">
        <v>3334364</v>
      </c>
      <c r="F5" s="340">
        <f>E5/C5</f>
        <v>191.94052910856982</v>
      </c>
      <c r="G5" s="337"/>
      <c r="H5" s="299"/>
      <c r="I5" s="299"/>
      <c r="J5" s="299"/>
      <c r="K5" s="299"/>
      <c r="L5" s="240">
        <f>K5+E5</f>
        <v>3334364</v>
      </c>
      <c r="M5" s="296"/>
    </row>
    <row r="6" spans="1:14" s="5" customFormat="1" ht="15.6">
      <c r="A6" s="114" t="s">
        <v>294</v>
      </c>
      <c r="B6" s="115" t="s">
        <v>14</v>
      </c>
      <c r="C6" s="116">
        <v>19002.77</v>
      </c>
      <c r="D6" s="116">
        <v>2765.4873824839192</v>
      </c>
      <c r="E6" s="117">
        <v>3647405</v>
      </c>
      <c r="F6" s="121">
        <v>51061030</v>
      </c>
      <c r="G6" s="337"/>
      <c r="H6" s="299"/>
      <c r="I6" s="299"/>
      <c r="J6" s="299"/>
      <c r="K6" s="299"/>
      <c r="L6" s="240">
        <f t="shared" ref="L6:L10" si="0">K6+E6</f>
        <v>3647405</v>
      </c>
    </row>
    <row r="7" spans="1:14" s="5" customFormat="1" ht="15.6">
      <c r="A7" s="114" t="s">
        <v>75</v>
      </c>
      <c r="B7" s="115" t="s">
        <v>16</v>
      </c>
      <c r="C7" s="116">
        <v>20023</v>
      </c>
      <c r="D7" s="116">
        <v>2913.9622202171322</v>
      </c>
      <c r="E7" s="117">
        <v>3843222</v>
      </c>
      <c r="F7" s="121">
        <v>51201020</v>
      </c>
      <c r="G7" s="337"/>
      <c r="H7" s="299"/>
      <c r="I7" s="299"/>
      <c r="J7" s="299"/>
      <c r="K7" s="299"/>
      <c r="L7" s="240">
        <f t="shared" si="0"/>
        <v>3843222</v>
      </c>
    </row>
    <row r="8" spans="1:14" s="5" customFormat="1" ht="15.6">
      <c r="A8" s="114" t="s">
        <v>75</v>
      </c>
      <c r="B8" s="114" t="s">
        <v>17</v>
      </c>
      <c r="C8" s="116">
        <v>10500</v>
      </c>
      <c r="D8" s="116">
        <v>1528.0728817999245</v>
      </c>
      <c r="E8" s="117">
        <v>2015372</v>
      </c>
      <c r="F8" s="121">
        <v>51201030</v>
      </c>
      <c r="G8" s="337"/>
      <c r="H8" s="299"/>
      <c r="I8" s="299"/>
      <c r="J8" s="299"/>
      <c r="K8" s="299"/>
      <c r="L8" s="240">
        <f t="shared" si="0"/>
        <v>2015372</v>
      </c>
    </row>
    <row r="9" spans="1:14" s="5" customFormat="1" ht="15.6">
      <c r="A9" s="114" t="s">
        <v>296</v>
      </c>
      <c r="B9" s="114" t="s">
        <v>20</v>
      </c>
      <c r="C9" s="116">
        <v>995.6</v>
      </c>
      <c r="D9" s="116">
        <v>144.89041534476235</v>
      </c>
      <c r="E9" s="117">
        <v>191095</v>
      </c>
      <c r="F9" s="121">
        <v>51071700</v>
      </c>
      <c r="G9" s="337"/>
      <c r="H9" s="299"/>
      <c r="I9" s="299"/>
      <c r="J9" s="299"/>
      <c r="K9" s="299"/>
      <c r="L9" s="240">
        <f t="shared" si="0"/>
        <v>191095</v>
      </c>
    </row>
    <row r="10" spans="1:14" s="5" customFormat="1" ht="15.6">
      <c r="A10" s="114" t="s">
        <v>62</v>
      </c>
      <c r="B10" s="115"/>
      <c r="C10" s="116">
        <v>213718.69000000009</v>
      </c>
      <c r="D10" s="116">
        <v>31102.641383124228</v>
      </c>
      <c r="E10" s="117">
        <v>41021272</v>
      </c>
      <c r="F10" s="121">
        <v>51321010</v>
      </c>
      <c r="G10" s="337"/>
      <c r="H10" s="299"/>
      <c r="I10" s="299"/>
      <c r="J10" s="299"/>
      <c r="K10" s="299"/>
      <c r="L10" s="240">
        <f t="shared" si="0"/>
        <v>41021272</v>
      </c>
    </row>
    <row r="11" spans="1:14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337"/>
      <c r="H11" s="299"/>
      <c r="I11" s="299"/>
      <c r="J11" s="299"/>
      <c r="K11" s="299"/>
      <c r="L11" s="119"/>
    </row>
    <row r="12" spans="1:14" s="5" customFormat="1" ht="15.6">
      <c r="A12" s="2045" t="s">
        <v>299</v>
      </c>
      <c r="B12" s="2046"/>
      <c r="C12" s="124">
        <f>SUM(C4:C11)</f>
        <v>281611.9200000001</v>
      </c>
      <c r="D12" s="124">
        <f>SUM(D4:D11)</f>
        <v>40983.194108915188</v>
      </c>
      <c r="E12" s="125">
        <f>SUM(E4:E11)</f>
        <v>54052730</v>
      </c>
      <c r="F12" s="121">
        <v>52981010</v>
      </c>
      <c r="G12" s="337"/>
      <c r="H12" s="299"/>
      <c r="I12" s="299"/>
      <c r="J12" s="299"/>
      <c r="K12" s="299"/>
      <c r="L12" s="119"/>
    </row>
    <row r="13" spans="1:14" s="5" customFormat="1" ht="15.6">
      <c r="A13" s="126"/>
      <c r="B13" s="307"/>
      <c r="C13" s="308">
        <f>C12+I12</f>
        <v>281611.9200000001</v>
      </c>
      <c r="D13" s="308">
        <f t="shared" ref="D13:E13" si="1">D12+J12</f>
        <v>40983.194108915188</v>
      </c>
      <c r="E13" s="309">
        <f t="shared" si="1"/>
        <v>54052730</v>
      </c>
      <c r="F13" s="315"/>
      <c r="G13" s="130"/>
      <c r="H13" s="130"/>
      <c r="I13" s="131"/>
      <c r="J13" s="130"/>
      <c r="K13" s="280"/>
      <c r="L13" s="245">
        <v>2425.7418328151257</v>
      </c>
      <c r="N13" s="45"/>
    </row>
    <row r="14" spans="1:14" s="5" customFormat="1" ht="15.6">
      <c r="A14" s="126"/>
      <c r="B14" s="307"/>
      <c r="C14" s="308"/>
      <c r="D14" s="308"/>
      <c r="E14" s="309"/>
      <c r="F14" s="309"/>
      <c r="G14" s="310"/>
      <c r="H14" s="130"/>
      <c r="I14" s="131"/>
      <c r="J14" s="130"/>
      <c r="K14" s="280"/>
      <c r="L14" s="245"/>
      <c r="N14" s="45"/>
    </row>
    <row r="15" spans="1:14" s="5" customFormat="1" ht="15.6">
      <c r="A15" s="126"/>
      <c r="B15" s="307"/>
      <c r="C15" s="308"/>
      <c r="D15" s="308"/>
      <c r="G15" s="130"/>
      <c r="H15" s="130"/>
      <c r="I15" s="131"/>
      <c r="J15" s="130"/>
      <c r="K15" s="280"/>
      <c r="L15" s="245"/>
      <c r="N15" s="45"/>
    </row>
    <row r="16" spans="1:14" s="5" customFormat="1" ht="15.6">
      <c r="B16" s="134">
        <v>13081010</v>
      </c>
      <c r="C16" s="135"/>
      <c r="D16" s="135"/>
      <c r="G16" s="6"/>
      <c r="H16" s="137"/>
      <c r="I16" s="137">
        <f>SUBTOTAL(9,I19:I163)</f>
        <v>281611.91999999993</v>
      </c>
      <c r="J16" s="137" t="e">
        <f>SUBTOTAL(9,J19:J161)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105">
        <v>45046</v>
      </c>
      <c r="B19" s="330" t="s">
        <v>65</v>
      </c>
      <c r="C19" s="331"/>
      <c r="D19" s="106"/>
      <c r="E19" s="107"/>
      <c r="F19" s="106"/>
      <c r="G19" s="108"/>
      <c r="H19" s="108"/>
      <c r="I19" s="108"/>
      <c r="J19" s="108"/>
      <c r="K19" s="108">
        <v>361004.39867047413</v>
      </c>
      <c r="L19" s="108">
        <v>52537.300488016503</v>
      </c>
      <c r="M19" s="106"/>
      <c r="N19" s="45">
        <v>52537.299947243904</v>
      </c>
    </row>
    <row r="20" spans="1:14" s="5" customFormat="1" ht="13.5" customHeight="1">
      <c r="A20" s="332">
        <v>45057</v>
      </c>
      <c r="B20" s="335" t="s">
        <v>697</v>
      </c>
      <c r="C20" s="160"/>
      <c r="D20" s="282">
        <v>1</v>
      </c>
      <c r="E20" s="33" t="s">
        <v>107</v>
      </c>
      <c r="F20" s="35"/>
      <c r="G20" s="103"/>
      <c r="H20" s="38"/>
      <c r="I20" s="267">
        <v>2000</v>
      </c>
      <c r="J20" s="53" t="e">
        <f>I20/'통장내역(환율표)'!#REF!</f>
        <v>#REF!</v>
      </c>
      <c r="K20" s="263">
        <f>K19+G20-I20</f>
        <v>359004.39867047413</v>
      </c>
      <c r="L20" s="263" t="e">
        <f>L19+H20-J20</f>
        <v>#REF!</v>
      </c>
      <c r="M20" s="36"/>
      <c r="N20" s="45" t="e">
        <f>N19-J20+H20</f>
        <v>#REF!</v>
      </c>
    </row>
    <row r="21" spans="1:14" s="5" customFormat="1" ht="13.5" customHeight="1">
      <c r="A21" s="332">
        <v>45057</v>
      </c>
      <c r="B21" s="313" t="s">
        <v>250</v>
      </c>
      <c r="C21" s="160"/>
      <c r="D21" s="282">
        <v>2</v>
      </c>
      <c r="E21" s="33" t="s">
        <v>107</v>
      </c>
      <c r="F21" s="35"/>
      <c r="G21" s="103"/>
      <c r="H21" s="38"/>
      <c r="I21" s="267">
        <v>3.6</v>
      </c>
      <c r="J21" s="53" t="e">
        <f>I21/'통장내역(환율표)'!#REF!</f>
        <v>#REF!</v>
      </c>
      <c r="K21" s="263">
        <f t="shared" ref="K21:K33" si="2">K20+G21-I21</f>
        <v>359000.79867047415</v>
      </c>
      <c r="L21" s="263" t="e">
        <f t="shared" ref="L21:L33" si="3">L20+H21-J21</f>
        <v>#REF!</v>
      </c>
      <c r="M21" s="36"/>
      <c r="N21" s="45" t="e">
        <f t="shared" ref="N21:N82" si="4">N20-J21+H21</f>
        <v>#REF!</v>
      </c>
    </row>
    <row r="22" spans="1:14" s="5" customFormat="1" ht="13.5" customHeight="1">
      <c r="A22" s="332">
        <v>45063</v>
      </c>
      <c r="B22" s="335" t="s">
        <v>698</v>
      </c>
      <c r="C22" s="305"/>
      <c r="D22" s="282">
        <v>3</v>
      </c>
      <c r="E22" s="36" t="s">
        <v>107</v>
      </c>
      <c r="F22" s="36"/>
      <c r="G22" s="38"/>
      <c r="H22" s="38"/>
      <c r="I22" s="267">
        <v>80</v>
      </c>
      <c r="J22" s="53" t="e">
        <f>I22/'통장내역(환율표)'!#REF!</f>
        <v>#REF!</v>
      </c>
      <c r="K22" s="263">
        <f t="shared" si="2"/>
        <v>358920.79867047415</v>
      </c>
      <c r="L22" s="263" t="e">
        <f t="shared" si="3"/>
        <v>#REF!</v>
      </c>
      <c r="M22" s="36"/>
      <c r="N22" s="45" t="e">
        <f t="shared" si="4"/>
        <v>#REF!</v>
      </c>
    </row>
    <row r="23" spans="1:14" s="5" customFormat="1" ht="13.5" customHeight="1">
      <c r="A23" s="332">
        <v>45063</v>
      </c>
      <c r="B23" s="313" t="s">
        <v>131</v>
      </c>
      <c r="C23" s="305"/>
      <c r="D23" s="282">
        <v>4</v>
      </c>
      <c r="E23" s="36" t="s">
        <v>107</v>
      </c>
      <c r="F23" s="36"/>
      <c r="G23" s="38"/>
      <c r="H23" s="38"/>
      <c r="I23" s="267">
        <v>7612.23</v>
      </c>
      <c r="J23" s="53" t="e">
        <f>I23/'통장내역(환율표)'!#REF!</f>
        <v>#REF!</v>
      </c>
      <c r="K23" s="263">
        <f t="shared" si="2"/>
        <v>351308.56867047417</v>
      </c>
      <c r="L23" s="263" t="e">
        <f t="shared" si="3"/>
        <v>#REF!</v>
      </c>
      <c r="M23" s="36"/>
      <c r="N23" s="45" t="e">
        <f t="shared" si="4"/>
        <v>#REF!</v>
      </c>
    </row>
    <row r="24" spans="1:14" s="5" customFormat="1" ht="13.5" customHeight="1">
      <c r="A24" s="332">
        <v>45063</v>
      </c>
      <c r="B24" s="313" t="s">
        <v>133</v>
      </c>
      <c r="C24" s="305"/>
      <c r="D24" s="282">
        <v>4</v>
      </c>
      <c r="E24" s="36" t="s">
        <v>107</v>
      </c>
      <c r="F24" s="36"/>
      <c r="G24" s="38"/>
      <c r="H24" s="38"/>
      <c r="I24" s="267">
        <v>2902.2899999999991</v>
      </c>
      <c r="J24" s="53" t="e">
        <f>I24/'통장내역(환율표)'!#REF!</f>
        <v>#REF!</v>
      </c>
      <c r="K24" s="263">
        <f t="shared" si="2"/>
        <v>348406.27867047419</v>
      </c>
      <c r="L24" s="263" t="e">
        <f t="shared" si="3"/>
        <v>#REF!</v>
      </c>
      <c r="M24" s="36"/>
      <c r="N24" s="45" t="e">
        <f t="shared" si="4"/>
        <v>#REF!</v>
      </c>
    </row>
    <row r="25" spans="1:14" s="5" customFormat="1" ht="13.5" customHeight="1">
      <c r="A25" s="332">
        <v>45063</v>
      </c>
      <c r="B25" s="313" t="s">
        <v>456</v>
      </c>
      <c r="C25" s="305"/>
      <c r="D25" s="282">
        <v>4</v>
      </c>
      <c r="E25" s="36" t="s">
        <v>107</v>
      </c>
      <c r="F25" s="36"/>
      <c r="G25" s="38"/>
      <c r="H25" s="38"/>
      <c r="I25" s="267">
        <v>15000</v>
      </c>
      <c r="J25" s="53" t="e">
        <f>I25/'통장내역(환율표)'!#REF!</f>
        <v>#REF!</v>
      </c>
      <c r="K25" s="263">
        <f t="shared" si="2"/>
        <v>333406.27867047419</v>
      </c>
      <c r="L25" s="263" t="e">
        <f t="shared" si="3"/>
        <v>#REF!</v>
      </c>
      <c r="M25" s="36"/>
      <c r="N25" s="45" t="e">
        <f t="shared" si="4"/>
        <v>#REF!</v>
      </c>
    </row>
    <row r="26" spans="1:14" s="5" customFormat="1" ht="13.5" customHeight="1">
      <c r="A26" s="332">
        <v>45063</v>
      </c>
      <c r="B26" s="313" t="s">
        <v>457</v>
      </c>
      <c r="C26" s="305"/>
      <c r="D26" s="282">
        <v>4</v>
      </c>
      <c r="E26" s="36" t="s">
        <v>107</v>
      </c>
      <c r="F26" s="36"/>
      <c r="G26" s="38"/>
      <c r="H26" s="38"/>
      <c r="I26" s="267">
        <v>22000</v>
      </c>
      <c r="J26" s="53" t="e">
        <f>I26/'통장내역(환율표)'!#REF!</f>
        <v>#REF!</v>
      </c>
      <c r="K26" s="263">
        <f t="shared" si="2"/>
        <v>311406.27867047419</v>
      </c>
      <c r="L26" s="263" t="e">
        <f t="shared" si="3"/>
        <v>#REF!</v>
      </c>
      <c r="M26" s="36"/>
      <c r="N26" s="45" t="e">
        <f t="shared" si="4"/>
        <v>#REF!</v>
      </c>
    </row>
    <row r="27" spans="1:14" s="5" customFormat="1" ht="13.5" customHeight="1">
      <c r="A27" s="332">
        <v>45063</v>
      </c>
      <c r="B27" s="313" t="s">
        <v>130</v>
      </c>
      <c r="C27" s="305"/>
      <c r="D27" s="282">
        <v>4</v>
      </c>
      <c r="E27" s="36" t="s">
        <v>107</v>
      </c>
      <c r="F27" s="36"/>
      <c r="G27" s="38"/>
      <c r="H27" s="38"/>
      <c r="I27" s="267">
        <v>300</v>
      </c>
      <c r="J27" s="53" t="e">
        <f>I27/'통장내역(환율표)'!#REF!</f>
        <v>#REF!</v>
      </c>
      <c r="K27" s="263">
        <f t="shared" si="2"/>
        <v>311106.27867047419</v>
      </c>
      <c r="L27" s="263" t="e">
        <f t="shared" si="3"/>
        <v>#REF!</v>
      </c>
      <c r="M27" s="36"/>
      <c r="N27" s="45" t="e">
        <f t="shared" si="4"/>
        <v>#REF!</v>
      </c>
    </row>
    <row r="28" spans="1:14" s="5" customFormat="1" ht="13.5" customHeight="1">
      <c r="A28" s="332">
        <v>45063</v>
      </c>
      <c r="B28" s="313" t="s">
        <v>131</v>
      </c>
      <c r="C28" s="305"/>
      <c r="D28" s="282">
        <v>4</v>
      </c>
      <c r="E28" s="36" t="s">
        <v>107</v>
      </c>
      <c r="F28" s="36"/>
      <c r="G28" s="38"/>
      <c r="H28" s="38"/>
      <c r="I28" s="267">
        <v>4237.2299999999996</v>
      </c>
      <c r="J28" s="53" t="e">
        <f>I28/'통장내역(환율표)'!#REF!</f>
        <v>#REF!</v>
      </c>
      <c r="K28" s="263">
        <f t="shared" si="2"/>
        <v>306869.04867047421</v>
      </c>
      <c r="L28" s="263" t="e">
        <f t="shared" si="3"/>
        <v>#REF!</v>
      </c>
      <c r="M28" s="36"/>
      <c r="N28" s="45" t="e">
        <f t="shared" si="4"/>
        <v>#REF!</v>
      </c>
    </row>
    <row r="29" spans="1:14" s="5" customFormat="1" ht="13.5" customHeight="1">
      <c r="A29" s="332">
        <v>45063</v>
      </c>
      <c r="B29" s="313" t="s">
        <v>133</v>
      </c>
      <c r="C29" s="305"/>
      <c r="D29" s="282">
        <v>4</v>
      </c>
      <c r="E29" s="36" t="s">
        <v>107</v>
      </c>
      <c r="F29" s="36"/>
      <c r="G29" s="38"/>
      <c r="H29" s="38"/>
      <c r="I29" s="267">
        <v>564.28999999999905</v>
      </c>
      <c r="J29" s="53" t="e">
        <f>I29/'통장내역(환율표)'!#REF!</f>
        <v>#REF!</v>
      </c>
      <c r="K29" s="263">
        <f t="shared" si="2"/>
        <v>306304.75867047423</v>
      </c>
      <c r="L29" s="263" t="e">
        <f t="shared" si="3"/>
        <v>#REF!</v>
      </c>
      <c r="M29" s="36"/>
      <c r="N29" s="45" t="e">
        <f t="shared" si="4"/>
        <v>#REF!</v>
      </c>
    </row>
    <row r="30" spans="1:14" s="5" customFormat="1" ht="13.5" customHeight="1">
      <c r="A30" s="332">
        <v>45063</v>
      </c>
      <c r="B30" s="313" t="s">
        <v>456</v>
      </c>
      <c r="C30" s="305"/>
      <c r="D30" s="282">
        <v>4</v>
      </c>
      <c r="E30" s="36" t="s">
        <v>107</v>
      </c>
      <c r="F30" s="36"/>
      <c r="G30" s="38"/>
      <c r="H30" s="38"/>
      <c r="I30" s="267">
        <v>15000</v>
      </c>
      <c r="J30" s="53" t="e">
        <f>I30/'통장내역(환율표)'!#REF!</f>
        <v>#REF!</v>
      </c>
      <c r="K30" s="263">
        <f t="shared" si="2"/>
        <v>291304.75867047423</v>
      </c>
      <c r="L30" s="263" t="e">
        <f t="shared" si="3"/>
        <v>#REF!</v>
      </c>
      <c r="M30" s="36"/>
      <c r="N30" s="45" t="e">
        <f t="shared" si="4"/>
        <v>#REF!</v>
      </c>
    </row>
    <row r="31" spans="1:14" s="5" customFormat="1" ht="13.5" customHeight="1">
      <c r="A31" s="332">
        <v>45063</v>
      </c>
      <c r="B31" s="313" t="s">
        <v>457</v>
      </c>
      <c r="C31" s="305"/>
      <c r="D31" s="282">
        <v>4</v>
      </c>
      <c r="E31" s="36" t="s">
        <v>107</v>
      </c>
      <c r="F31" s="36"/>
      <c r="G31" s="38"/>
      <c r="H31" s="38"/>
      <c r="I31" s="267">
        <v>22000</v>
      </c>
      <c r="J31" s="53" t="e">
        <f>I31/'통장내역(환율표)'!#REF!</f>
        <v>#REF!</v>
      </c>
      <c r="K31" s="263">
        <f t="shared" si="2"/>
        <v>269304.75867047423</v>
      </c>
      <c r="L31" s="263" t="e">
        <f t="shared" si="3"/>
        <v>#REF!</v>
      </c>
      <c r="M31" s="36"/>
      <c r="N31" s="45" t="e">
        <f t="shared" si="4"/>
        <v>#REF!</v>
      </c>
    </row>
    <row r="32" spans="1:14" s="5" customFormat="1" ht="13.5" customHeight="1">
      <c r="A32" s="332">
        <v>45063</v>
      </c>
      <c r="B32" s="313" t="s">
        <v>130</v>
      </c>
      <c r="C32" s="305"/>
      <c r="D32" s="282">
        <v>4</v>
      </c>
      <c r="E32" s="36" t="s">
        <v>107</v>
      </c>
      <c r="F32" s="36"/>
      <c r="G32" s="38"/>
      <c r="H32" s="38"/>
      <c r="I32" s="267">
        <v>300</v>
      </c>
      <c r="J32" s="53" t="e">
        <f>I32/'통장내역(환율표)'!#REF!</f>
        <v>#REF!</v>
      </c>
      <c r="K32" s="263">
        <f t="shared" si="2"/>
        <v>269004.75867047423</v>
      </c>
      <c r="L32" s="263" t="e">
        <f t="shared" si="3"/>
        <v>#REF!</v>
      </c>
      <c r="M32" s="36"/>
      <c r="N32" s="45" t="e">
        <f t="shared" si="4"/>
        <v>#REF!</v>
      </c>
    </row>
    <row r="33" spans="1:14" s="5" customFormat="1" ht="13.5" customHeight="1">
      <c r="A33" s="332">
        <v>45063</v>
      </c>
      <c r="B33" s="313" t="s">
        <v>871</v>
      </c>
      <c r="C33" s="305"/>
      <c r="D33" s="282">
        <v>4</v>
      </c>
      <c r="E33" s="36" t="s">
        <v>107</v>
      </c>
      <c r="F33" s="36"/>
      <c r="G33" s="38"/>
      <c r="H33" s="38"/>
      <c r="I33" s="267">
        <v>5054.3900000000003</v>
      </c>
      <c r="J33" s="53" t="e">
        <f>I33/'통장내역(환율표)'!#REF!</f>
        <v>#REF!</v>
      </c>
      <c r="K33" s="263">
        <f t="shared" si="2"/>
        <v>263950.36867047421</v>
      </c>
      <c r="L33" s="263" t="e">
        <f t="shared" si="3"/>
        <v>#REF!</v>
      </c>
      <c r="M33" s="36"/>
      <c r="N33" s="45" t="e">
        <f t="shared" si="4"/>
        <v>#REF!</v>
      </c>
    </row>
    <row r="34" spans="1:14" s="5" customFormat="1" ht="13.5" customHeight="1">
      <c r="A34" s="332">
        <v>45063</v>
      </c>
      <c r="B34" s="313" t="s">
        <v>594</v>
      </c>
      <c r="C34" s="305"/>
      <c r="D34" s="282">
        <v>4</v>
      </c>
      <c r="E34" s="36" t="s">
        <v>107</v>
      </c>
      <c r="F34" s="36"/>
      <c r="G34" s="38"/>
      <c r="H34" s="38"/>
      <c r="I34" s="267">
        <v>37500</v>
      </c>
      <c r="J34" s="53" t="e">
        <f>I34/'통장내역(환율표)'!#REF!</f>
        <v>#REF!</v>
      </c>
      <c r="K34" s="263">
        <f t="shared" ref="K34:K82" si="5">K33+G34-I34</f>
        <v>226450.36867047421</v>
      </c>
      <c r="L34" s="263" t="e">
        <f t="shared" ref="L34:L82" si="6">L33+H34-J34</f>
        <v>#REF!</v>
      </c>
      <c r="M34" s="36"/>
      <c r="N34" s="45" t="e">
        <f t="shared" si="4"/>
        <v>#REF!</v>
      </c>
    </row>
    <row r="35" spans="1:14" s="5" customFormat="1" ht="13.5" customHeight="1">
      <c r="A35" s="332">
        <v>45063</v>
      </c>
      <c r="B35" s="313" t="s">
        <v>873</v>
      </c>
      <c r="C35" s="305"/>
      <c r="D35" s="282">
        <v>4</v>
      </c>
      <c r="E35" s="36" t="s">
        <v>107</v>
      </c>
      <c r="F35" s="36"/>
      <c r="G35" s="38"/>
      <c r="H35" s="38"/>
      <c r="I35" s="267">
        <v>300</v>
      </c>
      <c r="J35" s="53" t="e">
        <f>I35/'통장내역(환율표)'!#REF!</f>
        <v>#REF!</v>
      </c>
      <c r="K35" s="263">
        <f t="shared" si="5"/>
        <v>226150.36867047421</v>
      </c>
      <c r="L35" s="263" t="e">
        <f t="shared" si="6"/>
        <v>#REF!</v>
      </c>
      <c r="M35" s="36"/>
      <c r="N35" s="45" t="e">
        <f t="shared" si="4"/>
        <v>#REF!</v>
      </c>
    </row>
    <row r="36" spans="1:14" s="5" customFormat="1" ht="13.5" customHeight="1">
      <c r="A36" s="332">
        <v>45063</v>
      </c>
      <c r="B36" s="313" t="s">
        <v>250</v>
      </c>
      <c r="C36" s="305"/>
      <c r="D36" s="282">
        <v>5</v>
      </c>
      <c r="E36" s="36" t="s">
        <v>107</v>
      </c>
      <c r="F36" s="36"/>
      <c r="G36" s="38"/>
      <c r="H36" s="38"/>
      <c r="I36" s="267">
        <v>12</v>
      </c>
      <c r="J36" s="53" t="e">
        <f>I36/'통장내역(환율표)'!#REF!</f>
        <v>#REF!</v>
      </c>
      <c r="K36" s="263">
        <f t="shared" si="5"/>
        <v>226138.36867047421</v>
      </c>
      <c r="L36" s="263" t="e">
        <f t="shared" si="6"/>
        <v>#REF!</v>
      </c>
      <c r="M36" s="36"/>
      <c r="N36" s="45" t="e">
        <f t="shared" si="4"/>
        <v>#REF!</v>
      </c>
    </row>
    <row r="37" spans="1:14" s="5" customFormat="1" ht="13.5" customHeight="1">
      <c r="A37" s="332">
        <v>45068</v>
      </c>
      <c r="B37" s="335" t="s">
        <v>240</v>
      </c>
      <c r="C37" s="305"/>
      <c r="D37" s="282">
        <v>6</v>
      </c>
      <c r="E37" s="36" t="s">
        <v>105</v>
      </c>
      <c r="F37" s="36" t="s">
        <v>106</v>
      </c>
      <c r="G37" s="38"/>
      <c r="H37" s="38"/>
      <c r="I37" s="267">
        <v>20023</v>
      </c>
      <c r="J37" s="53" t="e">
        <f>I37/'통장내역(환율표)'!#REF!</f>
        <v>#REF!</v>
      </c>
      <c r="K37" s="263">
        <f t="shared" si="5"/>
        <v>206115.36867047421</v>
      </c>
      <c r="L37" s="263" t="e">
        <f t="shared" si="6"/>
        <v>#REF!</v>
      </c>
      <c r="M37" s="36"/>
      <c r="N37" s="45" t="e">
        <f t="shared" si="4"/>
        <v>#REF!</v>
      </c>
    </row>
    <row r="38" spans="1:14" s="5" customFormat="1" ht="13.5" customHeight="1">
      <c r="A38" s="332">
        <v>45068</v>
      </c>
      <c r="B38" s="313" t="s">
        <v>250</v>
      </c>
      <c r="C38" s="305"/>
      <c r="D38" s="282">
        <v>7</v>
      </c>
      <c r="E38" s="36" t="s">
        <v>107</v>
      </c>
      <c r="F38" s="36"/>
      <c r="G38" s="38"/>
      <c r="H38" s="38"/>
      <c r="I38" s="333">
        <v>7.2</v>
      </c>
      <c r="J38" s="53" t="e">
        <f>I38/'통장내역(환율표)'!#REF!</f>
        <v>#REF!</v>
      </c>
      <c r="K38" s="263">
        <f t="shared" si="5"/>
        <v>206108.1686704742</v>
      </c>
      <c r="L38" s="263" t="e">
        <f t="shared" si="6"/>
        <v>#REF!</v>
      </c>
      <c r="M38" s="36"/>
      <c r="N38" s="45" t="e">
        <f t="shared" si="4"/>
        <v>#REF!</v>
      </c>
    </row>
    <row r="39" spans="1:14" s="5" customFormat="1" ht="13.5" customHeight="1">
      <c r="A39" s="332">
        <v>45068</v>
      </c>
      <c r="B39" s="335" t="s">
        <v>699</v>
      </c>
      <c r="C39" s="305"/>
      <c r="D39" s="282">
        <v>8</v>
      </c>
      <c r="E39" s="36" t="s">
        <v>107</v>
      </c>
      <c r="F39" s="36"/>
      <c r="G39" s="38"/>
      <c r="H39" s="38"/>
      <c r="I39" s="269">
        <v>617.25</v>
      </c>
      <c r="J39" s="53" t="e">
        <f>I39/'통장내역(환율표)'!#REF!</f>
        <v>#REF!</v>
      </c>
      <c r="K39" s="263">
        <f t="shared" si="5"/>
        <v>205490.9186704742</v>
      </c>
      <c r="L39" s="263" t="e">
        <f t="shared" si="6"/>
        <v>#REF!</v>
      </c>
      <c r="M39" s="36"/>
      <c r="N39" s="45" t="e">
        <f t="shared" si="4"/>
        <v>#REF!</v>
      </c>
    </row>
    <row r="40" spans="1:14" s="5" customFormat="1" ht="13.5" customHeight="1">
      <c r="A40" s="332">
        <v>45068</v>
      </c>
      <c r="B40" s="313" t="s">
        <v>250</v>
      </c>
      <c r="C40" s="305"/>
      <c r="D40" s="282">
        <v>9</v>
      </c>
      <c r="E40" s="36" t="s">
        <v>107</v>
      </c>
      <c r="F40" s="36"/>
      <c r="G40" s="38"/>
      <c r="H40" s="38"/>
      <c r="I40" s="269">
        <v>3.6</v>
      </c>
      <c r="J40" s="53" t="e">
        <f>I40/'통장내역(환율표)'!#REF!</f>
        <v>#REF!</v>
      </c>
      <c r="K40" s="263">
        <f t="shared" si="5"/>
        <v>205487.3186704742</v>
      </c>
      <c r="L40" s="263" t="e">
        <f t="shared" si="6"/>
        <v>#REF!</v>
      </c>
      <c r="M40" s="36"/>
      <c r="N40" s="45" t="e">
        <f t="shared" si="4"/>
        <v>#REF!</v>
      </c>
    </row>
    <row r="41" spans="1:14" s="5" customFormat="1" ht="13.5" customHeight="1">
      <c r="A41" s="332">
        <v>45068</v>
      </c>
      <c r="B41" s="313" t="s">
        <v>346</v>
      </c>
      <c r="C41" s="305"/>
      <c r="D41" s="282">
        <v>10</v>
      </c>
      <c r="E41" s="36" t="s">
        <v>105</v>
      </c>
      <c r="F41" s="36" t="s">
        <v>227</v>
      </c>
      <c r="G41" s="38"/>
      <c r="H41" s="38"/>
      <c r="I41" s="38">
        <v>10500</v>
      </c>
      <c r="J41" s="53" t="e">
        <f>I41/'통장내역(환율표)'!#REF!</f>
        <v>#REF!</v>
      </c>
      <c r="K41" s="263">
        <f t="shared" si="5"/>
        <v>194987.3186704742</v>
      </c>
      <c r="L41" s="263" t="e">
        <f t="shared" si="6"/>
        <v>#REF!</v>
      </c>
      <c r="M41" s="36"/>
      <c r="N41" s="45" t="e">
        <f t="shared" si="4"/>
        <v>#REF!</v>
      </c>
    </row>
    <row r="42" spans="1:14" s="5" customFormat="1" ht="13.5" customHeight="1">
      <c r="A42" s="332">
        <v>45068</v>
      </c>
      <c r="B42" s="313" t="s">
        <v>347</v>
      </c>
      <c r="C42" s="305"/>
      <c r="D42" s="282">
        <v>10</v>
      </c>
      <c r="E42" s="36" t="s">
        <v>107</v>
      </c>
      <c r="F42" s="36"/>
      <c r="G42" s="38"/>
      <c r="H42" s="38"/>
      <c r="I42" s="38">
        <v>6000</v>
      </c>
      <c r="J42" s="53" t="e">
        <f>I42/'통장내역(환율표)'!#REF!</f>
        <v>#REF!</v>
      </c>
      <c r="K42" s="263">
        <f t="shared" si="5"/>
        <v>188987.3186704742</v>
      </c>
      <c r="L42" s="263" t="e">
        <f t="shared" si="6"/>
        <v>#REF!</v>
      </c>
      <c r="M42" s="36"/>
      <c r="N42" s="45" t="e">
        <f t="shared" si="4"/>
        <v>#REF!</v>
      </c>
    </row>
    <row r="43" spans="1:14" s="5" customFormat="1" ht="13.5" customHeight="1">
      <c r="A43" s="332">
        <v>45068</v>
      </c>
      <c r="B43" s="313" t="s">
        <v>351</v>
      </c>
      <c r="C43" s="305"/>
      <c r="D43" s="282">
        <v>10</v>
      </c>
      <c r="E43" s="36" t="s">
        <v>107</v>
      </c>
      <c r="F43" s="36"/>
      <c r="G43" s="38"/>
      <c r="H43" s="38"/>
      <c r="I43" s="269">
        <v>890</v>
      </c>
      <c r="J43" s="53" t="e">
        <f>I43/'통장내역(환율표)'!#REF!</f>
        <v>#REF!</v>
      </c>
      <c r="K43" s="263">
        <f t="shared" si="5"/>
        <v>188097.3186704742</v>
      </c>
      <c r="L43" s="263" t="e">
        <f t="shared" si="6"/>
        <v>#REF!</v>
      </c>
      <c r="M43" s="36" t="s">
        <v>710</v>
      </c>
      <c r="N43" s="45" t="e">
        <f t="shared" si="4"/>
        <v>#REF!</v>
      </c>
    </row>
    <row r="44" spans="1:14" s="5" customFormat="1" ht="13.5" customHeight="1">
      <c r="A44" s="332">
        <v>45068</v>
      </c>
      <c r="B44" s="313" t="s">
        <v>250</v>
      </c>
      <c r="C44" s="305"/>
      <c r="D44" s="282">
        <v>11</v>
      </c>
      <c r="E44" s="36" t="s">
        <v>107</v>
      </c>
      <c r="F44" s="36"/>
      <c r="G44" s="38"/>
      <c r="H44" s="38"/>
      <c r="I44" s="269">
        <v>7.2</v>
      </c>
      <c r="J44" s="53" t="e">
        <f>I44/'통장내역(환율표)'!#REF!</f>
        <v>#REF!</v>
      </c>
      <c r="K44" s="263">
        <f t="shared" si="5"/>
        <v>188090.11867047418</v>
      </c>
      <c r="L44" s="263" t="e">
        <f t="shared" si="6"/>
        <v>#REF!</v>
      </c>
      <c r="M44" s="36"/>
      <c r="N44" s="45" t="e">
        <f t="shared" si="4"/>
        <v>#REF!</v>
      </c>
    </row>
    <row r="45" spans="1:14" s="5" customFormat="1" ht="13.5" customHeight="1">
      <c r="A45" s="332">
        <v>45068</v>
      </c>
      <c r="B45" s="335" t="s">
        <v>700</v>
      </c>
      <c r="C45" s="305"/>
      <c r="D45" s="282">
        <v>12</v>
      </c>
      <c r="E45" s="36" t="s">
        <v>107</v>
      </c>
      <c r="F45" s="36"/>
      <c r="G45" s="38"/>
      <c r="H45" s="38"/>
      <c r="I45" s="269">
        <v>1010</v>
      </c>
      <c r="J45" s="53" t="e">
        <f>I45/'통장내역(환율표)'!#REF!</f>
        <v>#REF!</v>
      </c>
      <c r="K45" s="263">
        <f t="shared" si="5"/>
        <v>187080.11867047418</v>
      </c>
      <c r="L45" s="263" t="e">
        <f t="shared" si="6"/>
        <v>#REF!</v>
      </c>
      <c r="M45" s="36"/>
      <c r="N45" s="45" t="e">
        <f t="shared" si="4"/>
        <v>#REF!</v>
      </c>
    </row>
    <row r="46" spans="1:14" s="5" customFormat="1" ht="13.5" customHeight="1">
      <c r="A46" s="332">
        <v>45068</v>
      </c>
      <c r="B46" s="313" t="s">
        <v>250</v>
      </c>
      <c r="C46" s="305"/>
      <c r="D46" s="282">
        <v>13</v>
      </c>
      <c r="E46" s="36" t="s">
        <v>107</v>
      </c>
      <c r="F46" s="36"/>
      <c r="G46" s="38"/>
      <c r="H46" s="38"/>
      <c r="I46" s="269">
        <v>3.6</v>
      </c>
      <c r="J46" s="53" t="e">
        <f>I46/'통장내역(환율표)'!#REF!</f>
        <v>#REF!</v>
      </c>
      <c r="K46" s="263">
        <f t="shared" si="5"/>
        <v>187076.51867047418</v>
      </c>
      <c r="L46" s="263" t="e">
        <f t="shared" si="6"/>
        <v>#REF!</v>
      </c>
      <c r="M46" s="36"/>
      <c r="N46" s="45" t="e">
        <f t="shared" si="4"/>
        <v>#REF!</v>
      </c>
    </row>
    <row r="47" spans="1:14" s="5" customFormat="1" ht="13.5" customHeight="1">
      <c r="A47" s="332">
        <v>45068</v>
      </c>
      <c r="B47" s="335" t="s">
        <v>127</v>
      </c>
      <c r="C47" s="305"/>
      <c r="D47" s="283">
        <v>14</v>
      </c>
      <c r="E47" s="36" t="s">
        <v>146</v>
      </c>
      <c r="F47" s="36" t="s">
        <v>147</v>
      </c>
      <c r="G47" s="38"/>
      <c r="H47" s="38"/>
      <c r="I47" s="269">
        <v>74.25</v>
      </c>
      <c r="J47" s="53" t="e">
        <f>I47/'통장내역(환율표)'!#REF!</f>
        <v>#REF!</v>
      </c>
      <c r="K47" s="263">
        <f t="shared" si="5"/>
        <v>187002.26867047418</v>
      </c>
      <c r="L47" s="263" t="e">
        <f t="shared" si="6"/>
        <v>#REF!</v>
      </c>
      <c r="M47" s="36" t="s">
        <v>711</v>
      </c>
      <c r="N47" s="45" t="e">
        <f t="shared" si="4"/>
        <v>#REF!</v>
      </c>
    </row>
    <row r="48" spans="1:14" s="5" customFormat="1" ht="13.5" customHeight="1">
      <c r="A48" s="332">
        <v>45068</v>
      </c>
      <c r="B48" s="335" t="s">
        <v>712</v>
      </c>
      <c r="C48" s="305"/>
      <c r="D48" s="283">
        <v>15</v>
      </c>
      <c r="E48" s="36" t="s">
        <v>107</v>
      </c>
      <c r="F48" s="36"/>
      <c r="G48" s="38"/>
      <c r="H48" s="38"/>
      <c r="I48" s="269">
        <v>55</v>
      </c>
      <c r="J48" s="53" t="e">
        <f>I48/'통장내역(환율표)'!#REF!</f>
        <v>#REF!</v>
      </c>
      <c r="K48" s="263">
        <f t="shared" si="5"/>
        <v>186947.26867047418</v>
      </c>
      <c r="L48" s="263" t="e">
        <f t="shared" si="6"/>
        <v>#REF!</v>
      </c>
      <c r="M48" s="36" t="s">
        <v>713</v>
      </c>
      <c r="N48" s="45" t="e">
        <f t="shared" si="4"/>
        <v>#REF!</v>
      </c>
    </row>
    <row r="49" spans="1:14" s="5" customFormat="1" ht="13.5" customHeight="1">
      <c r="A49" s="332">
        <v>45068</v>
      </c>
      <c r="B49" s="335" t="s">
        <v>124</v>
      </c>
      <c r="C49" s="305"/>
      <c r="D49" s="283">
        <v>16</v>
      </c>
      <c r="E49" s="36" t="s">
        <v>107</v>
      </c>
      <c r="F49" s="36"/>
      <c r="G49" s="38"/>
      <c r="H49" s="38"/>
      <c r="I49" s="269">
        <v>373.22</v>
      </c>
      <c r="J49" s="53" t="e">
        <f>I49/'통장내역(환율표)'!#REF!</f>
        <v>#REF!</v>
      </c>
      <c r="K49" s="263">
        <f t="shared" si="5"/>
        <v>186574.04867047418</v>
      </c>
      <c r="L49" s="263" t="e">
        <f t="shared" si="6"/>
        <v>#REF!</v>
      </c>
      <c r="M49" s="36"/>
      <c r="N49" s="45" t="e">
        <f t="shared" si="4"/>
        <v>#REF!</v>
      </c>
    </row>
    <row r="50" spans="1:14" s="5" customFormat="1" ht="13.5" customHeight="1">
      <c r="A50" s="332">
        <v>45068</v>
      </c>
      <c r="B50" s="335" t="s">
        <v>116</v>
      </c>
      <c r="C50" s="305"/>
      <c r="D50" s="283">
        <v>17</v>
      </c>
      <c r="E50" s="36" t="s">
        <v>116</v>
      </c>
      <c r="F50" s="36" t="s">
        <v>140</v>
      </c>
      <c r="G50" s="38"/>
      <c r="H50" s="38"/>
      <c r="I50" s="269">
        <v>98.6</v>
      </c>
      <c r="J50" s="53" t="e">
        <f>I50/'통장내역(환율표)'!#REF!</f>
        <v>#REF!</v>
      </c>
      <c r="K50" s="263">
        <f t="shared" si="5"/>
        <v>186475.44867047417</v>
      </c>
      <c r="L50" s="263" t="e">
        <f t="shared" si="6"/>
        <v>#REF!</v>
      </c>
      <c r="M50" s="36" t="s">
        <v>711</v>
      </c>
      <c r="N50" s="45" t="e">
        <f t="shared" si="4"/>
        <v>#REF!</v>
      </c>
    </row>
    <row r="51" spans="1:14" s="5" customFormat="1" ht="13.5" customHeight="1">
      <c r="A51" s="332">
        <v>45068</v>
      </c>
      <c r="B51" s="313" t="s">
        <v>250</v>
      </c>
      <c r="C51" s="305"/>
      <c r="D51" s="283">
        <v>18</v>
      </c>
      <c r="E51" s="36" t="s">
        <v>107</v>
      </c>
      <c r="F51" s="36"/>
      <c r="G51" s="38"/>
      <c r="H51" s="38"/>
      <c r="I51" s="269">
        <v>3.6</v>
      </c>
      <c r="J51" s="53" t="e">
        <f>I51/'통장내역(환율표)'!#REF!</f>
        <v>#REF!</v>
      </c>
      <c r="K51" s="263">
        <f t="shared" si="5"/>
        <v>186471.84867047417</v>
      </c>
      <c r="L51" s="263" t="e">
        <f t="shared" si="6"/>
        <v>#REF!</v>
      </c>
      <c r="M51" s="36"/>
      <c r="N51" s="45" t="e">
        <f t="shared" si="4"/>
        <v>#REF!</v>
      </c>
    </row>
    <row r="52" spans="1:14" s="5" customFormat="1" ht="13.5" customHeight="1">
      <c r="A52" s="332">
        <v>45068</v>
      </c>
      <c r="B52" s="335" t="s">
        <v>714</v>
      </c>
      <c r="C52" s="305"/>
      <c r="D52" s="282">
        <v>19</v>
      </c>
      <c r="E52" s="36" t="s">
        <v>146</v>
      </c>
      <c r="F52" s="36" t="s">
        <v>147</v>
      </c>
      <c r="G52" s="38"/>
      <c r="H52" s="38"/>
      <c r="I52" s="269">
        <f>900+100</f>
        <v>1000</v>
      </c>
      <c r="J52" s="53" t="e">
        <f>I52/'통장내역(환율표)'!#REF!</f>
        <v>#REF!</v>
      </c>
      <c r="K52" s="263">
        <f t="shared" si="5"/>
        <v>185471.84867047417</v>
      </c>
      <c r="L52" s="263" t="e">
        <f t="shared" si="6"/>
        <v>#REF!</v>
      </c>
      <c r="M52" s="36"/>
      <c r="N52" s="45" t="e">
        <f t="shared" si="4"/>
        <v>#REF!</v>
      </c>
    </row>
    <row r="53" spans="1:14" s="5" customFormat="1" ht="13.5" customHeight="1">
      <c r="A53" s="332">
        <v>45068</v>
      </c>
      <c r="B53" s="335" t="s">
        <v>715</v>
      </c>
      <c r="C53" s="305"/>
      <c r="D53" s="282">
        <v>20</v>
      </c>
      <c r="E53" s="36" t="s">
        <v>146</v>
      </c>
      <c r="F53" s="36" t="s">
        <v>147</v>
      </c>
      <c r="G53" s="38"/>
      <c r="H53" s="38"/>
      <c r="I53" s="269">
        <v>2520</v>
      </c>
      <c r="J53" s="53" t="e">
        <f>I53/'통장내역(환율표)'!#REF!</f>
        <v>#REF!</v>
      </c>
      <c r="K53" s="263">
        <f t="shared" si="5"/>
        <v>182951.84867047417</v>
      </c>
      <c r="L53" s="263" t="e">
        <f t="shared" si="6"/>
        <v>#REF!</v>
      </c>
      <c r="M53" s="36"/>
      <c r="N53" s="45" t="e">
        <f t="shared" si="4"/>
        <v>#REF!</v>
      </c>
    </row>
    <row r="54" spans="1:14" s="5" customFormat="1" ht="13.5" customHeight="1">
      <c r="A54" s="332">
        <v>45068</v>
      </c>
      <c r="B54" s="335" t="s">
        <v>716</v>
      </c>
      <c r="C54" s="305"/>
      <c r="D54" s="282">
        <v>21</v>
      </c>
      <c r="E54" s="36" t="s">
        <v>146</v>
      </c>
      <c r="F54" s="36" t="s">
        <v>147</v>
      </c>
      <c r="G54" s="38"/>
      <c r="H54" s="38"/>
      <c r="I54" s="269">
        <v>328</v>
      </c>
      <c r="J54" s="53" t="e">
        <f>I54/'통장내역(환율표)'!#REF!</f>
        <v>#REF!</v>
      </c>
      <c r="K54" s="263">
        <f t="shared" si="5"/>
        <v>182623.84867047417</v>
      </c>
      <c r="L54" s="263" t="e">
        <f t="shared" si="6"/>
        <v>#REF!</v>
      </c>
      <c r="M54" s="36"/>
      <c r="N54" s="45" t="e">
        <f t="shared" si="4"/>
        <v>#REF!</v>
      </c>
    </row>
    <row r="55" spans="1:14" s="5" customFormat="1" ht="13.5" customHeight="1">
      <c r="A55" s="332">
        <v>45068</v>
      </c>
      <c r="B55" s="313" t="s">
        <v>250</v>
      </c>
      <c r="C55" s="305"/>
      <c r="D55" s="282">
        <v>22</v>
      </c>
      <c r="E55" s="36" t="s">
        <v>107</v>
      </c>
      <c r="F55" s="36"/>
      <c r="G55" s="38"/>
      <c r="H55" s="38"/>
      <c r="I55" s="269">
        <v>3.6</v>
      </c>
      <c r="J55" s="53" t="e">
        <f>I55/'통장내역(환율표)'!#REF!</f>
        <v>#REF!</v>
      </c>
      <c r="K55" s="263">
        <f t="shared" si="5"/>
        <v>182620.24867047416</v>
      </c>
      <c r="L55" s="263" t="e">
        <f t="shared" si="6"/>
        <v>#REF!</v>
      </c>
      <c r="M55" s="36"/>
      <c r="N55" s="45" t="e">
        <f t="shared" si="4"/>
        <v>#REF!</v>
      </c>
    </row>
    <row r="56" spans="1:14" s="5" customFormat="1" ht="13.5" customHeight="1">
      <c r="A56" s="332">
        <v>45068</v>
      </c>
      <c r="B56" s="335" t="s">
        <v>701</v>
      </c>
      <c r="C56" s="305"/>
      <c r="D56" s="283">
        <v>23</v>
      </c>
      <c r="E56" s="36" t="s">
        <v>107</v>
      </c>
      <c r="F56" s="36"/>
      <c r="G56" s="38"/>
      <c r="H56" s="38"/>
      <c r="I56" s="269">
        <v>65910</v>
      </c>
      <c r="J56" s="53" t="e">
        <f>I56/'통장내역(환율표)'!#REF!</f>
        <v>#REF!</v>
      </c>
      <c r="K56" s="263">
        <f t="shared" si="5"/>
        <v>116710.24867047416</v>
      </c>
      <c r="L56" s="263" t="e">
        <f t="shared" si="6"/>
        <v>#REF!</v>
      </c>
      <c r="M56" s="36"/>
      <c r="N56" s="45" t="e">
        <f t="shared" si="4"/>
        <v>#REF!</v>
      </c>
    </row>
    <row r="57" spans="1:14" s="5" customFormat="1" ht="13.5" customHeight="1">
      <c r="A57" s="332">
        <v>45068</v>
      </c>
      <c r="B57" s="313" t="s">
        <v>250</v>
      </c>
      <c r="C57" s="305"/>
      <c r="D57" s="283">
        <v>24</v>
      </c>
      <c r="E57" s="36" t="s">
        <v>107</v>
      </c>
      <c r="F57" s="36"/>
      <c r="G57" s="38"/>
      <c r="H57" s="38"/>
      <c r="I57" s="269">
        <v>7.2</v>
      </c>
      <c r="J57" s="53" t="e">
        <f>I57/'통장내역(환율표)'!#REF!</f>
        <v>#REF!</v>
      </c>
      <c r="K57" s="263">
        <f t="shared" si="5"/>
        <v>116703.04867047416</v>
      </c>
      <c r="L57" s="263" t="e">
        <f t="shared" si="6"/>
        <v>#REF!</v>
      </c>
      <c r="M57" s="36"/>
      <c r="N57" s="45" t="e">
        <f t="shared" si="4"/>
        <v>#REF!</v>
      </c>
    </row>
    <row r="58" spans="1:14" s="5" customFormat="1" ht="13.5" customHeight="1">
      <c r="A58" s="332">
        <v>45068</v>
      </c>
      <c r="B58" s="335" t="s">
        <v>702</v>
      </c>
      <c r="C58" s="305"/>
      <c r="D58" s="283">
        <v>25</v>
      </c>
      <c r="E58" s="36" t="s">
        <v>125</v>
      </c>
      <c r="F58" s="36" t="s">
        <v>145</v>
      </c>
      <c r="G58" s="38"/>
      <c r="H58" s="38"/>
      <c r="I58" s="269">
        <v>5769.66</v>
      </c>
      <c r="J58" s="53" t="e">
        <f>I58/'통장내역(환율표)'!#REF!</f>
        <v>#REF!</v>
      </c>
      <c r="K58" s="263">
        <f t="shared" si="5"/>
        <v>110933.38867047416</v>
      </c>
      <c r="L58" s="263" t="e">
        <f t="shared" si="6"/>
        <v>#REF!</v>
      </c>
      <c r="M58" s="36"/>
      <c r="N58" s="45" t="e">
        <f t="shared" si="4"/>
        <v>#REF!</v>
      </c>
    </row>
    <row r="59" spans="1:14" s="5" customFormat="1" ht="13.5" customHeight="1">
      <c r="A59" s="332">
        <v>45068</v>
      </c>
      <c r="B59" s="313" t="s">
        <v>250</v>
      </c>
      <c r="C59" s="305"/>
      <c r="D59" s="283">
        <v>26</v>
      </c>
      <c r="E59" s="36" t="s">
        <v>107</v>
      </c>
      <c r="F59" s="36"/>
      <c r="G59" s="38"/>
      <c r="H59" s="38"/>
      <c r="I59" s="269">
        <v>3.6</v>
      </c>
      <c r="J59" s="53" t="e">
        <f>I59/'통장내역(환율표)'!#REF!</f>
        <v>#REF!</v>
      </c>
      <c r="K59" s="263">
        <f t="shared" si="5"/>
        <v>110929.78867047415</v>
      </c>
      <c r="L59" s="263" t="e">
        <f t="shared" si="6"/>
        <v>#REF!</v>
      </c>
      <c r="M59" s="36"/>
      <c r="N59" s="45" t="e">
        <f t="shared" si="4"/>
        <v>#REF!</v>
      </c>
    </row>
    <row r="60" spans="1:14" s="5" customFormat="1" ht="13.5" customHeight="1">
      <c r="A60" s="332">
        <v>45068</v>
      </c>
      <c r="B60" s="335" t="s">
        <v>703</v>
      </c>
      <c r="C60" s="305"/>
      <c r="D60" s="283">
        <v>27</v>
      </c>
      <c r="E60" s="36" t="s">
        <v>107</v>
      </c>
      <c r="F60" s="36"/>
      <c r="G60" s="38"/>
      <c r="H60" s="38"/>
      <c r="I60" s="269">
        <v>2400</v>
      </c>
      <c r="J60" s="53" t="e">
        <f>I60/'통장내역(환율표)'!#REF!</f>
        <v>#REF!</v>
      </c>
      <c r="K60" s="263">
        <f t="shared" si="5"/>
        <v>108529.78867047415</v>
      </c>
      <c r="L60" s="263" t="e">
        <f t="shared" si="6"/>
        <v>#REF!</v>
      </c>
      <c r="M60" s="36"/>
      <c r="N60" s="45" t="e">
        <f t="shared" si="4"/>
        <v>#REF!</v>
      </c>
    </row>
    <row r="61" spans="1:14" s="5" customFormat="1" ht="13.5" customHeight="1">
      <c r="A61" s="332">
        <v>45068</v>
      </c>
      <c r="B61" s="313" t="s">
        <v>250</v>
      </c>
      <c r="C61" s="305"/>
      <c r="D61" s="283">
        <v>28</v>
      </c>
      <c r="E61" s="36" t="s">
        <v>107</v>
      </c>
      <c r="F61" s="36"/>
      <c r="G61" s="38"/>
      <c r="H61" s="38"/>
      <c r="I61" s="269">
        <v>3.6</v>
      </c>
      <c r="J61" s="53" t="e">
        <f>I61/'통장내역(환율표)'!#REF!</f>
        <v>#REF!</v>
      </c>
      <c r="K61" s="263">
        <f t="shared" si="5"/>
        <v>108526.18867047415</v>
      </c>
      <c r="L61" s="263" t="e">
        <f t="shared" si="6"/>
        <v>#REF!</v>
      </c>
      <c r="M61" s="36"/>
      <c r="N61" s="45" t="e">
        <f t="shared" si="4"/>
        <v>#REF!</v>
      </c>
    </row>
    <row r="62" spans="1:14" s="5" customFormat="1" ht="13.5" customHeight="1">
      <c r="A62" s="332">
        <v>45068</v>
      </c>
      <c r="B62" s="335" t="s">
        <v>704</v>
      </c>
      <c r="C62" s="305"/>
      <c r="D62" s="283">
        <v>29</v>
      </c>
      <c r="E62" s="36" t="s">
        <v>146</v>
      </c>
      <c r="F62" s="36" t="s">
        <v>147</v>
      </c>
      <c r="G62" s="38"/>
      <c r="H62" s="38"/>
      <c r="I62" s="334">
        <v>368.29</v>
      </c>
      <c r="J62" s="53" t="e">
        <f>I62/'통장내역(환율표)'!#REF!</f>
        <v>#REF!</v>
      </c>
      <c r="K62" s="263">
        <f t="shared" si="5"/>
        <v>108157.89867047415</v>
      </c>
      <c r="L62" s="263" t="e">
        <f t="shared" si="6"/>
        <v>#REF!</v>
      </c>
      <c r="M62" s="36"/>
      <c r="N62" s="45" t="e">
        <f t="shared" si="4"/>
        <v>#REF!</v>
      </c>
    </row>
    <row r="63" spans="1:14" s="5" customFormat="1" ht="13.5" customHeight="1">
      <c r="A63" s="332">
        <v>45068</v>
      </c>
      <c r="B63" s="313" t="s">
        <v>250</v>
      </c>
      <c r="C63" s="305"/>
      <c r="D63" s="283">
        <v>30</v>
      </c>
      <c r="E63" s="36" t="s">
        <v>107</v>
      </c>
      <c r="F63" s="36"/>
      <c r="G63" s="38"/>
      <c r="H63" s="38"/>
      <c r="I63" s="269">
        <v>3.6</v>
      </c>
      <c r="J63" s="53" t="e">
        <f>I63/'통장내역(환율표)'!#REF!</f>
        <v>#REF!</v>
      </c>
      <c r="K63" s="263">
        <f t="shared" si="5"/>
        <v>108154.29867047415</v>
      </c>
      <c r="L63" s="263" t="e">
        <f t="shared" si="6"/>
        <v>#REF!</v>
      </c>
      <c r="M63" s="36"/>
      <c r="N63" s="45" t="e">
        <f t="shared" si="4"/>
        <v>#REF!</v>
      </c>
    </row>
    <row r="64" spans="1:14" s="5" customFormat="1" ht="13.5" customHeight="1">
      <c r="A64" s="332">
        <v>45068</v>
      </c>
      <c r="B64" s="335" t="s">
        <v>705</v>
      </c>
      <c r="C64" s="305"/>
      <c r="D64" s="283">
        <v>31</v>
      </c>
      <c r="E64" s="36" t="s">
        <v>146</v>
      </c>
      <c r="F64" s="36" t="s">
        <v>147</v>
      </c>
      <c r="G64" s="38"/>
      <c r="H64" s="35"/>
      <c r="I64" s="38">
        <v>4645.9399999999996</v>
      </c>
      <c r="J64" s="53" t="e">
        <f>I64/'통장내역(환율표)'!#REF!</f>
        <v>#REF!</v>
      </c>
      <c r="K64" s="263">
        <f t="shared" si="5"/>
        <v>103508.35867047415</v>
      </c>
      <c r="L64" s="263" t="e">
        <f t="shared" si="6"/>
        <v>#REF!</v>
      </c>
      <c r="M64" s="36"/>
      <c r="N64" s="45" t="e">
        <f t="shared" si="4"/>
        <v>#REF!</v>
      </c>
    </row>
    <row r="65" spans="1:14" s="5" customFormat="1" ht="13.5" customHeight="1">
      <c r="A65" s="332">
        <v>45068</v>
      </c>
      <c r="B65" s="313" t="s">
        <v>250</v>
      </c>
      <c r="C65" s="305"/>
      <c r="D65" s="283">
        <v>32</v>
      </c>
      <c r="E65" s="36" t="s">
        <v>107</v>
      </c>
      <c r="F65" s="36"/>
      <c r="G65" s="38"/>
      <c r="H65" s="35"/>
      <c r="I65" s="38">
        <v>3.6</v>
      </c>
      <c r="J65" s="53" t="e">
        <f>I65/'통장내역(환율표)'!#REF!</f>
        <v>#REF!</v>
      </c>
      <c r="K65" s="263">
        <f t="shared" si="5"/>
        <v>103504.75867047414</v>
      </c>
      <c r="L65" s="263" t="e">
        <f t="shared" si="6"/>
        <v>#REF!</v>
      </c>
      <c r="M65" s="36"/>
      <c r="N65" s="45" t="e">
        <f t="shared" si="4"/>
        <v>#REF!</v>
      </c>
    </row>
    <row r="66" spans="1:14" s="5" customFormat="1" ht="13.5" customHeight="1">
      <c r="A66" s="332">
        <v>45068</v>
      </c>
      <c r="B66" s="335" t="s">
        <v>706</v>
      </c>
      <c r="C66" s="305"/>
      <c r="D66" s="282">
        <v>33</v>
      </c>
      <c r="E66" s="36" t="s">
        <v>146</v>
      </c>
      <c r="F66" s="36" t="s">
        <v>147</v>
      </c>
      <c r="G66" s="38"/>
      <c r="H66" s="35"/>
      <c r="I66" s="38">
        <v>4848</v>
      </c>
      <c r="J66" s="53" t="e">
        <f>I66/'통장내역(환율표)'!#REF!</f>
        <v>#REF!</v>
      </c>
      <c r="K66" s="263">
        <f t="shared" si="5"/>
        <v>98656.758670474141</v>
      </c>
      <c r="L66" s="263" t="e">
        <f t="shared" si="6"/>
        <v>#REF!</v>
      </c>
      <c r="M66" s="36"/>
      <c r="N66" s="45" t="e">
        <f t="shared" si="4"/>
        <v>#REF!</v>
      </c>
    </row>
    <row r="67" spans="1:14" s="5" customFormat="1" ht="13.5" customHeight="1">
      <c r="A67" s="332">
        <v>45068</v>
      </c>
      <c r="B67" s="313" t="s">
        <v>250</v>
      </c>
      <c r="C67" s="305"/>
      <c r="D67" s="282">
        <v>34</v>
      </c>
      <c r="E67" s="36" t="s">
        <v>107</v>
      </c>
      <c r="F67" s="36"/>
      <c r="G67" s="38"/>
      <c r="H67" s="35"/>
      <c r="I67" s="38">
        <v>3.6</v>
      </c>
      <c r="J67" s="53" t="e">
        <f>I67/'통장내역(환율표)'!#REF!</f>
        <v>#REF!</v>
      </c>
      <c r="K67" s="263">
        <f t="shared" si="5"/>
        <v>98653.158670474135</v>
      </c>
      <c r="L67" s="263" t="e">
        <f t="shared" si="6"/>
        <v>#REF!</v>
      </c>
      <c r="M67" s="36"/>
      <c r="N67" s="45" t="e">
        <f t="shared" si="4"/>
        <v>#REF!</v>
      </c>
    </row>
    <row r="68" spans="1:14" s="5" customFormat="1" ht="13.5" customHeight="1">
      <c r="A68" s="332">
        <v>45068</v>
      </c>
      <c r="B68" s="336" t="s">
        <v>717</v>
      </c>
      <c r="C68" s="305"/>
      <c r="D68" s="33">
        <v>35</v>
      </c>
      <c r="E68" s="36" t="s">
        <v>107</v>
      </c>
      <c r="F68" s="36"/>
      <c r="G68" s="38"/>
      <c r="H68" s="38"/>
      <c r="I68" s="270">
        <v>305.79000000000002</v>
      </c>
      <c r="J68" s="53" t="e">
        <f>I68/'통장내역(환율표)'!#REF!</f>
        <v>#REF!</v>
      </c>
      <c r="K68" s="263">
        <f t="shared" si="5"/>
        <v>98347.368670474141</v>
      </c>
      <c r="L68" s="263" t="e">
        <f t="shared" si="6"/>
        <v>#REF!</v>
      </c>
      <c r="M68" s="36"/>
      <c r="N68" s="45" t="e">
        <f t="shared" si="4"/>
        <v>#REF!</v>
      </c>
    </row>
    <row r="69" spans="1:14" s="5" customFormat="1" ht="13.5" customHeight="1">
      <c r="A69" s="332">
        <v>45068</v>
      </c>
      <c r="B69" s="336" t="s">
        <v>718</v>
      </c>
      <c r="C69" s="305"/>
      <c r="D69" s="33">
        <v>36</v>
      </c>
      <c r="E69" s="36" t="s">
        <v>107</v>
      </c>
      <c r="F69" s="36"/>
      <c r="G69" s="38"/>
      <c r="H69" s="38"/>
      <c r="I69" s="270">
        <v>114.8</v>
      </c>
      <c r="J69" s="53" t="e">
        <f>I69/'통장내역(환율표)'!#REF!</f>
        <v>#REF!</v>
      </c>
      <c r="K69" s="263">
        <f t="shared" si="5"/>
        <v>98232.568670474138</v>
      </c>
      <c r="L69" s="263" t="e">
        <f t="shared" si="6"/>
        <v>#REF!</v>
      </c>
      <c r="M69" s="36"/>
      <c r="N69" s="45" t="e">
        <f t="shared" si="4"/>
        <v>#REF!</v>
      </c>
    </row>
    <row r="70" spans="1:14" s="5" customFormat="1" ht="13.5" customHeight="1">
      <c r="A70" s="332">
        <v>45068</v>
      </c>
      <c r="B70" s="336" t="s">
        <v>719</v>
      </c>
      <c r="C70" s="305"/>
      <c r="D70" s="33">
        <v>37</v>
      </c>
      <c r="E70" s="36" t="s">
        <v>107</v>
      </c>
      <c r="F70" s="36"/>
      <c r="G70" s="38"/>
      <c r="H70" s="38"/>
      <c r="I70" s="39">
        <v>300</v>
      </c>
      <c r="J70" s="53" t="e">
        <f>I70/'통장내역(환율표)'!#REF!</f>
        <v>#REF!</v>
      </c>
      <c r="K70" s="263">
        <f t="shared" si="5"/>
        <v>97932.568670474138</v>
      </c>
      <c r="L70" s="263" t="e">
        <f t="shared" si="6"/>
        <v>#REF!</v>
      </c>
      <c r="M70" s="36"/>
      <c r="N70" s="45" t="e">
        <f t="shared" si="4"/>
        <v>#REF!</v>
      </c>
    </row>
    <row r="71" spans="1:14" s="5" customFormat="1" ht="13.5" customHeight="1">
      <c r="A71" s="332">
        <v>45068</v>
      </c>
      <c r="B71" s="336" t="s">
        <v>720</v>
      </c>
      <c r="C71" s="305"/>
      <c r="D71" s="33">
        <v>38</v>
      </c>
      <c r="E71" s="36" t="s">
        <v>107</v>
      </c>
      <c r="F71" s="36"/>
      <c r="G71" s="38"/>
      <c r="H71" s="38"/>
      <c r="I71" s="270">
        <v>185</v>
      </c>
      <c r="J71" s="53" t="e">
        <f>I71/'통장내역(환율표)'!#REF!</f>
        <v>#REF!</v>
      </c>
      <c r="K71" s="263">
        <f t="shared" si="5"/>
        <v>97747.568670474138</v>
      </c>
      <c r="L71" s="263" t="e">
        <f t="shared" si="6"/>
        <v>#REF!</v>
      </c>
      <c r="M71" s="36"/>
      <c r="N71" s="45" t="e">
        <f t="shared" si="4"/>
        <v>#REF!</v>
      </c>
    </row>
    <row r="72" spans="1:14" s="5" customFormat="1" ht="13.5" customHeight="1">
      <c r="A72" s="332">
        <v>45068</v>
      </c>
      <c r="B72" s="336" t="s">
        <v>721</v>
      </c>
      <c r="C72" s="305"/>
      <c r="D72" s="33">
        <v>39</v>
      </c>
      <c r="E72" s="36" t="s">
        <v>107</v>
      </c>
      <c r="F72" s="36"/>
      <c r="G72" s="38"/>
      <c r="H72" s="38"/>
      <c r="I72" s="270">
        <v>616</v>
      </c>
      <c r="J72" s="53" t="e">
        <f>I72/'통장내역(환율표)'!#REF!</f>
        <v>#REF!</v>
      </c>
      <c r="K72" s="263">
        <f t="shared" si="5"/>
        <v>97131.568670474138</v>
      </c>
      <c r="L72" s="263" t="e">
        <f t="shared" si="6"/>
        <v>#REF!</v>
      </c>
      <c r="M72" s="36"/>
      <c r="N72" s="45" t="e">
        <f t="shared" si="4"/>
        <v>#REF!</v>
      </c>
    </row>
    <row r="73" spans="1:14" s="5" customFormat="1" ht="13.5" customHeight="1">
      <c r="A73" s="332">
        <v>45068</v>
      </c>
      <c r="B73" s="313" t="s">
        <v>250</v>
      </c>
      <c r="C73" s="305"/>
      <c r="D73" s="33">
        <v>40</v>
      </c>
      <c r="E73" s="36" t="s">
        <v>107</v>
      </c>
      <c r="F73" s="36"/>
      <c r="G73" s="38"/>
      <c r="H73" s="38"/>
      <c r="I73" s="270">
        <v>3.6</v>
      </c>
      <c r="J73" s="53" t="e">
        <f>I73/'통장내역(환율표)'!#REF!</f>
        <v>#REF!</v>
      </c>
      <c r="K73" s="263">
        <f t="shared" si="5"/>
        <v>97127.968670474133</v>
      </c>
      <c r="L73" s="263" t="e">
        <f t="shared" si="6"/>
        <v>#REF!</v>
      </c>
      <c r="M73" s="36"/>
      <c r="N73" s="45" t="e">
        <f t="shared" si="4"/>
        <v>#REF!</v>
      </c>
    </row>
    <row r="74" spans="1:14" s="5" customFormat="1" ht="13.5" customHeight="1">
      <c r="A74" s="332">
        <v>45068</v>
      </c>
      <c r="B74" s="313" t="s">
        <v>621</v>
      </c>
      <c r="C74" s="305"/>
      <c r="D74" s="33">
        <v>41</v>
      </c>
      <c r="E74" s="36" t="s">
        <v>116</v>
      </c>
      <c r="F74" s="36" t="s">
        <v>140</v>
      </c>
      <c r="G74" s="38"/>
      <c r="H74" s="38"/>
      <c r="I74" s="270">
        <v>499</v>
      </c>
      <c r="J74" s="53" t="e">
        <f>I74/'통장내역(환율표)'!#REF!</f>
        <v>#REF!</v>
      </c>
      <c r="K74" s="263">
        <f t="shared" si="5"/>
        <v>96628.968670474133</v>
      </c>
      <c r="L74" s="263" t="e">
        <f t="shared" si="6"/>
        <v>#REF!</v>
      </c>
      <c r="M74" s="36"/>
      <c r="N74" s="45" t="e">
        <f t="shared" si="4"/>
        <v>#REF!</v>
      </c>
    </row>
    <row r="75" spans="1:14" s="5" customFormat="1" ht="13.5" customHeight="1">
      <c r="A75" s="332">
        <v>45068</v>
      </c>
      <c r="B75" s="313" t="s">
        <v>443</v>
      </c>
      <c r="C75" s="305"/>
      <c r="D75" s="33">
        <v>42</v>
      </c>
      <c r="E75" s="36" t="s">
        <v>116</v>
      </c>
      <c r="F75" s="36" t="s">
        <v>140</v>
      </c>
      <c r="G75" s="38"/>
      <c r="H75" s="38"/>
      <c r="I75" s="270">
        <v>398</v>
      </c>
      <c r="J75" s="53" t="e">
        <f>I75/'통장내역(환율표)'!#REF!</f>
        <v>#REF!</v>
      </c>
      <c r="K75" s="263">
        <f t="shared" si="5"/>
        <v>96230.968670474133</v>
      </c>
      <c r="L75" s="263" t="e">
        <f t="shared" si="6"/>
        <v>#REF!</v>
      </c>
      <c r="M75" s="36"/>
      <c r="N75" s="45" t="e">
        <f t="shared" si="4"/>
        <v>#REF!</v>
      </c>
    </row>
    <row r="76" spans="1:14" s="5" customFormat="1" ht="13.5" customHeight="1">
      <c r="A76" s="332">
        <v>45068</v>
      </c>
      <c r="B76" s="313" t="s">
        <v>250</v>
      </c>
      <c r="C76" s="305"/>
      <c r="D76" s="33">
        <v>43</v>
      </c>
      <c r="E76" s="36" t="s">
        <v>107</v>
      </c>
      <c r="F76" s="36"/>
      <c r="G76" s="38"/>
      <c r="H76" s="38"/>
      <c r="I76" s="270">
        <v>3.6</v>
      </c>
      <c r="J76" s="53" t="e">
        <f>I76/'통장내역(환율표)'!#REF!</f>
        <v>#REF!</v>
      </c>
      <c r="K76" s="263">
        <f t="shared" si="5"/>
        <v>96227.368670474127</v>
      </c>
      <c r="L76" s="263" t="e">
        <f t="shared" si="6"/>
        <v>#REF!</v>
      </c>
      <c r="M76" s="36"/>
      <c r="N76" s="45" t="e">
        <f t="shared" si="4"/>
        <v>#REF!</v>
      </c>
    </row>
    <row r="77" spans="1:14" s="5" customFormat="1" ht="13.5" customHeight="1">
      <c r="A77" s="332">
        <v>45068</v>
      </c>
      <c r="B77" s="335" t="s">
        <v>707</v>
      </c>
      <c r="C77" s="305"/>
      <c r="D77" s="33">
        <v>44</v>
      </c>
      <c r="E77" s="36" t="s">
        <v>146</v>
      </c>
      <c r="F77" s="36" t="s">
        <v>147</v>
      </c>
      <c r="G77" s="38"/>
      <c r="H77" s="38"/>
      <c r="I77" s="38">
        <v>4798</v>
      </c>
      <c r="J77" s="53" t="e">
        <f>I77/'통장내역(환율표)'!#REF!</f>
        <v>#REF!</v>
      </c>
      <c r="K77" s="263">
        <f t="shared" si="5"/>
        <v>91429.368670474127</v>
      </c>
      <c r="L77" s="263" t="e">
        <f t="shared" si="6"/>
        <v>#REF!</v>
      </c>
      <c r="M77" s="36"/>
      <c r="N77" s="45" t="e">
        <f t="shared" si="4"/>
        <v>#REF!</v>
      </c>
    </row>
    <row r="78" spans="1:14" s="5" customFormat="1" ht="13.5" customHeight="1">
      <c r="A78" s="332">
        <v>45068</v>
      </c>
      <c r="B78" s="313" t="s">
        <v>250</v>
      </c>
      <c r="C78" s="305"/>
      <c r="D78" s="33">
        <v>45</v>
      </c>
      <c r="E78" s="36" t="s">
        <v>107</v>
      </c>
      <c r="F78" s="36"/>
      <c r="G78" s="38"/>
      <c r="H78" s="38"/>
      <c r="I78" s="38">
        <v>3.6</v>
      </c>
      <c r="J78" s="53" t="e">
        <f>I78/'통장내역(환율표)'!#REF!</f>
        <v>#REF!</v>
      </c>
      <c r="K78" s="263">
        <f t="shared" si="5"/>
        <v>91425.768670474121</v>
      </c>
      <c r="L78" s="263" t="e">
        <f t="shared" si="6"/>
        <v>#REF!</v>
      </c>
      <c r="M78" s="36"/>
      <c r="N78" s="45" t="e">
        <f t="shared" si="4"/>
        <v>#REF!</v>
      </c>
    </row>
    <row r="79" spans="1:14" s="5" customFormat="1" ht="13.5" customHeight="1">
      <c r="A79" s="332">
        <v>45068</v>
      </c>
      <c r="B79" s="335" t="s">
        <v>708</v>
      </c>
      <c r="C79" s="305"/>
      <c r="D79" s="33">
        <v>46</v>
      </c>
      <c r="E79" s="36" t="s">
        <v>125</v>
      </c>
      <c r="F79" s="36" t="s">
        <v>145</v>
      </c>
      <c r="G79" s="38"/>
      <c r="H79" s="35"/>
      <c r="I79" s="38">
        <v>11602.2</v>
      </c>
      <c r="J79" s="53" t="e">
        <f>I79/'통장내역(환율표)'!#REF!</f>
        <v>#REF!</v>
      </c>
      <c r="K79" s="263">
        <f t="shared" si="5"/>
        <v>79823.568670474124</v>
      </c>
      <c r="L79" s="263" t="e">
        <f t="shared" si="6"/>
        <v>#REF!</v>
      </c>
      <c r="M79" s="36"/>
      <c r="N79" s="45" t="e">
        <f t="shared" si="4"/>
        <v>#REF!</v>
      </c>
    </row>
    <row r="80" spans="1:14" s="5" customFormat="1" ht="13.5" customHeight="1">
      <c r="A80" s="332">
        <v>45068</v>
      </c>
      <c r="B80" s="313" t="s">
        <v>250</v>
      </c>
      <c r="C80" s="305"/>
      <c r="D80" s="33">
        <v>47</v>
      </c>
      <c r="E80" s="36" t="s">
        <v>107</v>
      </c>
      <c r="F80" s="36"/>
      <c r="G80" s="38"/>
      <c r="H80" s="35"/>
      <c r="I80" s="38">
        <v>7.2</v>
      </c>
      <c r="J80" s="53" t="e">
        <f>I80/'통장내역(환율표)'!#REF!</f>
        <v>#REF!</v>
      </c>
      <c r="K80" s="263">
        <f t="shared" si="5"/>
        <v>79816.368670474127</v>
      </c>
      <c r="L80" s="263" t="e">
        <f t="shared" si="6"/>
        <v>#REF!</v>
      </c>
      <c r="M80" s="36"/>
      <c r="N80" s="45" t="e">
        <f t="shared" si="4"/>
        <v>#REF!</v>
      </c>
    </row>
    <row r="81" spans="1:15" s="5" customFormat="1" ht="13.5" customHeight="1">
      <c r="A81" s="332">
        <v>45068</v>
      </c>
      <c r="B81" s="336" t="s">
        <v>709</v>
      </c>
      <c r="C81" s="305"/>
      <c r="D81" s="33">
        <v>48</v>
      </c>
      <c r="E81" s="36" t="s">
        <v>146</v>
      </c>
      <c r="F81" s="36" t="s">
        <v>147</v>
      </c>
      <c r="G81" s="38"/>
      <c r="H81" s="35"/>
      <c r="I81" s="38">
        <v>420.29</v>
      </c>
      <c r="J81" s="53" t="e">
        <f>I81/'통장내역(환율표)'!#REF!</f>
        <v>#REF!</v>
      </c>
      <c r="K81" s="263">
        <f t="shared" si="5"/>
        <v>79396.078670474133</v>
      </c>
      <c r="L81" s="263" t="e">
        <f t="shared" si="6"/>
        <v>#REF!</v>
      </c>
      <c r="M81" s="36"/>
      <c r="N81" s="45" t="e">
        <f t="shared" si="4"/>
        <v>#REF!</v>
      </c>
    </row>
    <row r="82" spans="1:15" s="5" customFormat="1" ht="13.5" customHeight="1">
      <c r="A82" s="332">
        <v>45068</v>
      </c>
      <c r="B82" s="313" t="s">
        <v>250</v>
      </c>
      <c r="C82" s="305"/>
      <c r="D82" s="303">
        <v>49</v>
      </c>
      <c r="E82" s="36" t="s">
        <v>107</v>
      </c>
      <c r="F82" s="36"/>
      <c r="G82" s="38"/>
      <c r="H82" s="35"/>
      <c r="I82" s="38">
        <v>3.6</v>
      </c>
      <c r="J82" s="53" t="e">
        <f>I82/'통장내역(환율표)'!#REF!</f>
        <v>#REF!</v>
      </c>
      <c r="K82" s="263">
        <f t="shared" si="5"/>
        <v>79392.478670474127</v>
      </c>
      <c r="L82" s="263" t="e">
        <f t="shared" si="6"/>
        <v>#REF!</v>
      </c>
      <c r="M82" s="36"/>
      <c r="N82" s="45" t="e">
        <f t="shared" si="4"/>
        <v>#REF!</v>
      </c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2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2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2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2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2.7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2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2.7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2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2.7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53" spans="1:15">
      <c r="B153" s="314"/>
    </row>
    <row r="154" spans="1:15">
      <c r="B154" s="314"/>
    </row>
  </sheetData>
  <autoFilter ref="A18:N152" xr:uid="{00000000-0009-0000-0000-000010000000}">
    <filterColumn colId="1" showButton="0"/>
  </autoFilter>
  <mergeCells count="10"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7:H17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J29"/>
  <sheetViews>
    <sheetView zoomScale="85" zoomScaleNormal="85" workbookViewId="0">
      <selection activeCell="J6" sqref="I6:J28"/>
    </sheetView>
  </sheetViews>
  <sheetFormatPr defaultColWidth="9" defaultRowHeight="15.6"/>
  <cols>
    <col min="1" max="1" width="3.69921875" style="318" customWidth="1"/>
    <col min="2" max="2" width="5.69921875" style="326" customWidth="1"/>
    <col min="3" max="3" width="9" style="318"/>
    <col min="4" max="4" width="9.296875" style="318" customWidth="1"/>
    <col min="5" max="5" width="23.09765625" style="318" customWidth="1"/>
    <col min="6" max="6" width="10.296875" style="227" bestFit="1" customWidth="1"/>
    <col min="7" max="7" width="12.69921875" style="318" customWidth="1"/>
    <col min="8" max="8" width="21" style="318" customWidth="1"/>
    <col min="9" max="9" width="19.09765625" style="318" customWidth="1"/>
    <col min="10" max="10" width="101.796875" style="318" bestFit="1" customWidth="1"/>
    <col min="11" max="256" width="9" style="318"/>
    <col min="257" max="257" width="3.69921875" style="318" customWidth="1"/>
    <col min="258" max="512" width="9" style="318"/>
    <col min="513" max="513" width="3.69921875" style="318" customWidth="1"/>
    <col min="514" max="768" width="9" style="318"/>
    <col min="769" max="769" width="3.69921875" style="318" customWidth="1"/>
    <col min="770" max="1024" width="9" style="318"/>
    <col min="1025" max="1025" width="3.69921875" style="318" customWidth="1"/>
    <col min="1026" max="1280" width="9" style="318"/>
    <col min="1281" max="1281" width="3.69921875" style="318" customWidth="1"/>
    <col min="1282" max="1536" width="9" style="318"/>
    <col min="1537" max="1537" width="3.69921875" style="318" customWidth="1"/>
    <col min="1538" max="1792" width="9" style="318"/>
    <col min="1793" max="1793" width="3.69921875" style="318" customWidth="1"/>
    <col min="1794" max="2048" width="9" style="318"/>
    <col min="2049" max="2049" width="3.69921875" style="318" customWidth="1"/>
    <col min="2050" max="2304" width="9" style="318"/>
    <col min="2305" max="2305" width="3.69921875" style="318" customWidth="1"/>
    <col min="2306" max="2560" width="9" style="318"/>
    <col min="2561" max="2561" width="3.69921875" style="318" customWidth="1"/>
    <col min="2562" max="2816" width="9" style="318"/>
    <col min="2817" max="2817" width="3.69921875" style="318" customWidth="1"/>
    <col min="2818" max="3072" width="9" style="318"/>
    <col min="3073" max="3073" width="3.69921875" style="318" customWidth="1"/>
    <col min="3074" max="3328" width="9" style="318"/>
    <col min="3329" max="3329" width="3.69921875" style="318" customWidth="1"/>
    <col min="3330" max="3584" width="9" style="318"/>
    <col min="3585" max="3585" width="3.69921875" style="318" customWidth="1"/>
    <col min="3586" max="3840" width="9" style="318"/>
    <col min="3841" max="3841" width="3.69921875" style="318" customWidth="1"/>
    <col min="3842" max="4096" width="9" style="318"/>
    <col min="4097" max="4097" width="3.69921875" style="318" customWidth="1"/>
    <col min="4098" max="4352" width="9" style="318"/>
    <col min="4353" max="4353" width="3.69921875" style="318" customWidth="1"/>
    <col min="4354" max="4608" width="9" style="318"/>
    <col min="4609" max="4609" width="3.69921875" style="318" customWidth="1"/>
    <col min="4610" max="4864" width="9" style="318"/>
    <col min="4865" max="4865" width="3.69921875" style="318" customWidth="1"/>
    <col min="4866" max="5120" width="9" style="318"/>
    <col min="5121" max="5121" width="3.69921875" style="318" customWidth="1"/>
    <col min="5122" max="5376" width="9" style="318"/>
    <col min="5377" max="5377" width="3.69921875" style="318" customWidth="1"/>
    <col min="5378" max="5632" width="9" style="318"/>
    <col min="5633" max="5633" width="3.69921875" style="318" customWidth="1"/>
    <col min="5634" max="5888" width="9" style="318"/>
    <col min="5889" max="5889" width="3.69921875" style="318" customWidth="1"/>
    <col min="5890" max="6144" width="9" style="318"/>
    <col min="6145" max="6145" width="3.69921875" style="318" customWidth="1"/>
    <col min="6146" max="6400" width="9" style="318"/>
    <col min="6401" max="6401" width="3.69921875" style="318" customWidth="1"/>
    <col min="6402" max="6656" width="9" style="318"/>
    <col min="6657" max="6657" width="3.69921875" style="318" customWidth="1"/>
    <col min="6658" max="6912" width="9" style="318"/>
    <col min="6913" max="6913" width="3.69921875" style="318" customWidth="1"/>
    <col min="6914" max="7168" width="9" style="318"/>
    <col min="7169" max="7169" width="3.69921875" style="318" customWidth="1"/>
    <col min="7170" max="7424" width="9" style="318"/>
    <col min="7425" max="7425" width="3.69921875" style="318" customWidth="1"/>
    <col min="7426" max="7680" width="9" style="318"/>
    <col min="7681" max="7681" width="3.69921875" style="318" customWidth="1"/>
    <col min="7682" max="7936" width="9" style="318"/>
    <col min="7937" max="7937" width="3.69921875" style="318" customWidth="1"/>
    <col min="7938" max="8192" width="9" style="318"/>
    <col min="8193" max="8193" width="3.69921875" style="318" customWidth="1"/>
    <col min="8194" max="8448" width="9" style="318"/>
    <col min="8449" max="8449" width="3.69921875" style="318" customWidth="1"/>
    <col min="8450" max="8704" width="9" style="318"/>
    <col min="8705" max="8705" width="3.69921875" style="318" customWidth="1"/>
    <col min="8706" max="8960" width="9" style="318"/>
    <col min="8961" max="8961" width="3.69921875" style="318" customWidth="1"/>
    <col min="8962" max="9216" width="9" style="318"/>
    <col min="9217" max="9217" width="3.69921875" style="318" customWidth="1"/>
    <col min="9218" max="9472" width="9" style="318"/>
    <col min="9473" max="9473" width="3.69921875" style="318" customWidth="1"/>
    <col min="9474" max="9728" width="9" style="318"/>
    <col min="9729" max="9729" width="3.69921875" style="318" customWidth="1"/>
    <col min="9730" max="9984" width="9" style="318"/>
    <col min="9985" max="9985" width="3.69921875" style="318" customWidth="1"/>
    <col min="9986" max="10240" width="9" style="318"/>
    <col min="10241" max="10241" width="3.69921875" style="318" customWidth="1"/>
    <col min="10242" max="10496" width="9" style="318"/>
    <col min="10497" max="10497" width="3.69921875" style="318" customWidth="1"/>
    <col min="10498" max="10752" width="9" style="318"/>
    <col min="10753" max="10753" width="3.69921875" style="318" customWidth="1"/>
    <col min="10754" max="11008" width="9" style="318"/>
    <col min="11009" max="11009" width="3.69921875" style="318" customWidth="1"/>
    <col min="11010" max="11264" width="9" style="318"/>
    <col min="11265" max="11265" width="3.69921875" style="318" customWidth="1"/>
    <col min="11266" max="11520" width="9" style="318"/>
    <col min="11521" max="11521" width="3.69921875" style="318" customWidth="1"/>
    <col min="11522" max="11776" width="9" style="318"/>
    <col min="11777" max="11777" width="3.69921875" style="318" customWidth="1"/>
    <col min="11778" max="12032" width="9" style="318"/>
    <col min="12033" max="12033" width="3.69921875" style="318" customWidth="1"/>
    <col min="12034" max="12288" width="9" style="318"/>
    <col min="12289" max="12289" width="3.69921875" style="318" customWidth="1"/>
    <col min="12290" max="12544" width="9" style="318"/>
    <col min="12545" max="12545" width="3.69921875" style="318" customWidth="1"/>
    <col min="12546" max="12800" width="9" style="318"/>
    <col min="12801" max="12801" width="3.69921875" style="318" customWidth="1"/>
    <col min="12802" max="13056" width="9" style="318"/>
    <col min="13057" max="13057" width="3.69921875" style="318" customWidth="1"/>
    <col min="13058" max="13312" width="9" style="318"/>
    <col min="13313" max="13313" width="3.69921875" style="318" customWidth="1"/>
    <col min="13314" max="13568" width="9" style="318"/>
    <col min="13569" max="13569" width="3.69921875" style="318" customWidth="1"/>
    <col min="13570" max="13824" width="9" style="318"/>
    <col min="13825" max="13825" width="3.69921875" style="318" customWidth="1"/>
    <col min="13826" max="14080" width="9" style="318"/>
    <col min="14081" max="14081" width="3.69921875" style="318" customWidth="1"/>
    <col min="14082" max="14336" width="9" style="318"/>
    <col min="14337" max="14337" width="3.69921875" style="318" customWidth="1"/>
    <col min="14338" max="14592" width="9" style="318"/>
    <col min="14593" max="14593" width="3.69921875" style="318" customWidth="1"/>
    <col min="14594" max="14848" width="9" style="318"/>
    <col min="14849" max="14849" width="3.69921875" style="318" customWidth="1"/>
    <col min="14850" max="15104" width="9" style="318"/>
    <col min="15105" max="15105" width="3.69921875" style="318" customWidth="1"/>
    <col min="15106" max="15360" width="9" style="318"/>
    <col min="15361" max="15361" width="3.69921875" style="318" customWidth="1"/>
    <col min="15362" max="15616" width="9" style="318"/>
    <col min="15617" max="15617" width="3.69921875" style="318" customWidth="1"/>
    <col min="15618" max="15872" width="9" style="318"/>
    <col min="15873" max="15873" width="3.69921875" style="318" customWidth="1"/>
    <col min="15874" max="16128" width="9" style="318"/>
    <col min="16129" max="16129" width="3.69921875" style="318" customWidth="1"/>
    <col min="16130" max="16384" width="9" style="318"/>
  </cols>
  <sheetData>
    <row r="2" spans="2:10" ht="20.399999999999999">
      <c r="B2" s="317" t="s">
        <v>260</v>
      </c>
      <c r="F2" s="2065"/>
      <c r="G2" s="2065"/>
      <c r="H2" s="2065"/>
    </row>
    <row r="4" spans="2:10">
      <c r="B4" s="2064" t="s">
        <v>261</v>
      </c>
      <c r="C4" s="2064" t="s">
        <v>262</v>
      </c>
      <c r="D4" s="2066" t="s">
        <v>263</v>
      </c>
      <c r="E4" s="2066" t="s">
        <v>264</v>
      </c>
      <c r="F4" s="2064" t="s">
        <v>265</v>
      </c>
      <c r="G4" s="2064"/>
      <c r="H4" s="2064" t="s">
        <v>266</v>
      </c>
      <c r="I4" s="2064" t="s">
        <v>267</v>
      </c>
      <c r="J4" s="339"/>
    </row>
    <row r="5" spans="2:10">
      <c r="B5" s="2064"/>
      <c r="C5" s="2064"/>
      <c r="D5" s="2067"/>
      <c r="E5" s="2067"/>
      <c r="F5" s="228" t="s">
        <v>268</v>
      </c>
      <c r="G5" s="339" t="s">
        <v>743</v>
      </c>
      <c r="H5" s="2064"/>
      <c r="I5" s="2064"/>
      <c r="J5" s="339" t="s">
        <v>269</v>
      </c>
    </row>
    <row r="6" spans="2:10" ht="20.100000000000001" customHeight="1">
      <c r="B6" s="319">
        <v>1</v>
      </c>
      <c r="C6" s="320">
        <v>45102</v>
      </c>
      <c r="D6" s="320">
        <v>45068</v>
      </c>
      <c r="E6" s="321" t="s">
        <v>270</v>
      </c>
      <c r="F6" s="341">
        <v>1096</v>
      </c>
      <c r="G6" s="342"/>
      <c r="H6" s="322" t="s">
        <v>272</v>
      </c>
      <c r="I6" s="322" t="s">
        <v>272</v>
      </c>
      <c r="J6" s="323" t="s">
        <v>744</v>
      </c>
    </row>
    <row r="7" spans="2:10" ht="20.100000000000001" customHeight="1">
      <c r="B7" s="319">
        <v>2</v>
      </c>
      <c r="C7" s="320">
        <v>45102</v>
      </c>
      <c r="D7" s="320">
        <v>45072</v>
      </c>
      <c r="E7" s="321" t="s">
        <v>271</v>
      </c>
      <c r="F7" s="343">
        <v>668</v>
      </c>
      <c r="G7" s="342"/>
      <c r="H7" s="322" t="s">
        <v>272</v>
      </c>
      <c r="I7" s="322" t="s">
        <v>272</v>
      </c>
      <c r="J7" s="323" t="s">
        <v>745</v>
      </c>
    </row>
    <row r="8" spans="2:10" ht="20.100000000000001" customHeight="1">
      <c r="B8" s="319">
        <v>3</v>
      </c>
      <c r="C8" s="320">
        <v>45102</v>
      </c>
      <c r="D8" s="320">
        <v>45075</v>
      </c>
      <c r="E8" s="321" t="s">
        <v>746</v>
      </c>
      <c r="F8" s="343">
        <v>589</v>
      </c>
      <c r="G8" s="342"/>
      <c r="H8" s="322" t="s">
        <v>747</v>
      </c>
      <c r="I8" s="322" t="s">
        <v>747</v>
      </c>
      <c r="J8" s="323" t="s">
        <v>748</v>
      </c>
    </row>
    <row r="9" spans="2:10" ht="20.100000000000001" customHeight="1">
      <c r="B9" s="319">
        <v>4</v>
      </c>
      <c r="C9" s="320">
        <v>45102</v>
      </c>
      <c r="D9" s="320">
        <v>45083</v>
      </c>
      <c r="E9" s="321" t="s">
        <v>271</v>
      </c>
      <c r="F9" s="341">
        <v>683</v>
      </c>
      <c r="G9" s="342"/>
      <c r="H9" s="322" t="s">
        <v>272</v>
      </c>
      <c r="I9" s="322" t="s">
        <v>272</v>
      </c>
      <c r="J9" s="323" t="s">
        <v>749</v>
      </c>
    </row>
    <row r="10" spans="2:10" ht="20.100000000000001" customHeight="1">
      <c r="B10" s="319">
        <v>5</v>
      </c>
      <c r="C10" s="320">
        <v>45102</v>
      </c>
      <c r="D10" s="324">
        <v>45084</v>
      </c>
      <c r="E10" s="321" t="s">
        <v>270</v>
      </c>
      <c r="F10" s="343">
        <v>275</v>
      </c>
      <c r="G10" s="342"/>
      <c r="H10" s="322" t="s">
        <v>750</v>
      </c>
      <c r="I10" s="322" t="s">
        <v>750</v>
      </c>
      <c r="J10" s="323" t="s">
        <v>751</v>
      </c>
    </row>
    <row r="11" spans="2:10" ht="20.100000000000001" customHeight="1">
      <c r="B11" s="319">
        <v>6</v>
      </c>
      <c r="C11" s="320">
        <v>45102</v>
      </c>
      <c r="D11" s="325">
        <v>45085</v>
      </c>
      <c r="E11" s="321" t="s">
        <v>270</v>
      </c>
      <c r="F11" s="343">
        <v>1458</v>
      </c>
      <c r="G11" s="342"/>
      <c r="H11" s="322" t="s">
        <v>752</v>
      </c>
      <c r="I11" s="322" t="s">
        <v>752</v>
      </c>
      <c r="J11" s="323" t="s">
        <v>753</v>
      </c>
    </row>
    <row r="12" spans="2:10" ht="20.100000000000001" customHeight="1">
      <c r="B12" s="319"/>
      <c r="C12" s="320">
        <v>45102</v>
      </c>
      <c r="D12" s="325">
        <v>45085</v>
      </c>
      <c r="E12" s="321" t="s">
        <v>270</v>
      </c>
      <c r="F12" s="343">
        <v>350</v>
      </c>
      <c r="G12" s="342"/>
      <c r="H12" s="322" t="s">
        <v>754</v>
      </c>
      <c r="I12" s="322" t="s">
        <v>754</v>
      </c>
      <c r="J12" s="323" t="s">
        <v>755</v>
      </c>
    </row>
    <row r="13" spans="2:10" ht="20.100000000000001" customHeight="1">
      <c r="B13" s="319">
        <v>7</v>
      </c>
      <c r="C13" s="320">
        <v>45102</v>
      </c>
      <c r="D13" s="325">
        <v>45085</v>
      </c>
      <c r="E13" s="321" t="s">
        <v>271</v>
      </c>
      <c r="F13" s="343">
        <v>721</v>
      </c>
      <c r="G13" s="342"/>
      <c r="H13" s="322" t="s">
        <v>272</v>
      </c>
      <c r="I13" s="322" t="s">
        <v>272</v>
      </c>
      <c r="J13" s="323" t="s">
        <v>756</v>
      </c>
    </row>
    <row r="14" spans="2:10">
      <c r="B14" s="319">
        <v>8</v>
      </c>
      <c r="C14" s="320">
        <v>45102</v>
      </c>
      <c r="D14" s="325">
        <v>45090</v>
      </c>
      <c r="E14" s="321" t="s">
        <v>271</v>
      </c>
      <c r="F14" s="343">
        <v>369</v>
      </c>
      <c r="G14" s="342"/>
      <c r="H14" s="322" t="s">
        <v>757</v>
      </c>
      <c r="I14" s="322" t="s">
        <v>757</v>
      </c>
      <c r="J14" s="323" t="s">
        <v>758</v>
      </c>
    </row>
    <row r="15" spans="2:10">
      <c r="B15" s="319">
        <v>9</v>
      </c>
      <c r="C15" s="320">
        <v>45102</v>
      </c>
      <c r="D15" s="325">
        <v>45090</v>
      </c>
      <c r="E15" s="321" t="s">
        <v>759</v>
      </c>
      <c r="F15" s="343">
        <v>181</v>
      </c>
      <c r="G15" s="342"/>
      <c r="H15" s="322" t="s">
        <v>760</v>
      </c>
      <c r="I15" s="322" t="s">
        <v>760</v>
      </c>
      <c r="J15" s="323" t="s">
        <v>761</v>
      </c>
    </row>
    <row r="16" spans="2:10">
      <c r="B16" s="319">
        <v>10</v>
      </c>
      <c r="C16" s="320">
        <v>45102</v>
      </c>
      <c r="D16" s="325">
        <v>45090</v>
      </c>
      <c r="E16" s="321" t="s">
        <v>271</v>
      </c>
      <c r="F16" s="343">
        <v>772</v>
      </c>
      <c r="G16" s="342"/>
      <c r="H16" s="322" t="s">
        <v>272</v>
      </c>
      <c r="I16" s="322" t="s">
        <v>272</v>
      </c>
      <c r="J16" s="323" t="s">
        <v>762</v>
      </c>
    </row>
    <row r="17" spans="2:10">
      <c r="B17" s="319">
        <v>11</v>
      </c>
      <c r="C17" s="320">
        <v>45102</v>
      </c>
      <c r="D17" s="325">
        <v>45091</v>
      </c>
      <c r="E17" s="321" t="s">
        <v>271</v>
      </c>
      <c r="F17" s="343">
        <v>453</v>
      </c>
      <c r="G17" s="342"/>
      <c r="H17" s="322" t="s">
        <v>272</v>
      </c>
      <c r="I17" s="322" t="s">
        <v>272</v>
      </c>
      <c r="J17" s="323" t="s">
        <v>763</v>
      </c>
    </row>
    <row r="18" spans="2:10">
      <c r="B18" s="319">
        <v>12</v>
      </c>
      <c r="C18" s="320">
        <v>45102</v>
      </c>
      <c r="D18" s="325">
        <v>45092</v>
      </c>
      <c r="E18" s="321" t="s">
        <v>271</v>
      </c>
      <c r="F18" s="343">
        <v>466</v>
      </c>
      <c r="G18" s="342"/>
      <c r="H18" s="322" t="s">
        <v>272</v>
      </c>
      <c r="I18" s="322" t="s">
        <v>272</v>
      </c>
      <c r="J18" s="323" t="s">
        <v>764</v>
      </c>
    </row>
    <row r="19" spans="2:10">
      <c r="B19" s="319">
        <v>13</v>
      </c>
      <c r="C19" s="320">
        <v>45102</v>
      </c>
      <c r="D19" s="325">
        <v>45093</v>
      </c>
      <c r="E19" s="321" t="s">
        <v>759</v>
      </c>
      <c r="F19" s="343">
        <v>109</v>
      </c>
      <c r="G19" s="342"/>
      <c r="H19" s="322" t="s">
        <v>765</v>
      </c>
      <c r="I19" s="322" t="s">
        <v>765</v>
      </c>
      <c r="J19" s="323" t="s">
        <v>722</v>
      </c>
    </row>
    <row r="20" spans="2:10">
      <c r="B20" s="319">
        <v>14</v>
      </c>
      <c r="C20" s="320">
        <v>45102</v>
      </c>
      <c r="D20" s="325">
        <v>45093</v>
      </c>
      <c r="E20" s="321" t="s">
        <v>271</v>
      </c>
      <c r="F20" s="343">
        <v>417</v>
      </c>
      <c r="G20" s="342"/>
      <c r="H20" s="322" t="s">
        <v>272</v>
      </c>
      <c r="I20" s="322" t="s">
        <v>272</v>
      </c>
      <c r="J20" s="323" t="s">
        <v>766</v>
      </c>
    </row>
    <row r="21" spans="2:10">
      <c r="B21" s="319">
        <v>15</v>
      </c>
      <c r="C21" s="320">
        <v>45102</v>
      </c>
      <c r="D21" s="325">
        <v>45095</v>
      </c>
      <c r="E21" s="321" t="s">
        <v>767</v>
      </c>
      <c r="F21" s="343">
        <v>684</v>
      </c>
      <c r="G21" s="342"/>
      <c r="H21" s="322" t="s">
        <v>768</v>
      </c>
      <c r="I21" s="322" t="s">
        <v>768</v>
      </c>
      <c r="J21" s="323" t="s">
        <v>769</v>
      </c>
    </row>
    <row r="22" spans="2:10">
      <c r="B22" s="319">
        <v>16</v>
      </c>
      <c r="C22" s="320">
        <v>45102</v>
      </c>
      <c r="D22" s="325">
        <v>45097</v>
      </c>
      <c r="E22" s="321" t="s">
        <v>767</v>
      </c>
      <c r="F22" s="343">
        <v>412</v>
      </c>
      <c r="G22" s="342"/>
      <c r="H22" s="322" t="s">
        <v>768</v>
      </c>
      <c r="I22" s="322" t="s">
        <v>768</v>
      </c>
      <c r="J22" s="323" t="s">
        <v>770</v>
      </c>
    </row>
    <row r="23" spans="2:10">
      <c r="B23" s="319">
        <v>17</v>
      </c>
      <c r="C23" s="320">
        <v>45102</v>
      </c>
      <c r="D23" s="325">
        <v>45101</v>
      </c>
      <c r="E23" s="321" t="s">
        <v>771</v>
      </c>
      <c r="F23" s="343">
        <v>299.7</v>
      </c>
      <c r="G23" s="342"/>
      <c r="H23" s="322" t="s">
        <v>768</v>
      </c>
      <c r="I23" s="322" t="s">
        <v>768</v>
      </c>
      <c r="J23" s="323" t="s">
        <v>772</v>
      </c>
    </row>
    <row r="24" spans="2:10">
      <c r="B24" s="319">
        <v>18</v>
      </c>
      <c r="C24" s="320">
        <v>45102</v>
      </c>
      <c r="D24" s="325">
        <v>45101</v>
      </c>
      <c r="E24" s="321" t="s">
        <v>771</v>
      </c>
      <c r="F24" s="343">
        <v>416.4</v>
      </c>
      <c r="G24" s="342"/>
      <c r="H24" s="322" t="s">
        <v>768</v>
      </c>
      <c r="I24" s="322" t="s">
        <v>768</v>
      </c>
      <c r="J24" s="323" t="s">
        <v>772</v>
      </c>
    </row>
    <row r="25" spans="2:10">
      <c r="B25" s="319">
        <v>19</v>
      </c>
      <c r="C25" s="320">
        <v>45102</v>
      </c>
      <c r="D25" s="325">
        <v>45101</v>
      </c>
      <c r="E25" s="321" t="s">
        <v>773</v>
      </c>
      <c r="F25" s="343">
        <v>298</v>
      </c>
      <c r="G25" s="342"/>
      <c r="H25" s="322" t="s">
        <v>768</v>
      </c>
      <c r="I25" s="322" t="s">
        <v>768</v>
      </c>
      <c r="J25" s="323" t="s">
        <v>774</v>
      </c>
    </row>
    <row r="26" spans="2:10">
      <c r="B26" s="319">
        <v>20</v>
      </c>
      <c r="C26" s="320">
        <v>45102</v>
      </c>
      <c r="D26" s="325">
        <v>45079</v>
      </c>
      <c r="E26" s="321" t="s">
        <v>775</v>
      </c>
      <c r="F26" s="343">
        <v>917.6</v>
      </c>
      <c r="G26" s="342"/>
      <c r="H26" s="322" t="s">
        <v>272</v>
      </c>
      <c r="I26" s="322" t="s">
        <v>272</v>
      </c>
      <c r="J26" s="323" t="s">
        <v>776</v>
      </c>
    </row>
    <row r="27" spans="2:10">
      <c r="B27" s="319">
        <v>21</v>
      </c>
      <c r="C27" s="320">
        <v>45102</v>
      </c>
      <c r="D27" s="325">
        <v>45085</v>
      </c>
      <c r="E27" s="321" t="s">
        <v>271</v>
      </c>
      <c r="F27" s="343">
        <v>7200</v>
      </c>
      <c r="G27" s="342"/>
      <c r="H27" s="322" t="s">
        <v>752</v>
      </c>
      <c r="I27" s="322" t="s">
        <v>752</v>
      </c>
      <c r="J27" s="323" t="s">
        <v>777</v>
      </c>
    </row>
    <row r="28" spans="2:10">
      <c r="B28" s="319">
        <v>22</v>
      </c>
      <c r="C28" s="320">
        <v>45102</v>
      </c>
      <c r="D28" s="325">
        <v>45091</v>
      </c>
      <c r="E28" s="321" t="s">
        <v>778</v>
      </c>
      <c r="F28" s="343">
        <v>1250</v>
      </c>
      <c r="G28" s="342"/>
      <c r="H28" s="322" t="s">
        <v>272</v>
      </c>
      <c r="I28" s="322" t="s">
        <v>272</v>
      </c>
      <c r="J28" s="323" t="s">
        <v>779</v>
      </c>
    </row>
    <row r="29" spans="2:10">
      <c r="F29" s="227">
        <f>SUM(F6:F28)</f>
        <v>20084.7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O159"/>
  <sheetViews>
    <sheetView showGridLines="0" zoomScaleNormal="100" workbookViewId="0">
      <selection activeCell="C38" sqref="C38"/>
    </sheetView>
  </sheetViews>
  <sheetFormatPr defaultRowHeight="17.399999999999999"/>
  <cols>
    <col min="1" max="2" width="11.796875" customWidth="1"/>
    <col min="3" max="3" width="17.296875" customWidth="1"/>
    <col min="4" max="4" width="11.796875" customWidth="1"/>
    <col min="5" max="5" width="13.5" bestFit="1" customWidth="1"/>
    <col min="6" max="6" width="9.59765625" bestFit="1" customWidth="1"/>
    <col min="7" max="7" width="10.796875" bestFit="1" customWidth="1"/>
    <col min="8" max="8" width="10" bestFit="1" customWidth="1"/>
    <col min="9" max="9" width="11.79687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15.09765625" customWidth="1"/>
    <col min="15" max="16" width="9.59765625" bestFit="1" customWidth="1"/>
  </cols>
  <sheetData>
    <row r="1" spans="1:15" ht="24">
      <c r="A1" s="1" t="s">
        <v>793</v>
      </c>
      <c r="B1" s="2"/>
      <c r="C1" s="2"/>
      <c r="D1" s="3"/>
      <c r="E1" s="4">
        <v>100021363</v>
      </c>
      <c r="F1" s="130"/>
      <c r="G1" s="337" t="s">
        <v>792</v>
      </c>
      <c r="H1" s="299"/>
      <c r="I1" s="299"/>
      <c r="J1" s="299"/>
      <c r="K1" s="299"/>
      <c r="L1" s="5"/>
      <c r="M1" s="5"/>
    </row>
    <row r="2" spans="1:15" s="5" customFormat="1">
      <c r="A2" s="130" t="s">
        <v>694</v>
      </c>
      <c r="B2" s="2"/>
      <c r="C2" s="2"/>
      <c r="E2" s="4">
        <v>100000208</v>
      </c>
      <c r="F2" s="338"/>
      <c r="G2" s="130" t="s">
        <v>791</v>
      </c>
      <c r="H2" s="2"/>
      <c r="I2" s="2"/>
      <c r="K2" s="4">
        <v>100000210</v>
      </c>
      <c r="L2" s="364"/>
    </row>
    <row r="3" spans="1:15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338"/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19"/>
      <c r="N3" s="119"/>
      <c r="O3" s="119"/>
    </row>
    <row r="4" spans="1:15" s="5" customFormat="1" ht="15.6">
      <c r="A4" s="114" t="s">
        <v>292</v>
      </c>
      <c r="B4" s="115"/>
      <c r="C4" s="116"/>
      <c r="D4" s="116"/>
      <c r="E4" s="117"/>
      <c r="F4" s="118"/>
      <c r="G4" s="114" t="s">
        <v>292</v>
      </c>
      <c r="H4" s="115"/>
      <c r="I4" s="116"/>
      <c r="J4" s="116"/>
      <c r="K4" s="117"/>
      <c r="L4" s="119"/>
      <c r="M4" s="119"/>
      <c r="N4" s="119"/>
      <c r="O4" s="119"/>
    </row>
    <row r="5" spans="1:15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20078.45</v>
      </c>
      <c r="J5" s="116">
        <v>2816.5739755562963</v>
      </c>
      <c r="K5" s="117">
        <v>3662949</v>
      </c>
      <c r="L5" s="340">
        <f>K5/I5</f>
        <v>182.43186102512894</v>
      </c>
      <c r="M5" s="358">
        <v>2182032</v>
      </c>
      <c r="N5" s="240">
        <f>M5-L5</f>
        <v>2181849.5681389747</v>
      </c>
      <c r="O5" s="119"/>
    </row>
    <row r="6" spans="1:15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33959.760000000002</v>
      </c>
      <c r="J6" s="116">
        <v>4763.8227169994543</v>
      </c>
      <c r="K6" s="117">
        <v>6195348</v>
      </c>
      <c r="L6" s="240">
        <f t="shared" ref="L6:L11" si="0">K6+E6</f>
        <v>6195348</v>
      </c>
      <c r="M6" s="359">
        <v>41016482</v>
      </c>
      <c r="N6" s="240">
        <f t="shared" ref="N6:N10" si="1">M6-L6</f>
        <v>34821134</v>
      </c>
      <c r="O6" s="119"/>
    </row>
    <row r="7" spans="1:15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2808.7955351415931</v>
      </c>
      <c r="K7" s="117">
        <v>3652844</v>
      </c>
      <c r="L7" s="240">
        <f t="shared" si="0"/>
        <v>3652844</v>
      </c>
      <c r="M7" s="359">
        <v>4869534</v>
      </c>
      <c r="N7" s="240">
        <f t="shared" si="1"/>
        <v>1216690</v>
      </c>
      <c r="O7" s="119"/>
    </row>
    <row r="8" spans="1:15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10500</v>
      </c>
      <c r="J8" s="116">
        <v>1472.92</v>
      </c>
      <c r="K8" s="117">
        <v>1915532</v>
      </c>
      <c r="L8" s="240">
        <f t="shared" si="0"/>
        <v>1915532</v>
      </c>
      <c r="M8" s="359">
        <v>2830112</v>
      </c>
      <c r="N8" s="240">
        <f t="shared" si="1"/>
        <v>914580</v>
      </c>
      <c r="O8" s="119"/>
    </row>
    <row r="9" spans="1:15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1028.78</v>
      </c>
      <c r="J9" s="116">
        <v>144.31567051106069</v>
      </c>
      <c r="K9" s="117">
        <v>187688</v>
      </c>
      <c r="L9" s="240">
        <f t="shared" si="0"/>
        <v>187688</v>
      </c>
      <c r="M9" s="359">
        <v>1381768</v>
      </c>
      <c r="N9" s="240">
        <f t="shared" si="1"/>
        <v>1194080</v>
      </c>
      <c r="O9" s="119"/>
    </row>
    <row r="10" spans="1:15" s="5" customFormat="1" ht="15.6">
      <c r="A10" s="114" t="s">
        <v>62</v>
      </c>
      <c r="B10" s="115"/>
      <c r="C10" s="116" t="e">
        <f>SUM(I22:I30)</f>
        <v>#REF!</v>
      </c>
      <c r="D10" s="116" t="e">
        <f>SUM(J22:J30)</f>
        <v>#REF!</v>
      </c>
      <c r="E10" s="117">
        <v>15238716</v>
      </c>
      <c r="F10" s="121">
        <v>51321010</v>
      </c>
      <c r="G10" s="114" t="s">
        <v>62</v>
      </c>
      <c r="H10" s="115"/>
      <c r="I10" s="116">
        <v>88057.93</v>
      </c>
      <c r="J10" s="116">
        <v>12373.79</v>
      </c>
      <c r="K10" s="117">
        <v>16092114</v>
      </c>
      <c r="L10" s="240">
        <f t="shared" si="0"/>
        <v>31330830</v>
      </c>
      <c r="M10" s="359">
        <v>68260263</v>
      </c>
      <c r="N10" s="240">
        <f t="shared" si="1"/>
        <v>36929433</v>
      </c>
      <c r="O10" s="119"/>
    </row>
    <row r="11" spans="1:15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  <c r="M11" s="359"/>
      <c r="N11" s="119"/>
      <c r="O11" s="119"/>
    </row>
    <row r="12" spans="1:15" s="5" customFormat="1" ht="15.6">
      <c r="A12" s="2045" t="s">
        <v>299</v>
      </c>
      <c r="B12" s="2046"/>
      <c r="C12" s="124" t="e">
        <f>SUM(C4:C11)</f>
        <v>#REF!</v>
      </c>
      <c r="D12" s="124" t="e">
        <f>SUM(D4:D11)</f>
        <v>#REF!</v>
      </c>
      <c r="E12" s="125">
        <f>SUM(E4:E11)</f>
        <v>15238716</v>
      </c>
      <c r="F12" s="121">
        <v>52981010</v>
      </c>
      <c r="G12" s="2045" t="s">
        <v>299</v>
      </c>
      <c r="H12" s="2046"/>
      <c r="I12" s="124">
        <f>SUM(I4:I11)</f>
        <v>173647.91999999998</v>
      </c>
      <c r="J12" s="124">
        <f>SUM(J4:J11)</f>
        <v>24380.217898208408</v>
      </c>
      <c r="K12" s="125">
        <f>SUM(K4:K11)</f>
        <v>31706475</v>
      </c>
      <c r="L12" s="119"/>
      <c r="M12" s="119"/>
      <c r="N12" s="119"/>
      <c r="O12" s="119"/>
    </row>
    <row r="13" spans="1:15" s="5" customFormat="1" ht="15.6">
      <c r="A13" s="126"/>
      <c r="B13" s="307"/>
      <c r="C13" s="308" t="e">
        <f>C12+I12</f>
        <v>#REF!</v>
      </c>
      <c r="D13" s="308" t="e">
        <f t="shared" ref="D13:E13" si="2">D12+J12</f>
        <v>#REF!</v>
      </c>
      <c r="E13" s="309">
        <f t="shared" si="2"/>
        <v>46945191</v>
      </c>
      <c r="F13" s="315"/>
      <c r="G13" s="130"/>
      <c r="H13" s="130"/>
      <c r="I13" s="131"/>
      <c r="J13" s="130"/>
      <c r="K13" s="280"/>
      <c r="L13" s="245">
        <v>2425.7418328151257</v>
      </c>
      <c r="M13" s="119"/>
      <c r="N13" s="245"/>
      <c r="O13" s="119"/>
    </row>
    <row r="14" spans="1:15" s="5" customFormat="1" ht="15.6">
      <c r="A14" s="126"/>
      <c r="B14" s="307"/>
      <c r="C14" s="308"/>
      <c r="D14" s="308"/>
      <c r="E14" s="309"/>
      <c r="F14" s="309"/>
      <c r="G14" s="310"/>
      <c r="H14" s="130"/>
      <c r="I14" s="131"/>
      <c r="J14" s="130"/>
      <c r="K14" s="280"/>
      <c r="L14" s="245"/>
      <c r="M14" s="245" t="e">
        <f>N88</f>
        <v>#REF!</v>
      </c>
      <c r="N14" s="245"/>
      <c r="O14" s="119"/>
    </row>
    <row r="15" spans="1:15" s="5" customFormat="1" ht="15.6">
      <c r="A15" s="126"/>
      <c r="B15" s="307"/>
      <c r="C15" s="308"/>
      <c r="D15" s="308"/>
      <c r="G15" s="130"/>
      <c r="H15" s="130"/>
      <c r="I15" s="131"/>
      <c r="J15" s="130"/>
      <c r="K15" s="280"/>
      <c r="L15" s="245"/>
      <c r="N15" s="45"/>
    </row>
    <row r="16" spans="1:15" s="5" customFormat="1" ht="15.6">
      <c r="B16" s="134">
        <v>13081010</v>
      </c>
      <c r="C16" s="135"/>
      <c r="D16" s="135"/>
      <c r="G16" s="6"/>
      <c r="H16" s="137"/>
      <c r="I16" s="137" t="e">
        <f>SUBTOTAL(9,I19:I168)</f>
        <v>#REF!</v>
      </c>
      <c r="J16" s="137" t="e">
        <f>SUBTOTAL(9,J19:J166)</f>
        <v>#REF!</v>
      </c>
      <c r="K16" s="132"/>
      <c r="L16" s="45"/>
    </row>
    <row r="17" spans="1:15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5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5" s="5" customFormat="1" ht="13.5" customHeight="1">
      <c r="A19" s="229">
        <v>45077</v>
      </c>
      <c r="B19" s="155" t="s">
        <v>65</v>
      </c>
      <c r="C19" s="156"/>
      <c r="D19" s="232"/>
      <c r="E19" s="231"/>
      <c r="F19" s="232"/>
      <c r="G19" s="233"/>
      <c r="H19" s="233"/>
      <c r="I19" s="233"/>
      <c r="J19" s="233"/>
      <c r="K19" s="233">
        <v>79392.478670474156</v>
      </c>
      <c r="L19" s="233">
        <v>11554.106379101293</v>
      </c>
      <c r="M19" s="232"/>
      <c r="N19" s="45">
        <v>11554.11</v>
      </c>
    </row>
    <row r="20" spans="1:15" s="5" customFormat="1" ht="13.5" customHeight="1">
      <c r="A20" s="352">
        <v>45089</v>
      </c>
      <c r="B20" s="248" t="s">
        <v>643</v>
      </c>
      <c r="C20" s="345"/>
      <c r="D20" s="302">
        <v>1</v>
      </c>
      <c r="E20" s="48"/>
      <c r="F20" s="293"/>
      <c r="G20" s="353">
        <v>341557.08</v>
      </c>
      <c r="H20" s="295">
        <v>47933.1</v>
      </c>
      <c r="I20" s="294"/>
      <c r="J20" s="353" t="e">
        <f>I20/'통장내역(환율표)'!#REF!</f>
        <v>#REF!</v>
      </c>
      <c r="K20" s="295">
        <f t="shared" ref="K20:K29" si="3">K19+G20-I20</f>
        <v>420949.55867047416</v>
      </c>
      <c r="L20" s="295" t="e">
        <f t="shared" ref="L20:L29" si="4">L19+H20-J20</f>
        <v>#REF!</v>
      </c>
      <c r="M20" s="354"/>
      <c r="N20" s="45"/>
    </row>
    <row r="21" spans="1:15" s="5" customFormat="1" ht="13.5" customHeight="1">
      <c r="A21" s="352">
        <v>45089</v>
      </c>
      <c r="B21" s="248" t="s">
        <v>250</v>
      </c>
      <c r="C21" s="345"/>
      <c r="D21" s="302">
        <v>1</v>
      </c>
      <c r="E21" s="48" t="s">
        <v>107</v>
      </c>
      <c r="F21" s="293"/>
      <c r="G21" s="353"/>
      <c r="H21" s="295"/>
      <c r="I21" s="294"/>
      <c r="J21" s="351">
        <v>20</v>
      </c>
      <c r="K21" s="295">
        <f t="shared" si="3"/>
        <v>420949.55867047416</v>
      </c>
      <c r="L21" s="295" t="e">
        <f t="shared" si="4"/>
        <v>#REF!</v>
      </c>
      <c r="M21" s="354"/>
      <c r="N21" s="45"/>
      <c r="O21" s="119"/>
    </row>
    <row r="22" spans="1:15" s="5" customFormat="1" ht="13.5" customHeight="1">
      <c r="A22" s="344">
        <v>45089</v>
      </c>
      <c r="B22" s="348" t="s">
        <v>788</v>
      </c>
      <c r="C22" s="349"/>
      <c r="D22" s="282">
        <v>2</v>
      </c>
      <c r="E22" s="37" t="s">
        <v>107</v>
      </c>
      <c r="F22" s="347"/>
      <c r="G22" s="263"/>
      <c r="H22" s="263"/>
      <c r="I22" s="267">
        <v>21715.98</v>
      </c>
      <c r="J22" s="346" t="e">
        <f>I22/'통장내역(환율표)'!#REF!</f>
        <v>#REF!</v>
      </c>
      <c r="K22" s="263">
        <f t="shared" si="3"/>
        <v>399233.57867047418</v>
      </c>
      <c r="L22" s="263" t="e">
        <f t="shared" si="4"/>
        <v>#REF!</v>
      </c>
      <c r="M22" s="347"/>
      <c r="N22" s="45" t="e">
        <f>N19-J22+H22</f>
        <v>#REF!</v>
      </c>
      <c r="O22" s="245"/>
    </row>
    <row r="23" spans="1:15" s="5" customFormat="1" ht="13.5" customHeight="1">
      <c r="A23" s="344">
        <v>45098</v>
      </c>
      <c r="B23" s="313" t="s">
        <v>731</v>
      </c>
      <c r="C23" s="349"/>
      <c r="D23" s="282">
        <v>3</v>
      </c>
      <c r="E23" s="36" t="s">
        <v>60</v>
      </c>
      <c r="F23" s="347"/>
      <c r="G23" s="263">
        <v>221.66</v>
      </c>
      <c r="H23" s="263">
        <v>32.26</v>
      </c>
      <c r="I23" s="267"/>
      <c r="J23" s="346" t="e">
        <f>I23/'통장내역(환율표)'!#REF!</f>
        <v>#REF!</v>
      </c>
      <c r="K23" s="263">
        <f t="shared" si="3"/>
        <v>399455.23867047415</v>
      </c>
      <c r="L23" s="263" t="e">
        <f t="shared" si="4"/>
        <v>#REF!</v>
      </c>
      <c r="M23" s="347"/>
      <c r="N23" s="45" t="e">
        <f t="shared" ref="N23:N29" si="5">N22-J23+H23</f>
        <v>#REF!</v>
      </c>
      <c r="O23" s="119"/>
    </row>
    <row r="24" spans="1:15" s="5" customFormat="1" ht="13.5" customHeight="1">
      <c r="A24" s="344">
        <v>45098</v>
      </c>
      <c r="B24" s="313" t="s">
        <v>131</v>
      </c>
      <c r="C24" s="349"/>
      <c r="D24" s="282">
        <v>4</v>
      </c>
      <c r="E24" s="37" t="s">
        <v>107</v>
      </c>
      <c r="F24" s="347"/>
      <c r="G24" s="263"/>
      <c r="H24" s="263"/>
      <c r="I24" s="267">
        <v>9048.81</v>
      </c>
      <c r="J24" s="346" t="e">
        <f>I24/'통장내역(환율표)'!#REF!</f>
        <v>#REF!</v>
      </c>
      <c r="K24" s="263">
        <f t="shared" si="3"/>
        <v>390406.42867047415</v>
      </c>
      <c r="L24" s="263" t="e">
        <f t="shared" si="4"/>
        <v>#REF!</v>
      </c>
      <c r="M24" s="347" t="s">
        <v>188</v>
      </c>
      <c r="N24" s="45" t="e">
        <f t="shared" si="5"/>
        <v>#REF!</v>
      </c>
      <c r="O24" s="119"/>
    </row>
    <row r="25" spans="1:15" s="5" customFormat="1" ht="13.5" customHeight="1">
      <c r="A25" s="344">
        <v>45098</v>
      </c>
      <c r="B25" s="313" t="s">
        <v>133</v>
      </c>
      <c r="C25" s="349"/>
      <c r="D25" s="282">
        <v>4</v>
      </c>
      <c r="E25" s="37" t="s">
        <v>107</v>
      </c>
      <c r="F25" s="347"/>
      <c r="G25" s="263"/>
      <c r="H25" s="263"/>
      <c r="I25" s="267">
        <v>4776.0400000000009</v>
      </c>
      <c r="J25" s="346" t="e">
        <f>I25/'통장내역(환율표)'!#REF!</f>
        <v>#REF!</v>
      </c>
      <c r="K25" s="263">
        <f t="shared" si="3"/>
        <v>385630.38867047417</v>
      </c>
      <c r="L25" s="263" t="e">
        <f t="shared" si="4"/>
        <v>#REF!</v>
      </c>
      <c r="M25" s="347" t="s">
        <v>188</v>
      </c>
      <c r="N25" s="45" t="e">
        <f t="shared" si="5"/>
        <v>#REF!</v>
      </c>
    </row>
    <row r="26" spans="1:15" s="5" customFormat="1" ht="13.5" customHeight="1">
      <c r="A26" s="344">
        <v>45098</v>
      </c>
      <c r="B26" s="313" t="s">
        <v>456</v>
      </c>
      <c r="C26" s="349"/>
      <c r="D26" s="282">
        <v>4</v>
      </c>
      <c r="E26" s="37" t="s">
        <v>107</v>
      </c>
      <c r="F26" s="347"/>
      <c r="G26" s="263"/>
      <c r="H26" s="263"/>
      <c r="I26" s="267">
        <v>15000</v>
      </c>
      <c r="J26" s="346" t="e">
        <f>I26/'통장내역(환율표)'!#REF!</f>
        <v>#REF!</v>
      </c>
      <c r="K26" s="263">
        <f t="shared" si="3"/>
        <v>370630.38867047417</v>
      </c>
      <c r="L26" s="263" t="e">
        <f t="shared" si="4"/>
        <v>#REF!</v>
      </c>
      <c r="M26" s="347" t="s">
        <v>188</v>
      </c>
      <c r="N26" s="45" t="e">
        <f t="shared" si="5"/>
        <v>#REF!</v>
      </c>
    </row>
    <row r="27" spans="1:15" s="5" customFormat="1" ht="13.5" customHeight="1">
      <c r="A27" s="344">
        <v>45098</v>
      </c>
      <c r="B27" s="313" t="s">
        <v>457</v>
      </c>
      <c r="C27" s="349"/>
      <c r="D27" s="282">
        <v>4</v>
      </c>
      <c r="E27" s="37" t="s">
        <v>107</v>
      </c>
      <c r="F27" s="347"/>
      <c r="G27" s="263"/>
      <c r="H27" s="263"/>
      <c r="I27" s="267">
        <v>22000</v>
      </c>
      <c r="J27" s="346" t="e">
        <f>I27/'통장내역(환율표)'!#REF!</f>
        <v>#REF!</v>
      </c>
      <c r="K27" s="263">
        <f t="shared" si="3"/>
        <v>348630.38867047417</v>
      </c>
      <c r="L27" s="263" t="e">
        <f t="shared" si="4"/>
        <v>#REF!</v>
      </c>
      <c r="M27" s="347" t="s">
        <v>188</v>
      </c>
      <c r="N27" s="45" t="e">
        <f t="shared" si="5"/>
        <v>#REF!</v>
      </c>
    </row>
    <row r="28" spans="1:15" s="5" customFormat="1" ht="13.5" customHeight="1">
      <c r="A28" s="344">
        <v>45098</v>
      </c>
      <c r="B28" s="313" t="s">
        <v>130</v>
      </c>
      <c r="C28" s="349"/>
      <c r="D28" s="282">
        <v>4</v>
      </c>
      <c r="E28" s="37" t="s">
        <v>107</v>
      </c>
      <c r="F28" s="347"/>
      <c r="G28" s="263"/>
      <c r="H28" s="263"/>
      <c r="I28" s="267">
        <v>300</v>
      </c>
      <c r="J28" s="346" t="e">
        <f>I28/'통장내역(환율표)'!#REF!</f>
        <v>#REF!</v>
      </c>
      <c r="K28" s="263">
        <f t="shared" si="3"/>
        <v>348330.38867047417</v>
      </c>
      <c r="L28" s="263" t="e">
        <f t="shared" si="4"/>
        <v>#REF!</v>
      </c>
      <c r="M28" s="347" t="s">
        <v>188</v>
      </c>
      <c r="N28" s="45" t="e">
        <f t="shared" si="5"/>
        <v>#REF!</v>
      </c>
    </row>
    <row r="29" spans="1:15" s="5" customFormat="1" ht="13.5" customHeight="1">
      <c r="A29" s="344">
        <v>45098</v>
      </c>
      <c r="B29" s="313" t="s">
        <v>131</v>
      </c>
      <c r="C29" s="349"/>
      <c r="D29" s="282">
        <v>4</v>
      </c>
      <c r="E29" s="37" t="s">
        <v>107</v>
      </c>
      <c r="F29" s="347"/>
      <c r="G29" s="263"/>
      <c r="H29" s="263"/>
      <c r="I29" s="267">
        <v>5628.8099999999995</v>
      </c>
      <c r="J29" s="346" t="e">
        <f>I29/'통장내역(환율표)'!#REF!</f>
        <v>#REF!</v>
      </c>
      <c r="K29" s="263">
        <f t="shared" si="3"/>
        <v>342701.57867047418</v>
      </c>
      <c r="L29" s="263" t="e">
        <f t="shared" si="4"/>
        <v>#REF!</v>
      </c>
      <c r="M29" s="347" t="s">
        <v>211</v>
      </c>
      <c r="N29" s="45" t="e">
        <f t="shared" si="5"/>
        <v>#REF!</v>
      </c>
    </row>
    <row r="30" spans="1:15" s="5" customFormat="1" ht="13.5" customHeight="1">
      <c r="A30" s="344">
        <v>45098</v>
      </c>
      <c r="B30" s="313" t="s">
        <v>785</v>
      </c>
      <c r="C30" s="349"/>
      <c r="D30" s="282">
        <v>4</v>
      </c>
      <c r="E30" s="37" t="s">
        <v>107</v>
      </c>
      <c r="F30" s="347"/>
      <c r="G30" s="263"/>
      <c r="H30" s="263"/>
      <c r="I30" s="267" t="e">
        <f>J30*'통장내역(환율표)'!#REF!</f>
        <v>#REF!</v>
      </c>
      <c r="J30" s="346">
        <f>166.624387752131-32.26</f>
        <v>134.36438775213102</v>
      </c>
      <c r="K30" s="263" t="e">
        <f>K29+G30-I30</f>
        <v>#REF!</v>
      </c>
      <c r="L30" s="263" t="e">
        <f>L29+H30-J30</f>
        <v>#REF!</v>
      </c>
      <c r="M30" s="347" t="s">
        <v>211</v>
      </c>
      <c r="N30" s="45" t="e">
        <f>N29-J30+H30</f>
        <v>#REF!</v>
      </c>
    </row>
    <row r="31" spans="1:15" s="7" customFormat="1" ht="13.5" customHeight="1">
      <c r="A31" s="344">
        <v>45098</v>
      </c>
      <c r="B31" s="313" t="s">
        <v>794</v>
      </c>
      <c r="C31" s="349"/>
      <c r="D31" s="282">
        <v>4</v>
      </c>
      <c r="E31" s="37" t="s">
        <v>107</v>
      </c>
      <c r="F31" s="361"/>
      <c r="G31" s="362"/>
      <c r="H31" s="362"/>
      <c r="I31" s="363" t="e">
        <f>1144.94-I30</f>
        <v>#REF!</v>
      </c>
      <c r="J31" s="360">
        <v>32.26</v>
      </c>
      <c r="K31" s="263" t="e">
        <f>K30+G31-I31</f>
        <v>#REF!</v>
      </c>
      <c r="L31" s="263" t="e">
        <f>L30+H31-J31</f>
        <v>#REF!</v>
      </c>
      <c r="M31" s="347" t="s">
        <v>211</v>
      </c>
      <c r="N31" s="132"/>
    </row>
    <row r="32" spans="1:15" s="5" customFormat="1" ht="13.5" customHeight="1">
      <c r="A32" s="344">
        <v>45098</v>
      </c>
      <c r="B32" s="313" t="s">
        <v>786</v>
      </c>
      <c r="C32" s="349"/>
      <c r="D32" s="282">
        <v>4</v>
      </c>
      <c r="E32" s="37" t="s">
        <v>107</v>
      </c>
      <c r="F32" s="347"/>
      <c r="G32" s="263"/>
      <c r="H32" s="263"/>
      <c r="I32" s="267">
        <v>3565.0971820000059</v>
      </c>
      <c r="J32" s="351" t="e">
        <f>I32/'통장내역(환율표)'!#REF!</f>
        <v>#REF!</v>
      </c>
      <c r="K32" s="263" t="e">
        <f t="shared" ref="K32:K35" si="6">K31+G32-I32</f>
        <v>#REF!</v>
      </c>
      <c r="L32" s="263" t="e">
        <f t="shared" ref="L32:L35" si="7">L31+H32-J32</f>
        <v>#REF!</v>
      </c>
      <c r="M32" s="347" t="s">
        <v>211</v>
      </c>
      <c r="N32" s="45" t="e">
        <f>47913.1-J32</f>
        <v>#REF!</v>
      </c>
    </row>
    <row r="33" spans="1:14" s="5" customFormat="1" ht="13.5" customHeight="1">
      <c r="A33" s="344">
        <v>45098</v>
      </c>
      <c r="B33" s="313" t="s">
        <v>456</v>
      </c>
      <c r="C33" s="349"/>
      <c r="D33" s="282">
        <v>4</v>
      </c>
      <c r="E33" s="37" t="s">
        <v>107</v>
      </c>
      <c r="F33" s="347"/>
      <c r="G33" s="263"/>
      <c r="H33" s="263"/>
      <c r="I33" s="267">
        <v>15000</v>
      </c>
      <c r="J33" s="351" t="e">
        <f>I33/'통장내역(환율표)'!#REF!</f>
        <v>#REF!</v>
      </c>
      <c r="K33" s="263" t="e">
        <f t="shared" si="6"/>
        <v>#REF!</v>
      </c>
      <c r="L33" s="263" t="e">
        <f t="shared" si="7"/>
        <v>#REF!</v>
      </c>
      <c r="M33" s="347" t="s">
        <v>211</v>
      </c>
      <c r="N33" s="45" t="e">
        <f t="shared" ref="N33:N88" si="8">N32-J33+H33</f>
        <v>#REF!</v>
      </c>
    </row>
    <row r="34" spans="1:14" s="5" customFormat="1" ht="13.5" customHeight="1">
      <c r="A34" s="344">
        <v>45098</v>
      </c>
      <c r="B34" s="313" t="s">
        <v>457</v>
      </c>
      <c r="C34" s="349"/>
      <c r="D34" s="282">
        <v>4</v>
      </c>
      <c r="E34" s="37" t="s">
        <v>107</v>
      </c>
      <c r="F34" s="347"/>
      <c r="G34" s="263"/>
      <c r="H34" s="263"/>
      <c r="I34" s="267">
        <v>22000</v>
      </c>
      <c r="J34" s="351" t="e">
        <f>I34/'통장내역(환율표)'!#REF!</f>
        <v>#REF!</v>
      </c>
      <c r="K34" s="263" t="e">
        <f t="shared" si="6"/>
        <v>#REF!</v>
      </c>
      <c r="L34" s="263" t="e">
        <f t="shared" si="7"/>
        <v>#REF!</v>
      </c>
      <c r="M34" s="347" t="s">
        <v>211</v>
      </c>
      <c r="N34" s="45" t="e">
        <f t="shared" si="8"/>
        <v>#REF!</v>
      </c>
    </row>
    <row r="35" spans="1:14" s="5" customFormat="1" ht="13.5" customHeight="1">
      <c r="A35" s="344">
        <v>45098</v>
      </c>
      <c r="B35" s="313" t="s">
        <v>130</v>
      </c>
      <c r="C35" s="349"/>
      <c r="D35" s="282">
        <v>4</v>
      </c>
      <c r="E35" s="37" t="s">
        <v>107</v>
      </c>
      <c r="F35" s="347"/>
      <c r="G35" s="263"/>
      <c r="H35" s="263"/>
      <c r="I35" s="267">
        <v>300</v>
      </c>
      <c r="J35" s="351" t="e">
        <f>I35/'통장내역(환율표)'!#REF!</f>
        <v>#REF!</v>
      </c>
      <c r="K35" s="263" t="e">
        <f t="shared" si="6"/>
        <v>#REF!</v>
      </c>
      <c r="L35" s="263" t="e">
        <f t="shared" si="7"/>
        <v>#REF!</v>
      </c>
      <c r="M35" s="347" t="s">
        <v>211</v>
      </c>
      <c r="N35" s="45" t="e">
        <f t="shared" si="8"/>
        <v>#REF!</v>
      </c>
    </row>
    <row r="36" spans="1:14" s="5" customFormat="1" ht="13.5" customHeight="1">
      <c r="A36" s="344">
        <v>45098</v>
      </c>
      <c r="B36" s="313" t="s">
        <v>871</v>
      </c>
      <c r="C36" s="349"/>
      <c r="D36" s="282">
        <v>4</v>
      </c>
      <c r="E36" s="37" t="s">
        <v>107</v>
      </c>
      <c r="F36" s="347"/>
      <c r="G36" s="263"/>
      <c r="H36" s="263"/>
      <c r="I36" s="267">
        <v>5054.3900000000003</v>
      </c>
      <c r="J36" s="351" t="e">
        <f>I36/'통장내역(환율표)'!#REF!</f>
        <v>#REF!</v>
      </c>
      <c r="K36" s="263" t="e">
        <f t="shared" ref="K36:K88" si="9">K35+G36-I36</f>
        <v>#REF!</v>
      </c>
      <c r="L36" s="263" t="e">
        <f t="shared" ref="L36:L88" si="10">L35+H36-J36</f>
        <v>#REF!</v>
      </c>
      <c r="M36" s="347" t="s">
        <v>453</v>
      </c>
      <c r="N36" s="45" t="e">
        <f t="shared" si="8"/>
        <v>#REF!</v>
      </c>
    </row>
    <row r="37" spans="1:14" s="5" customFormat="1" ht="13.5" customHeight="1">
      <c r="A37" s="344">
        <v>45098</v>
      </c>
      <c r="B37" s="313" t="s">
        <v>594</v>
      </c>
      <c r="C37" s="349"/>
      <c r="D37" s="282">
        <v>4</v>
      </c>
      <c r="E37" s="37" t="s">
        <v>107</v>
      </c>
      <c r="F37" s="347"/>
      <c r="G37" s="263"/>
      <c r="H37" s="263"/>
      <c r="I37" s="267">
        <v>25000</v>
      </c>
      <c r="J37" s="351" t="e">
        <f>I37/'통장내역(환율표)'!#REF!</f>
        <v>#REF!</v>
      </c>
      <c r="K37" s="263" t="e">
        <f t="shared" si="9"/>
        <v>#REF!</v>
      </c>
      <c r="L37" s="263" t="e">
        <f t="shared" si="10"/>
        <v>#REF!</v>
      </c>
      <c r="M37" s="347" t="s">
        <v>453</v>
      </c>
      <c r="N37" s="45" t="e">
        <f t="shared" si="8"/>
        <v>#REF!</v>
      </c>
    </row>
    <row r="38" spans="1:14" s="5" customFormat="1" ht="13.5" customHeight="1">
      <c r="A38" s="344">
        <v>45098</v>
      </c>
      <c r="B38" s="313" t="s">
        <v>873</v>
      </c>
      <c r="C38" s="349"/>
      <c r="D38" s="282">
        <v>4</v>
      </c>
      <c r="E38" s="37" t="s">
        <v>107</v>
      </c>
      <c r="F38" s="347"/>
      <c r="G38" s="263"/>
      <c r="H38" s="263"/>
      <c r="I38" s="267">
        <v>300</v>
      </c>
      <c r="J38" s="351" t="e">
        <f>I38/'통장내역(환율표)'!#REF!</f>
        <v>#REF!</v>
      </c>
      <c r="K38" s="263" t="e">
        <f t="shared" si="9"/>
        <v>#REF!</v>
      </c>
      <c r="L38" s="263" t="e">
        <f t="shared" si="10"/>
        <v>#REF!</v>
      </c>
      <c r="M38" s="347" t="s">
        <v>453</v>
      </c>
      <c r="N38" s="45" t="e">
        <f t="shared" si="8"/>
        <v>#REF!</v>
      </c>
    </row>
    <row r="39" spans="1:14" s="5" customFormat="1" ht="13.5" customHeight="1">
      <c r="A39" s="344">
        <v>45098</v>
      </c>
      <c r="B39" s="313" t="s">
        <v>250</v>
      </c>
      <c r="C39" s="349"/>
      <c r="D39" s="282">
        <v>4</v>
      </c>
      <c r="E39" s="37" t="s">
        <v>107</v>
      </c>
      <c r="F39" s="347"/>
      <c r="G39" s="263"/>
      <c r="H39" s="263"/>
      <c r="I39" s="267">
        <v>12</v>
      </c>
      <c r="J39" s="351" t="e">
        <f>I39/'통장내역(환율표)'!#REF!</f>
        <v>#REF!</v>
      </c>
      <c r="K39" s="263" t="e">
        <f t="shared" si="9"/>
        <v>#REF!</v>
      </c>
      <c r="L39" s="263" t="e">
        <f t="shared" si="10"/>
        <v>#REF!</v>
      </c>
      <c r="M39" s="347"/>
      <c r="N39" s="45" t="e">
        <f t="shared" si="8"/>
        <v>#REF!</v>
      </c>
    </row>
    <row r="40" spans="1:14" s="5" customFormat="1" ht="13.5" customHeight="1">
      <c r="A40" s="344">
        <v>45098</v>
      </c>
      <c r="B40" s="313" t="s">
        <v>304</v>
      </c>
      <c r="C40" s="349"/>
      <c r="D40" s="282">
        <v>5</v>
      </c>
      <c r="E40" s="347" t="s">
        <v>105</v>
      </c>
      <c r="F40" s="347" t="s">
        <v>106</v>
      </c>
      <c r="G40" s="263"/>
      <c r="H40" s="263"/>
      <c r="I40" s="267">
        <v>20023</v>
      </c>
      <c r="J40" s="351" t="e">
        <f>I40/'통장내역(환율표)'!#REF!</f>
        <v>#REF!</v>
      </c>
      <c r="K40" s="263" t="e">
        <f t="shared" si="9"/>
        <v>#REF!</v>
      </c>
      <c r="L40" s="263" t="e">
        <f t="shared" si="10"/>
        <v>#REF!</v>
      </c>
      <c r="M40" s="347"/>
      <c r="N40" s="45" t="e">
        <f t="shared" si="8"/>
        <v>#REF!</v>
      </c>
    </row>
    <row r="41" spans="1:14" s="5" customFormat="1" ht="13.5" customHeight="1">
      <c r="A41" s="344">
        <v>45098</v>
      </c>
      <c r="B41" s="313" t="s">
        <v>250</v>
      </c>
      <c r="C41" s="349"/>
      <c r="D41" s="282">
        <v>6</v>
      </c>
      <c r="E41" s="347" t="s">
        <v>107</v>
      </c>
      <c r="F41" s="347"/>
      <c r="G41" s="263"/>
      <c r="H41" s="263"/>
      <c r="I41" s="267">
        <v>7.2</v>
      </c>
      <c r="J41" s="351" t="e">
        <f>I41/'통장내역(환율표)'!#REF!</f>
        <v>#REF!</v>
      </c>
      <c r="K41" s="263" t="e">
        <f t="shared" si="9"/>
        <v>#REF!</v>
      </c>
      <c r="L41" s="263" t="e">
        <f t="shared" si="10"/>
        <v>#REF!</v>
      </c>
      <c r="M41" s="347"/>
      <c r="N41" s="45" t="e">
        <f t="shared" si="8"/>
        <v>#REF!</v>
      </c>
    </row>
    <row r="42" spans="1:14" s="5" customFormat="1" ht="13.5" customHeight="1">
      <c r="A42" s="344">
        <v>45098</v>
      </c>
      <c r="B42" s="313" t="s">
        <v>732</v>
      </c>
      <c r="C42" s="349"/>
      <c r="D42" s="282">
        <v>7</v>
      </c>
      <c r="E42" s="347" t="s">
        <v>107</v>
      </c>
      <c r="F42" s="347"/>
      <c r="G42" s="263"/>
      <c r="H42" s="263"/>
      <c r="I42" s="267">
        <v>689.12</v>
      </c>
      <c r="J42" s="351" t="e">
        <f>I42/'통장내역(환율표)'!#REF!</f>
        <v>#REF!</v>
      </c>
      <c r="K42" s="263" t="e">
        <f t="shared" si="9"/>
        <v>#REF!</v>
      </c>
      <c r="L42" s="263" t="e">
        <f t="shared" si="10"/>
        <v>#REF!</v>
      </c>
      <c r="M42" s="347"/>
      <c r="N42" s="45" t="e">
        <f t="shared" si="8"/>
        <v>#REF!</v>
      </c>
    </row>
    <row r="43" spans="1:14" s="5" customFormat="1" ht="13.5" customHeight="1">
      <c r="A43" s="344">
        <v>45098</v>
      </c>
      <c r="B43" s="313" t="s">
        <v>250</v>
      </c>
      <c r="C43" s="349"/>
      <c r="D43" s="282">
        <v>8</v>
      </c>
      <c r="E43" s="347" t="s">
        <v>107</v>
      </c>
      <c r="F43" s="347"/>
      <c r="G43" s="263"/>
      <c r="H43" s="263"/>
      <c r="I43" s="267">
        <v>3.6</v>
      </c>
      <c r="J43" s="351" t="e">
        <f>I43/'통장내역(환율표)'!#REF!</f>
        <v>#REF!</v>
      </c>
      <c r="K43" s="263" t="e">
        <f t="shared" si="9"/>
        <v>#REF!</v>
      </c>
      <c r="L43" s="263" t="e">
        <f t="shared" si="10"/>
        <v>#REF!</v>
      </c>
      <c r="M43" s="347"/>
      <c r="N43" s="45" t="e">
        <f t="shared" si="8"/>
        <v>#REF!</v>
      </c>
    </row>
    <row r="44" spans="1:14" s="5" customFormat="1" ht="13.5" customHeight="1">
      <c r="A44" s="344">
        <v>45098</v>
      </c>
      <c r="B44" s="313" t="s">
        <v>346</v>
      </c>
      <c r="C44" s="349"/>
      <c r="D44" s="282">
        <v>9</v>
      </c>
      <c r="E44" s="347" t="s">
        <v>105</v>
      </c>
      <c r="F44" s="347" t="s">
        <v>227</v>
      </c>
      <c r="G44" s="263"/>
      <c r="H44" s="263"/>
      <c r="I44" s="263">
        <v>10500</v>
      </c>
      <c r="J44" s="351">
        <v>1472.92</v>
      </c>
      <c r="K44" s="263" t="e">
        <f t="shared" si="9"/>
        <v>#REF!</v>
      </c>
      <c r="L44" s="263" t="e">
        <f t="shared" si="10"/>
        <v>#REF!</v>
      </c>
      <c r="M44" s="347"/>
      <c r="N44" s="45" t="e">
        <f t="shared" si="8"/>
        <v>#REF!</v>
      </c>
    </row>
    <row r="45" spans="1:14" s="5" customFormat="1" ht="13.5" customHeight="1">
      <c r="A45" s="344">
        <v>45098</v>
      </c>
      <c r="B45" s="313" t="s">
        <v>347</v>
      </c>
      <c r="C45" s="349"/>
      <c r="D45" s="282">
        <v>9</v>
      </c>
      <c r="E45" s="347" t="s">
        <v>107</v>
      </c>
      <c r="F45" s="347"/>
      <c r="G45" s="263"/>
      <c r="H45" s="263"/>
      <c r="I45" s="263">
        <v>6000</v>
      </c>
      <c r="J45" s="351" t="e">
        <f>I45/'통장내역(환율표)'!#REF!</f>
        <v>#REF!</v>
      </c>
      <c r="K45" s="263" t="e">
        <f t="shared" si="9"/>
        <v>#REF!</v>
      </c>
      <c r="L45" s="263" t="e">
        <f t="shared" si="10"/>
        <v>#REF!</v>
      </c>
      <c r="M45" s="347"/>
      <c r="N45" s="45" t="e">
        <f t="shared" si="8"/>
        <v>#REF!</v>
      </c>
    </row>
    <row r="46" spans="1:14" s="5" customFormat="1" ht="13.5" customHeight="1">
      <c r="A46" s="344">
        <v>45098</v>
      </c>
      <c r="B46" s="313" t="s">
        <v>780</v>
      </c>
      <c r="C46" s="349"/>
      <c r="D46" s="282">
        <v>10</v>
      </c>
      <c r="E46" s="347" t="s">
        <v>107</v>
      </c>
      <c r="F46" s="347"/>
      <c r="G46" s="263"/>
      <c r="H46" s="263"/>
      <c r="I46" s="267">
        <v>320</v>
      </c>
      <c r="J46" s="351" t="e">
        <f>I46/'통장내역(환율표)'!#REF!</f>
        <v>#REF!</v>
      </c>
      <c r="K46" s="263" t="e">
        <f t="shared" si="9"/>
        <v>#REF!</v>
      </c>
      <c r="L46" s="263" t="e">
        <f t="shared" si="10"/>
        <v>#REF!</v>
      </c>
      <c r="M46" s="347"/>
      <c r="N46" s="45" t="e">
        <f t="shared" si="8"/>
        <v>#REF!</v>
      </c>
    </row>
    <row r="47" spans="1:14" s="5" customFormat="1" ht="13.5" customHeight="1">
      <c r="A47" s="344">
        <v>45098</v>
      </c>
      <c r="B47" s="313" t="s">
        <v>250</v>
      </c>
      <c r="C47" s="349"/>
      <c r="D47" s="282">
        <v>11</v>
      </c>
      <c r="E47" s="347" t="s">
        <v>107</v>
      </c>
      <c r="F47" s="347"/>
      <c r="G47" s="263"/>
      <c r="H47" s="263"/>
      <c r="I47" s="267">
        <v>7.2</v>
      </c>
      <c r="J47" s="351" t="e">
        <f>I47/'통장내역(환율표)'!#REF!</f>
        <v>#REF!</v>
      </c>
      <c r="K47" s="263" t="e">
        <f t="shared" si="9"/>
        <v>#REF!</v>
      </c>
      <c r="L47" s="263" t="e">
        <f t="shared" si="10"/>
        <v>#REF!</v>
      </c>
      <c r="M47" s="347"/>
      <c r="N47" s="45" t="e">
        <f t="shared" si="8"/>
        <v>#REF!</v>
      </c>
    </row>
    <row r="48" spans="1:14" s="5" customFormat="1" ht="13.5" customHeight="1">
      <c r="A48" s="344">
        <v>45098</v>
      </c>
      <c r="B48" s="313" t="s">
        <v>789</v>
      </c>
      <c r="C48" s="349"/>
      <c r="D48" s="282">
        <v>12</v>
      </c>
      <c r="E48" s="347" t="s">
        <v>107</v>
      </c>
      <c r="F48" s="347"/>
      <c r="G48" s="263"/>
      <c r="H48" s="263"/>
      <c r="I48" s="267">
        <v>7906</v>
      </c>
      <c r="J48" s="351" t="e">
        <f>I48/'통장내역(환율표)'!#REF!</f>
        <v>#REF!</v>
      </c>
      <c r="K48" s="263" t="e">
        <f t="shared" si="9"/>
        <v>#REF!</v>
      </c>
      <c r="L48" s="263" t="e">
        <f t="shared" si="10"/>
        <v>#REF!</v>
      </c>
      <c r="M48" s="347" t="s">
        <v>790</v>
      </c>
      <c r="N48" s="45" t="e">
        <f t="shared" si="8"/>
        <v>#REF!</v>
      </c>
    </row>
    <row r="49" spans="1:14" s="5" customFormat="1" ht="13.5" customHeight="1">
      <c r="A49" s="344">
        <v>45098</v>
      </c>
      <c r="B49" s="313" t="s">
        <v>250</v>
      </c>
      <c r="C49" s="349"/>
      <c r="D49" s="282">
        <v>13</v>
      </c>
      <c r="E49" s="347" t="s">
        <v>107</v>
      </c>
      <c r="F49" s="347"/>
      <c r="G49" s="263"/>
      <c r="H49" s="263"/>
      <c r="I49" s="267">
        <v>3.6</v>
      </c>
      <c r="J49" s="351" t="e">
        <f>I49/'통장내역(환율표)'!#REF!</f>
        <v>#REF!</v>
      </c>
      <c r="K49" s="263" t="e">
        <f t="shared" si="9"/>
        <v>#REF!</v>
      </c>
      <c r="L49" s="263" t="e">
        <f t="shared" si="10"/>
        <v>#REF!</v>
      </c>
      <c r="M49" s="347"/>
      <c r="N49" s="45" t="e">
        <f t="shared" si="8"/>
        <v>#REF!</v>
      </c>
    </row>
    <row r="50" spans="1:14" s="5" customFormat="1" ht="13.5" customHeight="1">
      <c r="A50" s="344">
        <v>45102</v>
      </c>
      <c r="B50" s="313" t="s">
        <v>781</v>
      </c>
      <c r="C50" s="349"/>
      <c r="D50" s="282">
        <v>14</v>
      </c>
      <c r="E50" s="347" t="s">
        <v>146</v>
      </c>
      <c r="F50" s="347" t="s">
        <v>147</v>
      </c>
      <c r="G50" s="263"/>
      <c r="H50" s="263"/>
      <c r="I50" s="267">
        <v>603.46</v>
      </c>
      <c r="J50" s="351" t="e">
        <f>I50/'통장내역(환율표)'!#REF!</f>
        <v>#REF!</v>
      </c>
      <c r="K50" s="263" t="e">
        <f t="shared" si="9"/>
        <v>#REF!</v>
      </c>
      <c r="L50" s="263" t="e">
        <f t="shared" si="10"/>
        <v>#REF!</v>
      </c>
      <c r="M50" s="347"/>
      <c r="N50" s="45" t="e">
        <f t="shared" si="8"/>
        <v>#REF!</v>
      </c>
    </row>
    <row r="51" spans="1:14" s="5" customFormat="1" ht="13.5" customHeight="1">
      <c r="A51" s="344">
        <v>45102</v>
      </c>
      <c r="B51" s="313" t="s">
        <v>782</v>
      </c>
      <c r="C51" s="349"/>
      <c r="D51" s="282">
        <v>15</v>
      </c>
      <c r="E51" s="347" t="s">
        <v>116</v>
      </c>
      <c r="F51" s="347" t="s">
        <v>140</v>
      </c>
      <c r="G51" s="263"/>
      <c r="H51" s="263"/>
      <c r="I51" s="267">
        <v>98.5</v>
      </c>
      <c r="J51" s="351" t="e">
        <f>I51/'통장내역(환율표)'!#REF!</f>
        <v>#REF!</v>
      </c>
      <c r="K51" s="263" t="e">
        <f t="shared" si="9"/>
        <v>#REF!</v>
      </c>
      <c r="L51" s="263" t="e">
        <f t="shared" si="10"/>
        <v>#REF!</v>
      </c>
      <c r="M51" s="347"/>
      <c r="N51" s="45" t="e">
        <f t="shared" si="8"/>
        <v>#REF!</v>
      </c>
    </row>
    <row r="52" spans="1:14" s="5" customFormat="1" ht="13.5" customHeight="1">
      <c r="A52" s="344">
        <v>45102</v>
      </c>
      <c r="B52" s="313" t="s">
        <v>783</v>
      </c>
      <c r="C52" s="349"/>
      <c r="D52" s="282">
        <v>16</v>
      </c>
      <c r="E52" s="347" t="s">
        <v>107</v>
      </c>
      <c r="F52" s="347"/>
      <c r="G52" s="263"/>
      <c r="H52" s="263"/>
      <c r="I52" s="267">
        <v>210.71</v>
      </c>
      <c r="J52" s="351" t="e">
        <f>I52/'통장내역(환율표)'!#REF!</f>
        <v>#REF!</v>
      </c>
      <c r="K52" s="263" t="e">
        <f t="shared" si="9"/>
        <v>#REF!</v>
      </c>
      <c r="L52" s="263" t="e">
        <f t="shared" si="10"/>
        <v>#REF!</v>
      </c>
      <c r="M52" s="347"/>
      <c r="N52" s="45" t="e">
        <f t="shared" si="8"/>
        <v>#REF!</v>
      </c>
    </row>
    <row r="53" spans="1:14" s="5" customFormat="1" ht="13.5" customHeight="1">
      <c r="A53" s="344">
        <v>45102</v>
      </c>
      <c r="B53" s="313" t="s">
        <v>250</v>
      </c>
      <c r="C53" s="349"/>
      <c r="D53" s="282">
        <v>17</v>
      </c>
      <c r="E53" s="347" t="s">
        <v>107</v>
      </c>
      <c r="F53" s="347"/>
      <c r="G53" s="263"/>
      <c r="H53" s="263"/>
      <c r="I53" s="267">
        <v>3.6</v>
      </c>
      <c r="J53" s="351" t="e">
        <f>I53/'통장내역(환율표)'!#REF!</f>
        <v>#REF!</v>
      </c>
      <c r="K53" s="263" t="e">
        <f t="shared" si="9"/>
        <v>#REF!</v>
      </c>
      <c r="L53" s="263" t="e">
        <f t="shared" si="10"/>
        <v>#REF!</v>
      </c>
      <c r="M53" s="347"/>
      <c r="N53" s="45" t="e">
        <f t="shared" si="8"/>
        <v>#REF!</v>
      </c>
    </row>
    <row r="54" spans="1:14" s="5" customFormat="1" ht="13.5" customHeight="1">
      <c r="A54" s="344">
        <v>45102</v>
      </c>
      <c r="B54" s="348" t="s">
        <v>714</v>
      </c>
      <c r="C54" s="349"/>
      <c r="D54" s="282">
        <v>18</v>
      </c>
      <c r="E54" s="347" t="s">
        <v>146</v>
      </c>
      <c r="F54" s="347" t="s">
        <v>147</v>
      </c>
      <c r="G54" s="263"/>
      <c r="H54" s="263"/>
      <c r="I54" s="267">
        <v>964</v>
      </c>
      <c r="J54" s="351" t="e">
        <f>I54/'통장내역(환율표)'!#REF!</f>
        <v>#REF!</v>
      </c>
      <c r="K54" s="263" t="e">
        <f t="shared" si="9"/>
        <v>#REF!</v>
      </c>
      <c r="L54" s="263" t="e">
        <f t="shared" si="10"/>
        <v>#REF!</v>
      </c>
      <c r="M54" s="347"/>
      <c r="N54" s="45" t="e">
        <f t="shared" si="8"/>
        <v>#REF!</v>
      </c>
    </row>
    <row r="55" spans="1:14" s="5" customFormat="1" ht="13.5" customHeight="1">
      <c r="A55" s="344">
        <v>45102</v>
      </c>
      <c r="B55" s="348" t="s">
        <v>715</v>
      </c>
      <c r="C55" s="349"/>
      <c r="D55" s="282">
        <v>19</v>
      </c>
      <c r="E55" s="347" t="s">
        <v>146</v>
      </c>
      <c r="F55" s="347" t="s">
        <v>147</v>
      </c>
      <c r="G55" s="263"/>
      <c r="H55" s="263"/>
      <c r="I55" s="267">
        <v>2507</v>
      </c>
      <c r="J55" s="351" t="e">
        <f>I55/'통장내역(환율표)'!#REF!</f>
        <v>#REF!</v>
      </c>
      <c r="K55" s="263" t="e">
        <f t="shared" si="9"/>
        <v>#REF!</v>
      </c>
      <c r="L55" s="263" t="e">
        <f t="shared" si="10"/>
        <v>#REF!</v>
      </c>
      <c r="M55" s="347"/>
      <c r="N55" s="45" t="e">
        <f t="shared" si="8"/>
        <v>#REF!</v>
      </c>
    </row>
    <row r="56" spans="1:14" s="5" customFormat="1" ht="13.5" customHeight="1">
      <c r="A56" s="344">
        <v>45102</v>
      </c>
      <c r="B56" s="348" t="s">
        <v>716</v>
      </c>
      <c r="C56" s="349"/>
      <c r="D56" s="282">
        <v>20</v>
      </c>
      <c r="E56" s="347" t="s">
        <v>146</v>
      </c>
      <c r="F56" s="347" t="s">
        <v>147</v>
      </c>
      <c r="G56" s="263"/>
      <c r="H56" s="263"/>
      <c r="I56" s="267">
        <v>233</v>
      </c>
      <c r="J56" s="351" t="e">
        <f>I56/'통장내역(환율표)'!#REF!</f>
        <v>#REF!</v>
      </c>
      <c r="K56" s="263" t="e">
        <f t="shared" si="9"/>
        <v>#REF!</v>
      </c>
      <c r="L56" s="263" t="e">
        <f t="shared" si="10"/>
        <v>#REF!</v>
      </c>
      <c r="M56" s="347"/>
      <c r="N56" s="45" t="e">
        <f t="shared" si="8"/>
        <v>#REF!</v>
      </c>
    </row>
    <row r="57" spans="1:14" s="5" customFormat="1" ht="13.5" customHeight="1">
      <c r="A57" s="344">
        <v>45102</v>
      </c>
      <c r="B57" s="313" t="s">
        <v>250</v>
      </c>
      <c r="C57" s="349"/>
      <c r="D57" s="282">
        <v>21</v>
      </c>
      <c r="E57" s="347" t="s">
        <v>107</v>
      </c>
      <c r="F57" s="347"/>
      <c r="G57" s="263"/>
      <c r="H57" s="263"/>
      <c r="I57" s="267">
        <v>3.6</v>
      </c>
      <c r="J57" s="351" t="e">
        <f>I57/'통장내역(환율표)'!#REF!</f>
        <v>#REF!</v>
      </c>
      <c r="K57" s="263" t="e">
        <f t="shared" si="9"/>
        <v>#REF!</v>
      </c>
      <c r="L57" s="263" t="e">
        <f t="shared" si="10"/>
        <v>#REF!</v>
      </c>
      <c r="M57" s="347"/>
      <c r="N57" s="45" t="e">
        <f t="shared" si="8"/>
        <v>#REF!</v>
      </c>
    </row>
    <row r="58" spans="1:14" s="5" customFormat="1" ht="13.5" customHeight="1">
      <c r="A58" s="344">
        <v>45102</v>
      </c>
      <c r="B58" s="313" t="s">
        <v>733</v>
      </c>
      <c r="C58" s="349"/>
      <c r="D58" s="282">
        <v>22</v>
      </c>
      <c r="E58" s="347" t="s">
        <v>146</v>
      </c>
      <c r="F58" s="347" t="s">
        <v>147</v>
      </c>
      <c r="G58" s="263"/>
      <c r="H58" s="263"/>
      <c r="I58" s="267">
        <v>770.97</v>
      </c>
      <c r="J58" s="351" t="e">
        <f>I58/'통장내역(환율표)'!#REF!</f>
        <v>#REF!</v>
      </c>
      <c r="K58" s="263" t="e">
        <f t="shared" si="9"/>
        <v>#REF!</v>
      </c>
      <c r="L58" s="263" t="e">
        <f t="shared" si="10"/>
        <v>#REF!</v>
      </c>
      <c r="M58" s="347"/>
      <c r="N58" s="45" t="e">
        <f t="shared" si="8"/>
        <v>#REF!</v>
      </c>
    </row>
    <row r="59" spans="1:14" s="5" customFormat="1" ht="13.5" customHeight="1">
      <c r="A59" s="344">
        <v>45102</v>
      </c>
      <c r="B59" s="313" t="s">
        <v>250</v>
      </c>
      <c r="C59" s="349"/>
      <c r="D59" s="282">
        <v>23</v>
      </c>
      <c r="E59" s="347" t="s">
        <v>107</v>
      </c>
      <c r="F59" s="347"/>
      <c r="G59" s="263"/>
      <c r="H59" s="263"/>
      <c r="I59" s="267">
        <v>3.6</v>
      </c>
      <c r="J59" s="351" t="e">
        <f>I59/'통장내역(환율표)'!#REF!</f>
        <v>#REF!</v>
      </c>
      <c r="K59" s="263" t="e">
        <f t="shared" si="9"/>
        <v>#REF!</v>
      </c>
      <c r="L59" s="263" t="e">
        <f t="shared" si="10"/>
        <v>#REF!</v>
      </c>
      <c r="M59" s="347"/>
      <c r="N59" s="45" t="e">
        <f t="shared" si="8"/>
        <v>#REF!</v>
      </c>
    </row>
    <row r="60" spans="1:14" s="5" customFormat="1" ht="13.5" customHeight="1">
      <c r="A60" s="344">
        <v>45102</v>
      </c>
      <c r="B60" s="313" t="s">
        <v>734</v>
      </c>
      <c r="C60" s="349"/>
      <c r="D60" s="282">
        <v>24</v>
      </c>
      <c r="E60" s="347" t="s">
        <v>146</v>
      </c>
      <c r="F60" s="347" t="s">
        <v>147</v>
      </c>
      <c r="G60" s="263"/>
      <c r="H60" s="263"/>
      <c r="I60" s="267">
        <v>4465.24</v>
      </c>
      <c r="J60" s="351" t="e">
        <f>I60/'통장내역(환율표)'!#REF!</f>
        <v>#REF!</v>
      </c>
      <c r="K60" s="263" t="e">
        <f t="shared" si="9"/>
        <v>#REF!</v>
      </c>
      <c r="L60" s="263" t="e">
        <f t="shared" si="10"/>
        <v>#REF!</v>
      </c>
      <c r="M60" s="347"/>
      <c r="N60" s="45" t="e">
        <f t="shared" si="8"/>
        <v>#REF!</v>
      </c>
    </row>
    <row r="61" spans="1:14" s="5" customFormat="1" ht="13.5" customHeight="1">
      <c r="A61" s="344">
        <v>45102</v>
      </c>
      <c r="B61" s="313" t="s">
        <v>250</v>
      </c>
      <c r="C61" s="349"/>
      <c r="D61" s="282">
        <v>25</v>
      </c>
      <c r="E61" s="347" t="s">
        <v>107</v>
      </c>
      <c r="F61" s="347"/>
      <c r="G61" s="263"/>
      <c r="H61" s="263"/>
      <c r="I61" s="267">
        <v>3.6</v>
      </c>
      <c r="J61" s="351" t="e">
        <f>I61/'통장내역(환율표)'!#REF!</f>
        <v>#REF!</v>
      </c>
      <c r="K61" s="263" t="e">
        <f t="shared" si="9"/>
        <v>#REF!</v>
      </c>
      <c r="L61" s="263" t="e">
        <f t="shared" si="10"/>
        <v>#REF!</v>
      </c>
      <c r="M61" s="347"/>
      <c r="N61" s="45" t="e">
        <f t="shared" si="8"/>
        <v>#REF!</v>
      </c>
    </row>
    <row r="62" spans="1:14" s="5" customFormat="1" ht="13.5" customHeight="1">
      <c r="A62" s="344">
        <v>45102</v>
      </c>
      <c r="B62" s="313" t="s">
        <v>735</v>
      </c>
      <c r="C62" s="349"/>
      <c r="D62" s="282">
        <v>26</v>
      </c>
      <c r="E62" s="347" t="s">
        <v>146</v>
      </c>
      <c r="F62" s="347" t="s">
        <v>147</v>
      </c>
      <c r="G62" s="263"/>
      <c r="H62" s="263"/>
      <c r="I62" s="267">
        <v>931.65</v>
      </c>
      <c r="J62" s="351" t="e">
        <f>I62/'통장내역(환율표)'!#REF!</f>
        <v>#REF!</v>
      </c>
      <c r="K62" s="263" t="e">
        <f t="shared" si="9"/>
        <v>#REF!</v>
      </c>
      <c r="L62" s="263" t="e">
        <f t="shared" si="10"/>
        <v>#REF!</v>
      </c>
      <c r="M62" s="347"/>
      <c r="N62" s="45" t="e">
        <f t="shared" si="8"/>
        <v>#REF!</v>
      </c>
    </row>
    <row r="63" spans="1:14" s="5" customFormat="1" ht="13.5" customHeight="1">
      <c r="A63" s="344">
        <v>45102</v>
      </c>
      <c r="B63" s="313" t="s">
        <v>250</v>
      </c>
      <c r="C63" s="349"/>
      <c r="D63" s="282">
        <v>27</v>
      </c>
      <c r="E63" s="347" t="s">
        <v>107</v>
      </c>
      <c r="F63" s="347"/>
      <c r="G63" s="263"/>
      <c r="H63" s="263"/>
      <c r="I63" s="267">
        <v>3.6</v>
      </c>
      <c r="J63" s="351" t="e">
        <f>I63/'통장내역(환율표)'!#REF!</f>
        <v>#REF!</v>
      </c>
      <c r="K63" s="263" t="e">
        <f t="shared" si="9"/>
        <v>#REF!</v>
      </c>
      <c r="L63" s="263" t="e">
        <f t="shared" si="10"/>
        <v>#REF!</v>
      </c>
      <c r="M63" s="347"/>
      <c r="N63" s="45" t="e">
        <f t="shared" si="8"/>
        <v>#REF!</v>
      </c>
    </row>
    <row r="64" spans="1:14" s="5" customFormat="1" ht="13.5" customHeight="1">
      <c r="A64" s="344">
        <v>45102</v>
      </c>
      <c r="B64" s="313" t="s">
        <v>736</v>
      </c>
      <c r="C64" s="349"/>
      <c r="D64" s="282">
        <v>28</v>
      </c>
      <c r="E64" s="347" t="s">
        <v>146</v>
      </c>
      <c r="F64" s="347" t="s">
        <v>147</v>
      </c>
      <c r="G64" s="263"/>
      <c r="H64" s="263"/>
      <c r="I64" s="267">
        <v>3629</v>
      </c>
      <c r="J64" s="351" t="e">
        <f>I64/'통장내역(환율표)'!#REF!</f>
        <v>#REF!</v>
      </c>
      <c r="K64" s="263" t="e">
        <f t="shared" si="9"/>
        <v>#REF!</v>
      </c>
      <c r="L64" s="263" t="e">
        <f t="shared" si="10"/>
        <v>#REF!</v>
      </c>
      <c r="M64" s="347"/>
      <c r="N64" s="45" t="e">
        <f t="shared" si="8"/>
        <v>#REF!</v>
      </c>
    </row>
    <row r="65" spans="1:14" s="5" customFormat="1" ht="13.5" customHeight="1">
      <c r="A65" s="344">
        <v>45102</v>
      </c>
      <c r="B65" s="313" t="s">
        <v>250</v>
      </c>
      <c r="C65" s="349"/>
      <c r="D65" s="282">
        <v>29</v>
      </c>
      <c r="E65" s="347" t="s">
        <v>107</v>
      </c>
      <c r="F65" s="347"/>
      <c r="G65" s="263"/>
      <c r="H65" s="263"/>
      <c r="I65" s="267">
        <v>3.6</v>
      </c>
      <c r="J65" s="351" t="e">
        <f>I65/'통장내역(환율표)'!#REF!</f>
        <v>#REF!</v>
      </c>
      <c r="K65" s="263" t="e">
        <f t="shared" si="9"/>
        <v>#REF!</v>
      </c>
      <c r="L65" s="263" t="e">
        <f t="shared" si="10"/>
        <v>#REF!</v>
      </c>
      <c r="M65" s="347"/>
      <c r="N65" s="45" t="e">
        <f t="shared" si="8"/>
        <v>#REF!</v>
      </c>
    </row>
    <row r="66" spans="1:14" s="5" customFormat="1" ht="13.5" customHeight="1">
      <c r="A66" s="344">
        <v>45102</v>
      </c>
      <c r="B66" s="313" t="s">
        <v>737</v>
      </c>
      <c r="C66" s="349"/>
      <c r="D66" s="282">
        <v>30</v>
      </c>
      <c r="E66" s="347" t="s">
        <v>146</v>
      </c>
      <c r="F66" s="347" t="s">
        <v>147</v>
      </c>
      <c r="G66" s="263"/>
      <c r="H66" s="263"/>
      <c r="I66" s="267">
        <v>3302</v>
      </c>
      <c r="J66" s="351" t="e">
        <f>I66/'통장내역(환율표)'!#REF!</f>
        <v>#REF!</v>
      </c>
      <c r="K66" s="263" t="e">
        <f t="shared" si="9"/>
        <v>#REF!</v>
      </c>
      <c r="L66" s="263" t="e">
        <f t="shared" si="10"/>
        <v>#REF!</v>
      </c>
      <c r="M66" s="347"/>
      <c r="N66" s="45" t="e">
        <f t="shared" si="8"/>
        <v>#REF!</v>
      </c>
    </row>
    <row r="67" spans="1:14" s="5" customFormat="1" ht="13.5" customHeight="1">
      <c r="A67" s="344">
        <v>45102</v>
      </c>
      <c r="B67" s="313" t="s">
        <v>250</v>
      </c>
      <c r="C67" s="349"/>
      <c r="D67" s="282">
        <v>31</v>
      </c>
      <c r="E67" s="347" t="s">
        <v>107</v>
      </c>
      <c r="F67" s="347"/>
      <c r="G67" s="263"/>
      <c r="H67" s="263"/>
      <c r="I67" s="267">
        <v>3.6</v>
      </c>
      <c r="J67" s="351" t="e">
        <f>I67/'통장내역(환율표)'!#REF!</f>
        <v>#REF!</v>
      </c>
      <c r="K67" s="263" t="e">
        <f t="shared" si="9"/>
        <v>#REF!</v>
      </c>
      <c r="L67" s="263" t="e">
        <f t="shared" si="10"/>
        <v>#REF!</v>
      </c>
      <c r="M67" s="347"/>
      <c r="N67" s="45" t="e">
        <f t="shared" si="8"/>
        <v>#REF!</v>
      </c>
    </row>
    <row r="68" spans="1:14" s="5" customFormat="1" ht="13.5" customHeight="1">
      <c r="A68" s="344">
        <v>45102</v>
      </c>
      <c r="B68" s="313" t="s">
        <v>738</v>
      </c>
      <c r="C68" s="349"/>
      <c r="D68" s="282">
        <v>32</v>
      </c>
      <c r="E68" s="347" t="s">
        <v>125</v>
      </c>
      <c r="F68" s="347" t="s">
        <v>145</v>
      </c>
      <c r="G68" s="263"/>
      <c r="H68" s="263"/>
      <c r="I68" s="267">
        <v>9361.35</v>
      </c>
      <c r="J68" s="351" t="e">
        <f>I68/'통장내역(환율표)'!#REF!</f>
        <v>#REF!</v>
      </c>
      <c r="K68" s="263" t="e">
        <f t="shared" si="9"/>
        <v>#REF!</v>
      </c>
      <c r="L68" s="263" t="e">
        <f t="shared" si="10"/>
        <v>#REF!</v>
      </c>
      <c r="M68" s="347"/>
      <c r="N68" s="45" t="e">
        <f t="shared" si="8"/>
        <v>#REF!</v>
      </c>
    </row>
    <row r="69" spans="1:14" s="5" customFormat="1" ht="13.5" customHeight="1">
      <c r="A69" s="344">
        <v>45102</v>
      </c>
      <c r="B69" s="313" t="s">
        <v>250</v>
      </c>
      <c r="C69" s="349"/>
      <c r="D69" s="282">
        <v>33</v>
      </c>
      <c r="E69" s="347" t="s">
        <v>107</v>
      </c>
      <c r="F69" s="347"/>
      <c r="G69" s="263"/>
      <c r="H69" s="263"/>
      <c r="I69" s="267">
        <v>3.6</v>
      </c>
      <c r="J69" s="351" t="e">
        <f>I69/'통장내역(환율표)'!#REF!</f>
        <v>#REF!</v>
      </c>
      <c r="K69" s="263" t="e">
        <f t="shared" si="9"/>
        <v>#REF!</v>
      </c>
      <c r="L69" s="263" t="e">
        <f t="shared" si="10"/>
        <v>#REF!</v>
      </c>
      <c r="M69" s="347"/>
      <c r="N69" s="45" t="e">
        <f t="shared" si="8"/>
        <v>#REF!</v>
      </c>
    </row>
    <row r="70" spans="1:14" s="5" customFormat="1" ht="13.5" customHeight="1">
      <c r="A70" s="344">
        <v>45102</v>
      </c>
      <c r="B70" s="313" t="s">
        <v>739</v>
      </c>
      <c r="C70" s="349"/>
      <c r="D70" s="282">
        <v>34</v>
      </c>
      <c r="E70" s="347" t="s">
        <v>146</v>
      </c>
      <c r="F70" s="347" t="s">
        <v>147</v>
      </c>
      <c r="G70" s="263"/>
      <c r="H70" s="263"/>
      <c r="I70" s="267">
        <v>3222</v>
      </c>
      <c r="J70" s="351" t="e">
        <f>I70/'통장내역(환율표)'!#REF!</f>
        <v>#REF!</v>
      </c>
      <c r="K70" s="263" t="e">
        <f t="shared" si="9"/>
        <v>#REF!</v>
      </c>
      <c r="L70" s="263" t="e">
        <f t="shared" si="10"/>
        <v>#REF!</v>
      </c>
      <c r="M70" s="347"/>
      <c r="N70" s="45" t="e">
        <f t="shared" si="8"/>
        <v>#REF!</v>
      </c>
    </row>
    <row r="71" spans="1:14" s="5" customFormat="1" ht="13.5" customHeight="1">
      <c r="A71" s="344">
        <v>45102</v>
      </c>
      <c r="B71" s="313" t="s">
        <v>250</v>
      </c>
      <c r="C71" s="349"/>
      <c r="D71" s="282">
        <v>35</v>
      </c>
      <c r="E71" s="347" t="s">
        <v>107</v>
      </c>
      <c r="F71" s="347"/>
      <c r="G71" s="263"/>
      <c r="H71" s="263"/>
      <c r="I71" s="267">
        <v>3.6</v>
      </c>
      <c r="J71" s="351" t="e">
        <f>I71/'통장내역(환율표)'!#REF!</f>
        <v>#REF!</v>
      </c>
      <c r="K71" s="263" t="e">
        <f t="shared" si="9"/>
        <v>#REF!</v>
      </c>
      <c r="L71" s="263" t="e">
        <f t="shared" si="10"/>
        <v>#REF!</v>
      </c>
      <c r="M71" s="347"/>
      <c r="N71" s="45" t="e">
        <f t="shared" si="8"/>
        <v>#REF!</v>
      </c>
    </row>
    <row r="72" spans="1:14" s="5" customFormat="1" ht="13.5" customHeight="1">
      <c r="A72" s="344">
        <v>45102</v>
      </c>
      <c r="B72" s="348" t="s">
        <v>740</v>
      </c>
      <c r="C72" s="349"/>
      <c r="D72" s="282">
        <v>36</v>
      </c>
      <c r="E72" s="347" t="s">
        <v>146</v>
      </c>
      <c r="F72" s="347" t="s">
        <v>147</v>
      </c>
      <c r="G72" s="263"/>
      <c r="H72" s="263"/>
      <c r="I72" s="267">
        <v>5798.04</v>
      </c>
      <c r="J72" s="351" t="e">
        <f>I72/'통장내역(환율표)'!#REF!</f>
        <v>#REF!</v>
      </c>
      <c r="K72" s="263" t="e">
        <f t="shared" si="9"/>
        <v>#REF!</v>
      </c>
      <c r="L72" s="263" t="e">
        <f t="shared" si="10"/>
        <v>#REF!</v>
      </c>
      <c r="M72" s="347"/>
      <c r="N72" s="45" t="e">
        <f t="shared" si="8"/>
        <v>#REF!</v>
      </c>
    </row>
    <row r="73" spans="1:14" s="5" customFormat="1" ht="13.5" customHeight="1">
      <c r="A73" s="344">
        <v>45102</v>
      </c>
      <c r="B73" s="313" t="s">
        <v>250</v>
      </c>
      <c r="C73" s="349"/>
      <c r="D73" s="282">
        <v>37</v>
      </c>
      <c r="E73" s="347" t="s">
        <v>107</v>
      </c>
      <c r="F73" s="347"/>
      <c r="G73" s="263"/>
      <c r="H73" s="263"/>
      <c r="I73" s="267">
        <v>3.6</v>
      </c>
      <c r="J73" s="351" t="e">
        <f>I73/'통장내역(환율표)'!#REF!</f>
        <v>#REF!</v>
      </c>
      <c r="K73" s="263" t="e">
        <f t="shared" si="9"/>
        <v>#REF!</v>
      </c>
      <c r="L73" s="263" t="e">
        <f t="shared" si="10"/>
        <v>#REF!</v>
      </c>
      <c r="M73" s="347"/>
      <c r="N73" s="45" t="e">
        <f t="shared" si="8"/>
        <v>#REF!</v>
      </c>
    </row>
    <row r="74" spans="1:14" s="5" customFormat="1" ht="13.5" customHeight="1">
      <c r="A74" s="344">
        <v>45102</v>
      </c>
      <c r="B74" s="313" t="s">
        <v>741</v>
      </c>
      <c r="C74" s="349"/>
      <c r="D74" s="282">
        <v>38</v>
      </c>
      <c r="E74" s="347" t="s">
        <v>146</v>
      </c>
      <c r="F74" s="347" t="s">
        <v>147</v>
      </c>
      <c r="G74" s="263"/>
      <c r="H74" s="263"/>
      <c r="I74" s="267">
        <v>5854.24</v>
      </c>
      <c r="J74" s="351" t="e">
        <f>I74/'통장내역(환율표)'!#REF!</f>
        <v>#REF!</v>
      </c>
      <c r="K74" s="263" t="e">
        <f t="shared" si="9"/>
        <v>#REF!</v>
      </c>
      <c r="L74" s="263" t="e">
        <f t="shared" si="10"/>
        <v>#REF!</v>
      </c>
      <c r="M74" s="347"/>
      <c r="N74" s="45" t="e">
        <f t="shared" si="8"/>
        <v>#REF!</v>
      </c>
    </row>
    <row r="75" spans="1:14" s="5" customFormat="1" ht="13.5" customHeight="1">
      <c r="A75" s="344">
        <v>45102</v>
      </c>
      <c r="B75" s="313" t="s">
        <v>250</v>
      </c>
      <c r="C75" s="349"/>
      <c r="D75" s="282">
        <v>39</v>
      </c>
      <c r="E75" s="347" t="s">
        <v>107</v>
      </c>
      <c r="F75" s="347"/>
      <c r="G75" s="263"/>
      <c r="H75" s="263"/>
      <c r="I75" s="267">
        <v>3.6</v>
      </c>
      <c r="J75" s="351" t="e">
        <f>I75/'통장내역(환율표)'!#REF!</f>
        <v>#REF!</v>
      </c>
      <c r="K75" s="263" t="e">
        <f t="shared" si="9"/>
        <v>#REF!</v>
      </c>
      <c r="L75" s="263" t="e">
        <f t="shared" si="10"/>
        <v>#REF!</v>
      </c>
      <c r="M75" s="347"/>
      <c r="N75" s="45" t="e">
        <f t="shared" si="8"/>
        <v>#REF!</v>
      </c>
    </row>
    <row r="76" spans="1:14" s="5" customFormat="1" ht="13.5" customHeight="1">
      <c r="A76" s="344">
        <v>45102</v>
      </c>
      <c r="B76" s="350" t="s">
        <v>717</v>
      </c>
      <c r="C76" s="349"/>
      <c r="D76" s="282">
        <v>40</v>
      </c>
      <c r="E76" s="347" t="s">
        <v>107</v>
      </c>
      <c r="F76" s="347"/>
      <c r="G76" s="263"/>
      <c r="H76" s="263"/>
      <c r="I76" s="267">
        <v>407.74</v>
      </c>
      <c r="J76" s="351" t="e">
        <f>I76/'통장내역(환율표)'!#REF!</f>
        <v>#REF!</v>
      </c>
      <c r="K76" s="263" t="e">
        <f t="shared" si="9"/>
        <v>#REF!</v>
      </c>
      <c r="L76" s="263" t="e">
        <f t="shared" si="10"/>
        <v>#REF!</v>
      </c>
      <c r="M76" s="347"/>
      <c r="N76" s="45" t="e">
        <f t="shared" si="8"/>
        <v>#REF!</v>
      </c>
    </row>
    <row r="77" spans="1:14" s="5" customFormat="1" ht="13.5" customHeight="1">
      <c r="A77" s="344">
        <v>45102</v>
      </c>
      <c r="B77" s="350" t="s">
        <v>718</v>
      </c>
      <c r="C77" s="349"/>
      <c r="D77" s="282">
        <v>41</v>
      </c>
      <c r="E77" s="347" t="s">
        <v>107</v>
      </c>
      <c r="F77" s="347"/>
      <c r="G77" s="263"/>
      <c r="H77" s="263"/>
      <c r="I77" s="267">
        <v>182</v>
      </c>
      <c r="J77" s="351" t="e">
        <f>I77/'통장내역(환율표)'!#REF!</f>
        <v>#REF!</v>
      </c>
      <c r="K77" s="263" t="e">
        <f t="shared" si="9"/>
        <v>#REF!</v>
      </c>
      <c r="L77" s="263" t="e">
        <f t="shared" si="10"/>
        <v>#REF!</v>
      </c>
      <c r="M77" s="347"/>
      <c r="N77" s="45" t="e">
        <f t="shared" si="8"/>
        <v>#REF!</v>
      </c>
    </row>
    <row r="78" spans="1:14" s="5" customFormat="1" ht="13.5" customHeight="1">
      <c r="A78" s="344">
        <v>45102</v>
      </c>
      <c r="B78" s="350" t="s">
        <v>719</v>
      </c>
      <c r="C78" s="349"/>
      <c r="D78" s="282">
        <v>42</v>
      </c>
      <c r="E78" s="347" t="s">
        <v>107</v>
      </c>
      <c r="F78" s="347"/>
      <c r="G78" s="263"/>
      <c r="H78" s="263"/>
      <c r="I78" s="267">
        <v>300</v>
      </c>
      <c r="J78" s="351" t="e">
        <f>I78/'통장내역(환율표)'!#REF!</f>
        <v>#REF!</v>
      </c>
      <c r="K78" s="263" t="e">
        <f t="shared" si="9"/>
        <v>#REF!</v>
      </c>
      <c r="L78" s="263" t="e">
        <f t="shared" si="10"/>
        <v>#REF!</v>
      </c>
      <c r="M78" s="347"/>
      <c r="N78" s="45" t="e">
        <f t="shared" si="8"/>
        <v>#REF!</v>
      </c>
    </row>
    <row r="79" spans="1:14" s="5" customFormat="1" ht="13.5" customHeight="1">
      <c r="A79" s="344">
        <v>45102</v>
      </c>
      <c r="B79" s="350" t="s">
        <v>784</v>
      </c>
      <c r="C79" s="349"/>
      <c r="D79" s="282">
        <v>43</v>
      </c>
      <c r="E79" s="347" t="s">
        <v>107</v>
      </c>
      <c r="F79" s="347"/>
      <c r="G79" s="263"/>
      <c r="H79" s="263"/>
      <c r="I79" s="267">
        <v>159</v>
      </c>
      <c r="J79" s="351" t="e">
        <f>I79/'통장내역(환율표)'!#REF!</f>
        <v>#REF!</v>
      </c>
      <c r="K79" s="263" t="e">
        <f t="shared" si="9"/>
        <v>#REF!</v>
      </c>
      <c r="L79" s="263" t="e">
        <f t="shared" si="10"/>
        <v>#REF!</v>
      </c>
      <c r="M79" s="347"/>
      <c r="N79" s="45" t="e">
        <f t="shared" si="8"/>
        <v>#REF!</v>
      </c>
    </row>
    <row r="80" spans="1:14" s="5" customFormat="1" ht="13.5" customHeight="1">
      <c r="A80" s="344">
        <v>45102</v>
      </c>
      <c r="B80" s="350" t="s">
        <v>721</v>
      </c>
      <c r="C80" s="349"/>
      <c r="D80" s="282">
        <v>44</v>
      </c>
      <c r="E80" s="347" t="s">
        <v>107</v>
      </c>
      <c r="F80" s="347"/>
      <c r="G80" s="263"/>
      <c r="H80" s="263"/>
      <c r="I80" s="267">
        <v>351</v>
      </c>
      <c r="J80" s="351" t="e">
        <f>I80/'통장내역(환율표)'!#REF!</f>
        <v>#REF!</v>
      </c>
      <c r="K80" s="263" t="e">
        <f t="shared" si="9"/>
        <v>#REF!</v>
      </c>
      <c r="L80" s="263" t="e">
        <f t="shared" si="10"/>
        <v>#REF!</v>
      </c>
      <c r="M80" s="347"/>
      <c r="N80" s="45" t="e">
        <f t="shared" si="8"/>
        <v>#REF!</v>
      </c>
    </row>
    <row r="81" spans="1:15" s="5" customFormat="1" ht="13.5" customHeight="1">
      <c r="A81" s="344">
        <v>45102</v>
      </c>
      <c r="B81" s="313" t="s">
        <v>250</v>
      </c>
      <c r="C81" s="349"/>
      <c r="D81" s="282">
        <v>45</v>
      </c>
      <c r="E81" s="347" t="s">
        <v>107</v>
      </c>
      <c r="F81" s="347"/>
      <c r="G81" s="263"/>
      <c r="H81" s="263"/>
      <c r="I81" s="267">
        <v>3.6</v>
      </c>
      <c r="J81" s="351" t="e">
        <f>I81/'통장내역(환율표)'!#REF!</f>
        <v>#REF!</v>
      </c>
      <c r="K81" s="263" t="e">
        <f t="shared" si="9"/>
        <v>#REF!</v>
      </c>
      <c r="L81" s="263" t="e">
        <f t="shared" si="10"/>
        <v>#REF!</v>
      </c>
      <c r="M81" s="347"/>
      <c r="N81" s="45" t="e">
        <f t="shared" si="8"/>
        <v>#REF!</v>
      </c>
    </row>
    <row r="82" spans="1:15" s="5" customFormat="1" ht="13.5" customHeight="1">
      <c r="A82" s="344">
        <v>45102</v>
      </c>
      <c r="B82" s="313" t="s">
        <v>621</v>
      </c>
      <c r="C82" s="349"/>
      <c r="D82" s="37">
        <v>46</v>
      </c>
      <c r="E82" s="347" t="s">
        <v>116</v>
      </c>
      <c r="F82" s="347" t="s">
        <v>140</v>
      </c>
      <c r="G82" s="263"/>
      <c r="H82" s="263"/>
      <c r="I82" s="267">
        <v>533.78</v>
      </c>
      <c r="J82" s="351" t="e">
        <f>I82/'통장내역(환율표)'!#REF!</f>
        <v>#REF!</v>
      </c>
      <c r="K82" s="263" t="e">
        <f t="shared" si="9"/>
        <v>#REF!</v>
      </c>
      <c r="L82" s="263" t="e">
        <f t="shared" si="10"/>
        <v>#REF!</v>
      </c>
      <c r="M82" s="347"/>
      <c r="N82" s="45" t="e">
        <f t="shared" si="8"/>
        <v>#REF!</v>
      </c>
    </row>
    <row r="83" spans="1:15" s="5" customFormat="1" ht="13.5" customHeight="1">
      <c r="A83" s="344">
        <v>45102</v>
      </c>
      <c r="B83" s="313" t="s">
        <v>443</v>
      </c>
      <c r="C83" s="349"/>
      <c r="D83" s="37">
        <v>47</v>
      </c>
      <c r="E83" s="347" t="s">
        <v>116</v>
      </c>
      <c r="F83" s="347" t="s">
        <v>140</v>
      </c>
      <c r="G83" s="263"/>
      <c r="H83" s="263"/>
      <c r="I83" s="267">
        <v>396.5</v>
      </c>
      <c r="J83" s="351" t="e">
        <f>I83/'통장내역(환율표)'!#REF!</f>
        <v>#REF!</v>
      </c>
      <c r="K83" s="263" t="e">
        <f t="shared" si="9"/>
        <v>#REF!</v>
      </c>
      <c r="L83" s="263" t="e">
        <f t="shared" si="10"/>
        <v>#REF!</v>
      </c>
      <c r="M83" s="347"/>
      <c r="N83" s="45" t="e">
        <f t="shared" si="8"/>
        <v>#REF!</v>
      </c>
    </row>
    <row r="84" spans="1:15" s="5" customFormat="1" ht="13.5" customHeight="1">
      <c r="A84" s="344">
        <v>45102</v>
      </c>
      <c r="B84" s="313" t="s">
        <v>250</v>
      </c>
      <c r="C84" s="349"/>
      <c r="D84" s="282">
        <v>48</v>
      </c>
      <c r="E84" s="347" t="s">
        <v>107</v>
      </c>
      <c r="F84" s="347"/>
      <c r="G84" s="263"/>
      <c r="H84" s="263"/>
      <c r="I84" s="267">
        <v>3.6</v>
      </c>
      <c r="J84" s="351" t="e">
        <f>I84/'통장내역(환율표)'!#REF!</f>
        <v>#REF!</v>
      </c>
      <c r="K84" s="263" t="e">
        <f t="shared" si="9"/>
        <v>#REF!</v>
      </c>
      <c r="L84" s="263" t="e">
        <f t="shared" si="10"/>
        <v>#REF!</v>
      </c>
      <c r="M84" s="347"/>
      <c r="N84" s="45" t="e">
        <f t="shared" si="8"/>
        <v>#REF!</v>
      </c>
    </row>
    <row r="85" spans="1:15" s="5" customFormat="1" ht="13.5" customHeight="1">
      <c r="A85" s="344">
        <v>45102</v>
      </c>
      <c r="B85" s="313" t="s">
        <v>742</v>
      </c>
      <c r="C85" s="349"/>
      <c r="D85" s="282">
        <v>49</v>
      </c>
      <c r="E85" s="347" t="s">
        <v>125</v>
      </c>
      <c r="F85" s="347" t="s">
        <v>145</v>
      </c>
      <c r="G85" s="263"/>
      <c r="H85" s="263"/>
      <c r="I85" s="263">
        <v>10717.1</v>
      </c>
      <c r="J85" s="351" t="e">
        <f>I85/'통장내역(환율표)'!#REF!</f>
        <v>#REF!</v>
      </c>
      <c r="K85" s="263" t="e">
        <f t="shared" si="9"/>
        <v>#REF!</v>
      </c>
      <c r="L85" s="263" t="e">
        <f t="shared" si="10"/>
        <v>#REF!</v>
      </c>
      <c r="M85" s="347"/>
      <c r="N85" s="45" t="e">
        <f t="shared" si="8"/>
        <v>#REF!</v>
      </c>
    </row>
    <row r="86" spans="1:15" s="5" customFormat="1" ht="13.5" customHeight="1">
      <c r="A86" s="344">
        <v>45102</v>
      </c>
      <c r="B86" s="313" t="s">
        <v>250</v>
      </c>
      <c r="C86" s="349"/>
      <c r="D86" s="282">
        <v>50</v>
      </c>
      <c r="E86" s="347" t="s">
        <v>107</v>
      </c>
      <c r="F86" s="347"/>
      <c r="G86" s="263"/>
      <c r="H86" s="263"/>
      <c r="I86" s="263">
        <v>7.2</v>
      </c>
      <c r="J86" s="351" t="e">
        <f>I86/'통장내역(환율표)'!#REF!</f>
        <v>#REF!</v>
      </c>
      <c r="K86" s="263" t="e">
        <f t="shared" si="9"/>
        <v>#REF!</v>
      </c>
      <c r="L86" s="263" t="e">
        <f t="shared" si="10"/>
        <v>#REF!</v>
      </c>
      <c r="M86" s="347"/>
      <c r="N86" s="45" t="e">
        <f t="shared" si="8"/>
        <v>#REF!</v>
      </c>
    </row>
    <row r="87" spans="1:15" s="5" customFormat="1" ht="13.5" customHeight="1">
      <c r="A87" s="344">
        <v>45102</v>
      </c>
      <c r="B87" s="313" t="s">
        <v>787</v>
      </c>
      <c r="C87" s="349"/>
      <c r="D87" s="282">
        <v>51</v>
      </c>
      <c r="E87" s="347" t="s">
        <v>146</v>
      </c>
      <c r="F87" s="347" t="s">
        <v>147</v>
      </c>
      <c r="G87" s="263"/>
      <c r="H87" s="263"/>
      <c r="I87" s="263">
        <v>1679.16</v>
      </c>
      <c r="J87" s="351" t="e">
        <f>I87/'통장내역(환율표)'!#REF!</f>
        <v>#REF!</v>
      </c>
      <c r="K87" s="263" t="e">
        <f t="shared" si="9"/>
        <v>#REF!</v>
      </c>
      <c r="L87" s="263" t="e">
        <f t="shared" si="10"/>
        <v>#REF!</v>
      </c>
      <c r="M87" s="347"/>
      <c r="N87" s="45" t="e">
        <f t="shared" si="8"/>
        <v>#REF!</v>
      </c>
    </row>
    <row r="88" spans="1:15" s="5" customFormat="1" ht="13.5" customHeight="1">
      <c r="A88" s="344">
        <v>45102</v>
      </c>
      <c r="B88" s="313" t="s">
        <v>250</v>
      </c>
      <c r="C88" s="349"/>
      <c r="D88" s="282">
        <v>52</v>
      </c>
      <c r="E88" s="347" t="s">
        <v>107</v>
      </c>
      <c r="F88" s="347"/>
      <c r="G88" s="263"/>
      <c r="H88" s="263"/>
      <c r="I88" s="263">
        <v>3.6</v>
      </c>
      <c r="J88" s="351" t="e">
        <f>I88/'통장내역(환율표)'!#REF!</f>
        <v>#REF!</v>
      </c>
      <c r="K88" s="263" t="e">
        <f t="shared" si="9"/>
        <v>#REF!</v>
      </c>
      <c r="L88" s="263" t="e">
        <f t="shared" si="10"/>
        <v>#REF!</v>
      </c>
      <c r="M88" s="347"/>
      <c r="N88" s="45" t="e">
        <f t="shared" si="8"/>
        <v>#REF!</v>
      </c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2.7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 s="355"/>
      <c r="D103" s="355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 s="356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 s="63"/>
      <c r="D105" s="357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2.7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8" spans="1:15">
      <c r="B158" s="314"/>
    </row>
    <row r="159" spans="1:15">
      <c r="B159" s="314"/>
    </row>
  </sheetData>
  <autoFilter ref="A18:N157" xr:uid="{00000000-0009-0000-0000-000011000000}">
    <filterColumn colId="1" showButton="0"/>
  </autoFilter>
  <mergeCells count="11">
    <mergeCell ref="G17:H17"/>
    <mergeCell ref="I17:J17"/>
    <mergeCell ref="K17:L17"/>
    <mergeCell ref="M17:M18"/>
    <mergeCell ref="A12:B12"/>
    <mergeCell ref="A17:A18"/>
    <mergeCell ref="B17:C18"/>
    <mergeCell ref="D17:D18"/>
    <mergeCell ref="E17:E18"/>
    <mergeCell ref="F17:F18"/>
    <mergeCell ref="G12:H12"/>
  </mergeCells>
  <phoneticPr fontId="3" type="noConversion"/>
  <pageMargins left="0.25" right="0.25" top="0.75" bottom="0.75" header="0.3" footer="0.3"/>
  <pageSetup paperSize="9" scale="3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A61A0-0D84-4FD8-8481-F3EC04748E45}">
  <sheetPr>
    <tabColor rgb="FFFFC000"/>
    <pageSetUpPr fitToPage="1"/>
  </sheetPr>
  <dimension ref="A1:O128"/>
  <sheetViews>
    <sheetView showGridLines="0" zoomScale="85" zoomScaleNormal="85" workbookViewId="0">
      <pane ySplit="18" topLeftCell="A19" activePane="bottomLeft" state="frozen"/>
      <selection activeCell="H22" sqref="H22"/>
      <selection pane="bottomLeft" activeCell="D36" sqref="D36"/>
    </sheetView>
  </sheetViews>
  <sheetFormatPr defaultRowHeight="17.399999999999999"/>
  <cols>
    <col min="1" max="1" width="11.796875" customWidth="1"/>
    <col min="2" max="2" width="22.69921875" customWidth="1"/>
    <col min="3" max="3" width="17.296875" customWidth="1"/>
    <col min="4" max="4" width="11.796875" customWidth="1"/>
    <col min="5" max="5" width="14.59765625" bestFit="1" customWidth="1"/>
    <col min="6" max="6" width="9.59765625" bestFit="1" customWidth="1"/>
    <col min="7" max="7" width="10.796875" bestFit="1" customWidth="1"/>
    <col min="8" max="8" width="10" bestFit="1" customWidth="1"/>
    <col min="9" max="9" width="15.296875" bestFit="1" customWidth="1"/>
    <col min="10" max="11" width="13.5" bestFit="1" customWidth="1"/>
    <col min="12" max="12" width="11.59765625" bestFit="1" customWidth="1"/>
    <col min="13" max="13" width="50.19921875" bestFit="1" customWidth="1"/>
    <col min="14" max="14" width="15.09765625" customWidth="1"/>
    <col min="15" max="16" width="9.59765625" bestFit="1" customWidth="1"/>
  </cols>
  <sheetData>
    <row r="1" spans="1:15" ht="24">
      <c r="A1" s="1" t="s">
        <v>303</v>
      </c>
      <c r="B1" s="2"/>
      <c r="C1" s="2"/>
      <c r="D1" s="3">
        <v>7000000513</v>
      </c>
      <c r="E1" s="4">
        <v>7000000512</v>
      </c>
      <c r="F1" s="130"/>
      <c r="G1" s="337" t="s">
        <v>792</v>
      </c>
      <c r="H1" s="299"/>
      <c r="I1" s="299"/>
      <c r="J1" s="299"/>
      <c r="K1" s="299"/>
      <c r="L1" s="5"/>
      <c r="M1" s="5"/>
    </row>
    <row r="2" spans="1:15" s="5" customFormat="1">
      <c r="A2" s="130" t="s">
        <v>817</v>
      </c>
      <c r="B2" s="2"/>
      <c r="C2" s="2"/>
      <c r="D2" s="119"/>
      <c r="E2" s="4">
        <v>100000404</v>
      </c>
      <c r="F2" s="119"/>
      <c r="G2" s="130" t="s">
        <v>818</v>
      </c>
      <c r="H2" s="2"/>
      <c r="I2" s="2"/>
      <c r="K2" s="4">
        <v>100000210</v>
      </c>
      <c r="L2" s="364"/>
    </row>
    <row r="3" spans="1:15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5" s="5" customFormat="1" ht="15.6">
      <c r="A4" s="114" t="s">
        <v>292</v>
      </c>
      <c r="B4" s="115"/>
      <c r="C4" s="116">
        <v>5300</v>
      </c>
      <c r="D4" s="116">
        <v>743.47581961995922</v>
      </c>
      <c r="E4" s="117">
        <v>966896</v>
      </c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5" s="5" customFormat="1" ht="15.6">
      <c r="A5" s="114" t="s">
        <v>238</v>
      </c>
      <c r="B5" s="115" t="s">
        <v>12</v>
      </c>
      <c r="C5" s="120">
        <v>24039.41</v>
      </c>
      <c r="D5" s="116">
        <v>3372.2113307415557</v>
      </c>
      <c r="E5" s="117">
        <v>4385559</v>
      </c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0"/>
    </row>
    <row r="6" spans="1:15" s="5" customFormat="1" ht="15.6">
      <c r="A6" s="114" t="s">
        <v>294</v>
      </c>
      <c r="B6" s="115" t="s">
        <v>14</v>
      </c>
      <c r="C6" s="116">
        <v>18148.34</v>
      </c>
      <c r="D6" s="116">
        <v>2545.8211238191871</v>
      </c>
      <c r="E6" s="117">
        <v>3310839</v>
      </c>
      <c r="F6" s="121">
        <v>51061030</v>
      </c>
      <c r="G6" s="114" t="s">
        <v>294</v>
      </c>
      <c r="H6" s="115" t="s">
        <v>14</v>
      </c>
      <c r="I6" s="116"/>
      <c r="J6" s="116"/>
      <c r="K6" s="117"/>
      <c r="L6" s="240">
        <f t="shared" ref="L6:L11" si="0">K6+E6</f>
        <v>3310839</v>
      </c>
    </row>
    <row r="7" spans="1:15" s="5" customFormat="1" ht="15.6">
      <c r="A7" s="114" t="s">
        <v>75</v>
      </c>
      <c r="B7" s="115" t="s">
        <v>16</v>
      </c>
      <c r="C7" s="116">
        <v>20023</v>
      </c>
      <c r="D7" s="116">
        <v>2808.7955351415931</v>
      </c>
      <c r="E7" s="117">
        <v>3652844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0">
        <f t="shared" si="0"/>
        <v>3652844</v>
      </c>
      <c r="M7" s="359">
        <v>4869534</v>
      </c>
      <c r="N7" s="240">
        <f t="shared" ref="N7:N10" si="1">M7-L7</f>
        <v>1216690</v>
      </c>
      <c r="O7" s="119"/>
    </row>
    <row r="8" spans="1:15" s="5" customFormat="1" ht="15.6">
      <c r="A8" s="114" t="s">
        <v>75</v>
      </c>
      <c r="B8" s="114" t="s">
        <v>17</v>
      </c>
      <c r="C8" s="116">
        <v>10500</v>
      </c>
      <c r="D8" s="116">
        <v>1472.9237935867116</v>
      </c>
      <c r="E8" s="117">
        <v>1915532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0">
        <f t="shared" si="0"/>
        <v>1915532</v>
      </c>
      <c r="M8" s="359">
        <v>2830112</v>
      </c>
      <c r="N8" s="240">
        <f t="shared" si="1"/>
        <v>914580</v>
      </c>
      <c r="O8" s="119"/>
    </row>
    <row r="9" spans="1:15" s="5" customFormat="1" ht="15.6">
      <c r="A9" s="114" t="s">
        <v>296</v>
      </c>
      <c r="B9" s="114" t="s">
        <v>20</v>
      </c>
      <c r="C9" s="116">
        <v>496.6</v>
      </c>
      <c r="D9" s="116">
        <v>69.662281513824851</v>
      </c>
      <c r="E9" s="117">
        <v>90593</v>
      </c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0">
        <f t="shared" si="0"/>
        <v>90593</v>
      </c>
      <c r="M9" s="359">
        <v>1381768</v>
      </c>
      <c r="N9" s="240">
        <f t="shared" si="1"/>
        <v>1291175</v>
      </c>
      <c r="O9" s="119"/>
    </row>
    <row r="10" spans="1:15" s="5" customFormat="1" ht="15.6">
      <c r="A10" s="114" t="s">
        <v>62</v>
      </c>
      <c r="B10" s="115"/>
      <c r="C10" s="116">
        <v>11430.460000000005</v>
      </c>
      <c r="D10" s="116">
        <v>1603.4472862515388</v>
      </c>
      <c r="E10" s="117">
        <v>2085287</v>
      </c>
      <c r="F10" s="121">
        <v>51321010</v>
      </c>
      <c r="G10" s="114" t="s">
        <v>62</v>
      </c>
      <c r="H10" s="115"/>
      <c r="I10" s="116"/>
      <c r="J10" s="116"/>
      <c r="K10" s="117"/>
      <c r="L10" s="240">
        <f t="shared" si="0"/>
        <v>2085287</v>
      </c>
      <c r="M10" s="359">
        <v>68260263</v>
      </c>
      <c r="N10" s="240">
        <f t="shared" si="1"/>
        <v>66174976</v>
      </c>
      <c r="O10" s="119"/>
    </row>
    <row r="11" spans="1:15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  <c r="M11" s="359"/>
      <c r="N11" s="119"/>
      <c r="O11" s="119"/>
    </row>
    <row r="12" spans="1:15" s="5" customFormat="1" ht="15.6">
      <c r="A12" s="2045" t="s">
        <v>299</v>
      </c>
      <c r="B12" s="2046"/>
      <c r="C12" s="124">
        <f>SUM(C4:C11)</f>
        <v>89937.810000000012</v>
      </c>
      <c r="D12" s="124">
        <f>SUM(D4:D11)</f>
        <v>12616.337170674371</v>
      </c>
      <c r="E12" s="125">
        <f>SUM(E4:E11)</f>
        <v>16407550</v>
      </c>
      <c r="F12" s="121">
        <v>52981010</v>
      </c>
      <c r="G12" s="2045" t="s">
        <v>299</v>
      </c>
      <c r="H12" s="2046"/>
      <c r="I12" s="124">
        <f>SUM(I4:I11)</f>
        <v>0</v>
      </c>
      <c r="J12" s="124">
        <f>SUM(J4:J11)</f>
        <v>0</v>
      </c>
      <c r="K12" s="125">
        <f>SUM(K4:K11)</f>
        <v>0</v>
      </c>
      <c r="L12" s="119"/>
      <c r="M12" s="119"/>
      <c r="N12" s="119"/>
      <c r="O12" s="119"/>
    </row>
    <row r="13" spans="1:15" s="5" customFormat="1" ht="14.25" customHeight="1">
      <c r="A13" s="126"/>
      <c r="B13" s="307"/>
      <c r="C13" s="308">
        <f>C12+I12</f>
        <v>89937.810000000012</v>
      </c>
      <c r="D13" s="308">
        <f>D12+J12</f>
        <v>12616.337170674371</v>
      </c>
      <c r="E13" s="309">
        <f t="shared" ref="E13" si="2">E12+K12</f>
        <v>16407550</v>
      </c>
      <c r="F13" s="378"/>
      <c r="G13" s="130"/>
      <c r="H13" s="130"/>
      <c r="I13" s="131"/>
      <c r="J13" s="130"/>
      <c r="K13" s="280"/>
      <c r="L13" s="245">
        <v>2425.7418328151257</v>
      </c>
      <c r="M13" s="119"/>
      <c r="N13" s="245"/>
      <c r="O13" s="119"/>
    </row>
    <row r="14" spans="1:15" s="5" customFormat="1" ht="15.6">
      <c r="A14" s="126" t="s">
        <v>815</v>
      </c>
      <c r="B14" s="307"/>
      <c r="C14" s="308">
        <v>78190.58</v>
      </c>
      <c r="D14" s="308">
        <v>743.47581961995922</v>
      </c>
      <c r="E14" s="309"/>
      <c r="F14" s="377"/>
      <c r="G14" s="310"/>
      <c r="H14" s="130"/>
      <c r="I14" s="131"/>
      <c r="J14" s="130"/>
      <c r="K14" s="280"/>
      <c r="L14" s="245"/>
      <c r="M14" s="245" t="e">
        <f>#REF!</f>
        <v>#REF!</v>
      </c>
      <c r="N14" s="245"/>
      <c r="O14" s="119"/>
    </row>
    <row r="15" spans="1:15" s="5" customFormat="1" ht="15.6">
      <c r="A15" s="126"/>
      <c r="B15" s="307"/>
      <c r="C15" s="308">
        <f>SUM(C13:C14)</f>
        <v>168128.39</v>
      </c>
      <c r="D15" s="308">
        <f>SUM(D13:D14)</f>
        <v>13359.812990294331</v>
      </c>
      <c r="F15" s="377"/>
      <c r="G15" s="130"/>
      <c r="H15" s="130"/>
      <c r="I15" s="131"/>
      <c r="J15" s="130"/>
      <c r="K15" s="280"/>
      <c r="L15" s="245"/>
      <c r="N15" s="45"/>
    </row>
    <row r="16" spans="1:15" s="5" customFormat="1" ht="15.6">
      <c r="G16" s="6"/>
      <c r="H16" s="137"/>
      <c r="I16" s="137">
        <f>SUBTOTAL(9,I19:I137)</f>
        <v>168130.39</v>
      </c>
      <c r="J16" s="137" t="e">
        <f>SUBTOTAL(9,J19:J135)</f>
        <v>#REF!</v>
      </c>
      <c r="K16" s="132"/>
      <c r="L16" s="45"/>
    </row>
    <row r="17" spans="1:15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5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5" s="5" customFormat="1" ht="13.5" customHeight="1">
      <c r="A19" s="229">
        <v>45107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168130.39148847412</v>
      </c>
      <c r="L19" s="233">
        <v>23585.13389584819</v>
      </c>
      <c r="M19" s="232"/>
      <c r="N19" s="45">
        <v>23585.13</v>
      </c>
    </row>
    <row r="20" spans="1:15" s="5" customFormat="1" ht="13.5" customHeight="1">
      <c r="A20" s="255">
        <v>45128</v>
      </c>
      <c r="B20" s="365" t="s">
        <v>346</v>
      </c>
      <c r="C20" s="283"/>
      <c r="D20" s="282">
        <v>1</v>
      </c>
      <c r="E20" s="37" t="s">
        <v>105</v>
      </c>
      <c r="F20" s="347" t="s">
        <v>227</v>
      </c>
      <c r="G20" s="366"/>
      <c r="H20" s="283"/>
      <c r="I20" s="333">
        <v>10500</v>
      </c>
      <c r="J20" s="351" t="e">
        <f>I20/'통장내역(환율표)'!#REF!</f>
        <v>#REF!</v>
      </c>
      <c r="K20" s="263">
        <f t="shared" ref="K20:L20" si="3">K19+G20-I20</f>
        <v>157630.39148847412</v>
      </c>
      <c r="L20" s="263" t="e">
        <f t="shared" si="3"/>
        <v>#REF!</v>
      </c>
      <c r="M20" s="283"/>
      <c r="N20" s="45" t="e">
        <f>N19-J20</f>
        <v>#REF!</v>
      </c>
    </row>
    <row r="21" spans="1:15" s="5" customFormat="1" ht="13.5" customHeight="1">
      <c r="A21" s="255">
        <v>45128</v>
      </c>
      <c r="B21" s="365" t="s">
        <v>347</v>
      </c>
      <c r="C21" s="283"/>
      <c r="D21" s="282">
        <v>2</v>
      </c>
      <c r="E21" s="37" t="s">
        <v>107</v>
      </c>
      <c r="F21" s="347"/>
      <c r="G21" s="366"/>
      <c r="H21" s="283"/>
      <c r="I21" s="333">
        <v>6000</v>
      </c>
      <c r="J21" s="351" t="e">
        <f>I21/'통장내역(환율표)'!#REF!</f>
        <v>#REF!</v>
      </c>
      <c r="K21" s="263">
        <f t="shared" ref="K21:K55" si="4">K20+G21-I21</f>
        <v>151630.39148847412</v>
      </c>
      <c r="L21" s="263" t="e">
        <f t="shared" ref="L21:L55" si="5">L20+H21-J21</f>
        <v>#REF!</v>
      </c>
      <c r="M21" s="283"/>
      <c r="N21" s="45" t="e">
        <f t="shared" ref="N21:N55" si="6">N20-J21</f>
        <v>#REF!</v>
      </c>
      <c r="O21" s="119"/>
    </row>
    <row r="22" spans="1:15" s="5" customFormat="1" ht="13.5" customHeight="1">
      <c r="A22" s="255">
        <v>45128</v>
      </c>
      <c r="B22" s="365" t="s">
        <v>780</v>
      </c>
      <c r="C22" s="283"/>
      <c r="D22" s="282">
        <v>3</v>
      </c>
      <c r="E22" s="37" t="s">
        <v>107</v>
      </c>
      <c r="F22" s="347"/>
      <c r="G22" s="366"/>
      <c r="H22" s="283"/>
      <c r="I22" s="333">
        <v>1240</v>
      </c>
      <c r="J22" s="351" t="e">
        <f>I22/'통장내역(환율표)'!#REF!</f>
        <v>#REF!</v>
      </c>
      <c r="K22" s="263">
        <f t="shared" si="4"/>
        <v>150390.39148847412</v>
      </c>
      <c r="L22" s="263" t="e">
        <f t="shared" si="5"/>
        <v>#REF!</v>
      </c>
      <c r="M22" s="283"/>
      <c r="N22" s="45" t="e">
        <f t="shared" si="6"/>
        <v>#REF!</v>
      </c>
      <c r="O22" s="245"/>
    </row>
    <row r="23" spans="1:15" s="5" customFormat="1" ht="13.5" customHeight="1">
      <c r="A23" s="255">
        <v>45128</v>
      </c>
      <c r="B23" s="365" t="s">
        <v>250</v>
      </c>
      <c r="C23" s="283"/>
      <c r="D23" s="282">
        <v>4</v>
      </c>
      <c r="E23" s="37" t="s">
        <v>107</v>
      </c>
      <c r="F23" s="347"/>
      <c r="G23" s="366"/>
      <c r="H23" s="283"/>
      <c r="I23" s="333">
        <v>7.2</v>
      </c>
      <c r="J23" s="351" t="e">
        <f>I23/'통장내역(환율표)'!#REF!</f>
        <v>#REF!</v>
      </c>
      <c r="K23" s="263">
        <f t="shared" si="4"/>
        <v>150383.19148847411</v>
      </c>
      <c r="L23" s="263" t="e">
        <f t="shared" si="5"/>
        <v>#REF!</v>
      </c>
      <c r="M23" s="283"/>
      <c r="N23" s="45" t="e">
        <f t="shared" si="6"/>
        <v>#REF!</v>
      </c>
      <c r="O23" s="119"/>
    </row>
    <row r="24" spans="1:15" s="5" customFormat="1" ht="13.5" customHeight="1">
      <c r="A24" s="255">
        <v>45128</v>
      </c>
      <c r="B24" s="365" t="s">
        <v>660</v>
      </c>
      <c r="C24" s="283"/>
      <c r="D24" s="282">
        <v>5</v>
      </c>
      <c r="E24" s="37" t="s">
        <v>107</v>
      </c>
      <c r="F24" s="347"/>
      <c r="G24" s="366"/>
      <c r="H24" s="283"/>
      <c r="I24" s="333">
        <v>984.5</v>
      </c>
      <c r="J24" s="351" t="e">
        <f>I24/'통장내역(환율표)'!#REF!</f>
        <v>#REF!</v>
      </c>
      <c r="K24" s="263">
        <f t="shared" si="4"/>
        <v>149398.69148847411</v>
      </c>
      <c r="L24" s="263" t="e">
        <f t="shared" si="5"/>
        <v>#REF!</v>
      </c>
      <c r="M24" s="283" t="s">
        <v>699</v>
      </c>
      <c r="N24" s="45" t="e">
        <f t="shared" si="6"/>
        <v>#REF!</v>
      </c>
    </row>
    <row r="25" spans="1:15" s="5" customFormat="1" ht="13.5" customHeight="1">
      <c r="A25" s="255">
        <v>45128</v>
      </c>
      <c r="B25" s="365" t="s">
        <v>250</v>
      </c>
      <c r="C25" s="283"/>
      <c r="D25" s="282">
        <v>6</v>
      </c>
      <c r="E25" s="37" t="s">
        <v>107</v>
      </c>
      <c r="F25" s="347"/>
      <c r="G25" s="366"/>
      <c r="H25" s="283"/>
      <c r="I25" s="333">
        <v>3.6</v>
      </c>
      <c r="J25" s="351" t="e">
        <f>I25/'통장내역(환율표)'!#REF!</f>
        <v>#REF!</v>
      </c>
      <c r="K25" s="263">
        <f t="shared" si="4"/>
        <v>149395.09148847411</v>
      </c>
      <c r="L25" s="263" t="e">
        <f t="shared" si="5"/>
        <v>#REF!</v>
      </c>
      <c r="M25" s="283"/>
      <c r="N25" s="45" t="e">
        <f t="shared" si="6"/>
        <v>#REF!</v>
      </c>
    </row>
    <row r="26" spans="1:15" s="5" customFormat="1" ht="13.5" customHeight="1">
      <c r="A26" s="255">
        <v>45128</v>
      </c>
      <c r="B26" s="365" t="s">
        <v>668</v>
      </c>
      <c r="C26" s="283"/>
      <c r="D26" s="282">
        <v>7</v>
      </c>
      <c r="E26" s="37" t="s">
        <v>294</v>
      </c>
      <c r="F26" s="347" t="s">
        <v>322</v>
      </c>
      <c r="G26" s="366"/>
      <c r="H26" s="283"/>
      <c r="I26" s="333">
        <v>3319.8</v>
      </c>
      <c r="J26" s="351" t="e">
        <f>I26/'통장내역(환율표)'!#REF!</f>
        <v>#REF!</v>
      </c>
      <c r="K26" s="263">
        <f t="shared" si="4"/>
        <v>146075.29148847412</v>
      </c>
      <c r="L26" s="263" t="e">
        <f t="shared" si="5"/>
        <v>#REF!</v>
      </c>
      <c r="M26" s="283"/>
      <c r="N26" s="45" t="e">
        <f t="shared" si="6"/>
        <v>#REF!</v>
      </c>
    </row>
    <row r="27" spans="1:15" s="5" customFormat="1" ht="13.5" customHeight="1">
      <c r="A27" s="255">
        <v>45128</v>
      </c>
      <c r="B27" s="365" t="s">
        <v>669</v>
      </c>
      <c r="C27" s="283"/>
      <c r="D27" s="282">
        <v>8</v>
      </c>
      <c r="E27" s="37" t="s">
        <v>294</v>
      </c>
      <c r="F27" s="347" t="s">
        <v>322</v>
      </c>
      <c r="G27" s="366"/>
      <c r="H27" s="283"/>
      <c r="I27" s="333">
        <v>649</v>
      </c>
      <c r="J27" s="351" t="e">
        <f>I27/'통장내역(환율표)'!#REF!</f>
        <v>#REF!</v>
      </c>
      <c r="K27" s="263">
        <f t="shared" si="4"/>
        <v>145426.29148847412</v>
      </c>
      <c r="L27" s="263" t="e">
        <f t="shared" si="5"/>
        <v>#REF!</v>
      </c>
      <c r="M27" s="283" t="s">
        <v>801</v>
      </c>
      <c r="N27" s="45" t="e">
        <f t="shared" si="6"/>
        <v>#REF!</v>
      </c>
    </row>
    <row r="28" spans="1:15" s="5" customFormat="1" ht="13.5" customHeight="1">
      <c r="A28" s="255">
        <v>45128</v>
      </c>
      <c r="B28" s="365" t="s">
        <v>813</v>
      </c>
      <c r="C28" s="283"/>
      <c r="D28" s="282">
        <v>8</v>
      </c>
      <c r="E28" s="37" t="s">
        <v>813</v>
      </c>
      <c r="F28" s="347"/>
      <c r="G28" s="366"/>
      <c r="H28" s="283"/>
      <c r="I28" s="333">
        <v>2</v>
      </c>
      <c r="J28" s="351" t="e">
        <f>I28/'통장내역(환율표)'!#REF!</f>
        <v>#REF!</v>
      </c>
      <c r="K28" s="263">
        <f>K29+G28-I28</f>
        <v>144261.29148847412</v>
      </c>
      <c r="L28" s="263" t="e">
        <f>L29+H28-J28</f>
        <v>#REF!</v>
      </c>
      <c r="M28" s="283" t="s">
        <v>821</v>
      </c>
      <c r="N28" s="45" t="e">
        <f>N29-J28</f>
        <v>#REF!</v>
      </c>
    </row>
    <row r="29" spans="1:15" s="5" customFormat="1" ht="13.5" customHeight="1">
      <c r="A29" s="255">
        <v>45128</v>
      </c>
      <c r="B29" s="365" t="s">
        <v>667</v>
      </c>
      <c r="C29" s="283"/>
      <c r="D29" s="282">
        <v>9</v>
      </c>
      <c r="E29" s="37" t="s">
        <v>294</v>
      </c>
      <c r="F29" s="347" t="s">
        <v>322</v>
      </c>
      <c r="G29" s="366"/>
      <c r="H29" s="283"/>
      <c r="I29" s="333">
        <v>1163</v>
      </c>
      <c r="J29" s="351" t="e">
        <f>I29/'통장내역(환율표)'!#REF!</f>
        <v>#REF!</v>
      </c>
      <c r="K29" s="263">
        <f>K27+G29-I29</f>
        <v>144263.29148847412</v>
      </c>
      <c r="L29" s="263" t="e">
        <f>L27+H29-J29</f>
        <v>#REF!</v>
      </c>
      <c r="M29" s="283"/>
      <c r="N29" s="45" t="e">
        <f>N27-J29</f>
        <v>#REF!</v>
      </c>
    </row>
    <row r="30" spans="1:15" s="5" customFormat="1" ht="13.5" customHeight="1">
      <c r="A30" s="255">
        <v>45128</v>
      </c>
      <c r="B30" s="365" t="s">
        <v>250</v>
      </c>
      <c r="C30" s="283"/>
      <c r="D30" s="282">
        <v>10</v>
      </c>
      <c r="E30" s="37" t="s">
        <v>107</v>
      </c>
      <c r="F30" s="347"/>
      <c r="G30" s="366"/>
      <c r="H30" s="283"/>
      <c r="I30" s="333">
        <v>3.6</v>
      </c>
      <c r="J30" s="351" t="e">
        <f>I30/'통장내역(환율표)'!#REF!</f>
        <v>#REF!</v>
      </c>
      <c r="K30" s="263">
        <f>K28+G30-I30</f>
        <v>144257.69148847411</v>
      </c>
      <c r="L30" s="263" t="e">
        <f>L28+H30-J30</f>
        <v>#REF!</v>
      </c>
      <c r="M30" s="283"/>
      <c r="N30" s="45" t="e">
        <f>N28-J30</f>
        <v>#REF!</v>
      </c>
    </row>
    <row r="31" spans="1:15" s="5" customFormat="1" ht="13.5" customHeight="1">
      <c r="A31" s="255">
        <v>45128</v>
      </c>
      <c r="B31" s="365" t="s">
        <v>782</v>
      </c>
      <c r="C31" s="283"/>
      <c r="D31" s="282">
        <v>11</v>
      </c>
      <c r="E31" s="37" t="s">
        <v>296</v>
      </c>
      <c r="F31" s="347" t="s">
        <v>327</v>
      </c>
      <c r="G31" s="366"/>
      <c r="H31" s="283"/>
      <c r="I31" s="269">
        <v>99.1</v>
      </c>
      <c r="J31" s="351" t="e">
        <f>I31/'통장내역(환율표)'!#REF!</f>
        <v>#REF!</v>
      </c>
      <c r="K31" s="263">
        <f t="shared" si="4"/>
        <v>144158.59148847411</v>
      </c>
      <c r="L31" s="263" t="e">
        <f t="shared" si="5"/>
        <v>#REF!</v>
      </c>
      <c r="M31" s="283"/>
      <c r="N31" s="45" t="e">
        <f t="shared" si="6"/>
        <v>#REF!</v>
      </c>
    </row>
    <row r="32" spans="1:15" s="5" customFormat="1" ht="13.5" customHeight="1">
      <c r="A32" s="255">
        <v>45128</v>
      </c>
      <c r="B32" s="365" t="s">
        <v>802</v>
      </c>
      <c r="C32" s="283"/>
      <c r="D32" s="282">
        <v>12</v>
      </c>
      <c r="E32" s="37" t="s">
        <v>238</v>
      </c>
      <c r="F32" s="347" t="s">
        <v>324</v>
      </c>
      <c r="G32" s="366"/>
      <c r="H32" s="283"/>
      <c r="I32" s="269">
        <v>386.8</v>
      </c>
      <c r="J32" s="351" t="e">
        <f>I32/'통장내역(환율표)'!#REF!</f>
        <v>#REF!</v>
      </c>
      <c r="K32" s="263">
        <f t="shared" si="4"/>
        <v>143771.79148847412</v>
      </c>
      <c r="L32" s="263" t="e">
        <f t="shared" si="5"/>
        <v>#REF!</v>
      </c>
      <c r="M32" s="283"/>
      <c r="N32" s="45" t="e">
        <f t="shared" si="6"/>
        <v>#REF!</v>
      </c>
    </row>
    <row r="33" spans="1:14" s="5" customFormat="1" ht="13.5" customHeight="1">
      <c r="A33" s="255">
        <v>45128</v>
      </c>
      <c r="B33" s="365" t="s">
        <v>803</v>
      </c>
      <c r="C33" s="283"/>
      <c r="D33" s="282">
        <v>13</v>
      </c>
      <c r="E33" s="37" t="s">
        <v>294</v>
      </c>
      <c r="F33" s="347" t="s">
        <v>322</v>
      </c>
      <c r="G33" s="366"/>
      <c r="H33" s="283"/>
      <c r="I33" s="269">
        <v>4748</v>
      </c>
      <c r="J33" s="351" t="e">
        <f>I33/'통장내역(환율표)'!#REF!</f>
        <v>#REF!</v>
      </c>
      <c r="K33" s="263">
        <f t="shared" si="4"/>
        <v>139023.79148847412</v>
      </c>
      <c r="L33" s="263" t="e">
        <f t="shared" si="5"/>
        <v>#REF!</v>
      </c>
      <c r="M33" s="283"/>
      <c r="N33" s="45" t="e">
        <f t="shared" si="6"/>
        <v>#REF!</v>
      </c>
    </row>
    <row r="34" spans="1:14" s="5" customFormat="1" ht="13.5" customHeight="1">
      <c r="A34" s="255">
        <v>45128</v>
      </c>
      <c r="B34" s="365" t="s">
        <v>783</v>
      </c>
      <c r="C34" s="283"/>
      <c r="D34" s="282">
        <v>14</v>
      </c>
      <c r="E34" s="37" t="s">
        <v>107</v>
      </c>
      <c r="F34" s="347"/>
      <c r="G34" s="366"/>
      <c r="H34" s="283"/>
      <c r="I34" s="269">
        <v>1275</v>
      </c>
      <c r="J34" s="351" t="e">
        <f>I34/'통장내역(환율표)'!#REF!</f>
        <v>#REF!</v>
      </c>
      <c r="K34" s="263">
        <f t="shared" si="4"/>
        <v>137748.79148847412</v>
      </c>
      <c r="L34" s="263" t="e">
        <f t="shared" si="5"/>
        <v>#REF!</v>
      </c>
      <c r="M34" s="283"/>
      <c r="N34" s="45" t="e">
        <f t="shared" si="6"/>
        <v>#REF!</v>
      </c>
    </row>
    <row r="35" spans="1:14" s="5" customFormat="1" ht="13.5" customHeight="1">
      <c r="A35" s="255">
        <v>45128</v>
      </c>
      <c r="B35" s="365" t="s">
        <v>781</v>
      </c>
      <c r="C35" s="283"/>
      <c r="D35" s="282">
        <v>15</v>
      </c>
      <c r="E35" s="37" t="s">
        <v>294</v>
      </c>
      <c r="F35" s="347" t="s">
        <v>322</v>
      </c>
      <c r="G35" s="366"/>
      <c r="H35" s="283"/>
      <c r="I35" s="269">
        <v>1872.34</v>
      </c>
      <c r="J35" s="351" t="e">
        <f>I35/'통장내역(환율표)'!#REF!</f>
        <v>#REF!</v>
      </c>
      <c r="K35" s="263">
        <f t="shared" si="4"/>
        <v>135876.45148847412</v>
      </c>
      <c r="L35" s="263" t="e">
        <f t="shared" si="5"/>
        <v>#REF!</v>
      </c>
      <c r="M35" s="283"/>
      <c r="N35" s="45" t="e">
        <f t="shared" si="6"/>
        <v>#REF!</v>
      </c>
    </row>
    <row r="36" spans="1:14" s="5" customFormat="1" ht="13.5" customHeight="1">
      <c r="A36" s="255">
        <v>45128</v>
      </c>
      <c r="B36" s="365" t="s">
        <v>250</v>
      </c>
      <c r="C36" s="283"/>
      <c r="D36" s="282">
        <v>16</v>
      </c>
      <c r="E36" s="37" t="s">
        <v>107</v>
      </c>
      <c r="F36" s="347"/>
      <c r="G36" s="366"/>
      <c r="H36" s="283"/>
      <c r="I36" s="269">
        <v>3.6</v>
      </c>
      <c r="J36" s="351" t="e">
        <f>I36/'통장내역(환율표)'!#REF!</f>
        <v>#REF!</v>
      </c>
      <c r="K36" s="263">
        <f t="shared" si="4"/>
        <v>135872.85148847412</v>
      </c>
      <c r="L36" s="263" t="e">
        <f t="shared" si="5"/>
        <v>#REF!</v>
      </c>
      <c r="M36" s="283"/>
      <c r="N36" s="45" t="e">
        <f t="shared" si="6"/>
        <v>#REF!</v>
      </c>
    </row>
    <row r="37" spans="1:14" s="5" customFormat="1" ht="13.5" customHeight="1">
      <c r="A37" s="255">
        <v>45128</v>
      </c>
      <c r="B37" s="365" t="s">
        <v>789</v>
      </c>
      <c r="C37" s="283"/>
      <c r="D37" s="282">
        <v>17</v>
      </c>
      <c r="E37" s="37" t="s">
        <v>107</v>
      </c>
      <c r="F37" s="347"/>
      <c r="G37" s="366"/>
      <c r="H37" s="283"/>
      <c r="I37" s="269">
        <v>1010</v>
      </c>
      <c r="J37" s="351" t="e">
        <f>I37/'통장내역(환율표)'!#REF!</f>
        <v>#REF!</v>
      </c>
      <c r="K37" s="263">
        <f t="shared" si="4"/>
        <v>134862.85148847412</v>
      </c>
      <c r="L37" s="263" t="e">
        <f t="shared" si="5"/>
        <v>#REF!</v>
      </c>
      <c r="M37" s="283" t="s">
        <v>700</v>
      </c>
      <c r="N37" s="45" t="e">
        <f t="shared" si="6"/>
        <v>#REF!</v>
      </c>
    </row>
    <row r="38" spans="1:14" s="5" customFormat="1" ht="13.5" customHeight="1">
      <c r="A38" s="255">
        <v>45128</v>
      </c>
      <c r="B38" s="365" t="s">
        <v>250</v>
      </c>
      <c r="C38" s="283"/>
      <c r="D38" s="282">
        <v>18</v>
      </c>
      <c r="E38" s="37" t="s">
        <v>107</v>
      </c>
      <c r="F38" s="347"/>
      <c r="G38" s="366"/>
      <c r="H38" s="283"/>
      <c r="I38" s="269">
        <v>3.6</v>
      </c>
      <c r="J38" s="351" t="e">
        <f>I38/'통장내역(환율표)'!#REF!</f>
        <v>#REF!</v>
      </c>
      <c r="K38" s="263">
        <f t="shared" si="4"/>
        <v>134859.25148847411</v>
      </c>
      <c r="L38" s="263" t="e">
        <f t="shared" si="5"/>
        <v>#REF!</v>
      </c>
      <c r="M38" s="283"/>
      <c r="N38" s="45" t="e">
        <f t="shared" si="6"/>
        <v>#REF!</v>
      </c>
    </row>
    <row r="39" spans="1:14" s="5" customFormat="1" ht="13.5" customHeight="1">
      <c r="A39" s="255">
        <v>45128</v>
      </c>
      <c r="B39" s="365" t="s">
        <v>460</v>
      </c>
      <c r="C39" s="283"/>
      <c r="D39" s="282">
        <v>19</v>
      </c>
      <c r="E39" s="37" t="s">
        <v>75</v>
      </c>
      <c r="F39" s="347" t="s">
        <v>814</v>
      </c>
      <c r="G39" s="366"/>
      <c r="H39" s="283"/>
      <c r="I39" s="267">
        <v>20023</v>
      </c>
      <c r="J39" s="351" t="e">
        <f>I39/'통장내역(환율표)'!#REF!</f>
        <v>#REF!</v>
      </c>
      <c r="K39" s="263">
        <f t="shared" si="4"/>
        <v>114836.25148847411</v>
      </c>
      <c r="L39" s="263" t="e">
        <f t="shared" si="5"/>
        <v>#REF!</v>
      </c>
      <c r="M39" s="283" t="s">
        <v>240</v>
      </c>
      <c r="N39" s="45" t="e">
        <f t="shared" si="6"/>
        <v>#REF!</v>
      </c>
    </row>
    <row r="40" spans="1:14" s="5" customFormat="1" ht="13.5" customHeight="1">
      <c r="A40" s="255">
        <v>45128</v>
      </c>
      <c r="B40" s="365" t="s">
        <v>250</v>
      </c>
      <c r="C40" s="283"/>
      <c r="D40" s="282">
        <v>20</v>
      </c>
      <c r="E40" s="37" t="s">
        <v>107</v>
      </c>
      <c r="F40" s="347"/>
      <c r="G40" s="366"/>
      <c r="H40" s="283"/>
      <c r="I40" s="267">
        <v>7.2</v>
      </c>
      <c r="J40" s="351" t="e">
        <f>I40/'통장내역(환율표)'!#REF!</f>
        <v>#REF!</v>
      </c>
      <c r="K40" s="263">
        <f t="shared" si="4"/>
        <v>114829.05148847411</v>
      </c>
      <c r="L40" s="263" t="e">
        <f t="shared" si="5"/>
        <v>#REF!</v>
      </c>
      <c r="M40" s="283"/>
      <c r="N40" s="45" t="e">
        <f t="shared" si="6"/>
        <v>#REF!</v>
      </c>
    </row>
    <row r="41" spans="1:14" s="5" customFormat="1" ht="13.5" customHeight="1">
      <c r="A41" s="255">
        <v>45128</v>
      </c>
      <c r="B41" s="365" t="s">
        <v>806</v>
      </c>
      <c r="C41" s="283"/>
      <c r="D41" s="282">
        <v>21</v>
      </c>
      <c r="E41" s="37" t="s">
        <v>294</v>
      </c>
      <c r="F41" s="347" t="s">
        <v>322</v>
      </c>
      <c r="G41" s="366"/>
      <c r="H41" s="283"/>
      <c r="I41" s="334">
        <v>893.9</v>
      </c>
      <c r="J41" s="351" t="e">
        <f>I41/'통장내역(환율표)'!#REF!</f>
        <v>#REF!</v>
      </c>
      <c r="K41" s="263">
        <f t="shared" si="4"/>
        <v>113935.15148847412</v>
      </c>
      <c r="L41" s="263" t="e">
        <f t="shared" si="5"/>
        <v>#REF!</v>
      </c>
      <c r="M41" s="283" t="s">
        <v>795</v>
      </c>
      <c r="N41" s="45" t="e">
        <f t="shared" si="6"/>
        <v>#REF!</v>
      </c>
    </row>
    <row r="42" spans="1:14" s="5" customFormat="1" ht="13.5" customHeight="1">
      <c r="A42" s="255">
        <v>45128</v>
      </c>
      <c r="B42" s="365" t="s">
        <v>250</v>
      </c>
      <c r="C42" s="283"/>
      <c r="D42" s="282">
        <v>22</v>
      </c>
      <c r="E42" s="37" t="s">
        <v>107</v>
      </c>
      <c r="F42" s="347"/>
      <c r="G42" s="366"/>
      <c r="H42" s="283"/>
      <c r="I42" s="269">
        <v>3.6</v>
      </c>
      <c r="J42" s="351" t="e">
        <f>I42/'통장내역(환율표)'!#REF!</f>
        <v>#REF!</v>
      </c>
      <c r="K42" s="263">
        <f t="shared" si="4"/>
        <v>113931.55148847411</v>
      </c>
      <c r="L42" s="263" t="e">
        <f t="shared" si="5"/>
        <v>#REF!</v>
      </c>
      <c r="M42" s="283"/>
      <c r="N42" s="45" t="e">
        <f t="shared" si="6"/>
        <v>#REF!</v>
      </c>
    </row>
    <row r="43" spans="1:14" s="7" customFormat="1" ht="13.5" customHeight="1">
      <c r="A43" s="255">
        <v>45128</v>
      </c>
      <c r="B43" s="365" t="s">
        <v>807</v>
      </c>
      <c r="C43" s="283"/>
      <c r="D43" s="283">
        <v>23</v>
      </c>
      <c r="E43" s="37" t="s">
        <v>238</v>
      </c>
      <c r="F43" s="347" t="s">
        <v>324</v>
      </c>
      <c r="G43" s="366"/>
      <c r="H43" s="283"/>
      <c r="I43" s="269">
        <v>9377</v>
      </c>
      <c r="J43" s="351" t="e">
        <f>I43/'통장내역(환율표)'!#REF!</f>
        <v>#REF!</v>
      </c>
      <c r="K43" s="263">
        <f t="shared" si="4"/>
        <v>104554.55148847411</v>
      </c>
      <c r="L43" s="263" t="e">
        <f t="shared" si="5"/>
        <v>#REF!</v>
      </c>
      <c r="M43" s="283" t="s">
        <v>702</v>
      </c>
      <c r="N43" s="45" t="e">
        <f t="shared" si="6"/>
        <v>#REF!</v>
      </c>
    </row>
    <row r="44" spans="1:14" s="7" customFormat="1" ht="13.5" customHeight="1">
      <c r="A44" s="255">
        <v>45128</v>
      </c>
      <c r="B44" s="365" t="s">
        <v>250</v>
      </c>
      <c r="C44" s="283"/>
      <c r="D44" s="283">
        <v>24</v>
      </c>
      <c r="E44" s="37" t="s">
        <v>107</v>
      </c>
      <c r="F44" s="361"/>
      <c r="G44" s="366"/>
      <c r="H44" s="283"/>
      <c r="I44" s="269">
        <v>3.6</v>
      </c>
      <c r="J44" s="351" t="e">
        <f>I44/'통장내역(환율표)'!#REF!</f>
        <v>#REF!</v>
      </c>
      <c r="K44" s="263">
        <f t="shared" si="4"/>
        <v>104550.95148847411</v>
      </c>
      <c r="L44" s="263" t="e">
        <f t="shared" si="5"/>
        <v>#REF!</v>
      </c>
      <c r="M44" s="283"/>
      <c r="N44" s="45" t="e">
        <f t="shared" si="6"/>
        <v>#REF!</v>
      </c>
    </row>
    <row r="45" spans="1:14" s="5" customFormat="1" ht="13.5" customHeight="1">
      <c r="A45" s="255">
        <v>45128</v>
      </c>
      <c r="B45" s="365" t="s">
        <v>808</v>
      </c>
      <c r="C45" s="283"/>
      <c r="D45" s="283">
        <v>25</v>
      </c>
      <c r="E45" s="37" t="s">
        <v>294</v>
      </c>
      <c r="F45" s="347" t="s">
        <v>322</v>
      </c>
      <c r="G45" s="366"/>
      <c r="H45" s="283"/>
      <c r="I45" s="269">
        <v>5502.3</v>
      </c>
      <c r="J45" s="351" t="e">
        <f>I45/'통장내역(환율표)'!#REF!</f>
        <v>#REF!</v>
      </c>
      <c r="K45" s="263">
        <f t="shared" si="4"/>
        <v>99048.651488474105</v>
      </c>
      <c r="L45" s="263" t="e">
        <f t="shared" si="5"/>
        <v>#REF!</v>
      </c>
      <c r="M45" s="283" t="s">
        <v>796</v>
      </c>
      <c r="N45" s="45" t="e">
        <f t="shared" si="6"/>
        <v>#REF!</v>
      </c>
    </row>
    <row r="46" spans="1:14" s="5" customFormat="1" ht="13.5" customHeight="1">
      <c r="A46" s="255">
        <v>45128</v>
      </c>
      <c r="B46" s="365" t="s">
        <v>250</v>
      </c>
      <c r="C46" s="283"/>
      <c r="D46" s="283">
        <v>26</v>
      </c>
      <c r="E46" s="37" t="s">
        <v>107</v>
      </c>
      <c r="F46" s="347"/>
      <c r="G46" s="366"/>
      <c r="H46" s="283"/>
      <c r="I46" s="269">
        <v>3.6</v>
      </c>
      <c r="J46" s="351" t="e">
        <f>I46/'통장내역(환율표)'!#REF!</f>
        <v>#REF!</v>
      </c>
      <c r="K46" s="263">
        <f t="shared" si="4"/>
        <v>99045.051488474099</v>
      </c>
      <c r="L46" s="263" t="e">
        <f t="shared" si="5"/>
        <v>#REF!</v>
      </c>
      <c r="M46" s="283"/>
      <c r="N46" s="45" t="e">
        <f t="shared" si="6"/>
        <v>#REF!</v>
      </c>
    </row>
    <row r="47" spans="1:14" s="5" customFormat="1" ht="13.5" customHeight="1">
      <c r="A47" s="255">
        <v>45128</v>
      </c>
      <c r="B47" s="365" t="s">
        <v>255</v>
      </c>
      <c r="C47" s="283"/>
      <c r="D47" s="283">
        <v>27</v>
      </c>
      <c r="E47" s="37" t="s">
        <v>107</v>
      </c>
      <c r="F47" s="347"/>
      <c r="G47" s="366"/>
      <c r="H47" s="283"/>
      <c r="I47" s="269">
        <v>356.96</v>
      </c>
      <c r="J47" s="351" t="e">
        <f>I47/'통장내역(환율표)'!#REF!</f>
        <v>#REF!</v>
      </c>
      <c r="K47" s="263">
        <f t="shared" si="4"/>
        <v>98688.091488474092</v>
      </c>
      <c r="L47" s="263" t="e">
        <f t="shared" si="5"/>
        <v>#REF!</v>
      </c>
      <c r="M47" s="283"/>
      <c r="N47" s="45" t="e">
        <f t="shared" si="6"/>
        <v>#REF!</v>
      </c>
    </row>
    <row r="48" spans="1:14" s="5" customFormat="1" ht="13.5" customHeight="1">
      <c r="A48" s="255">
        <v>45128</v>
      </c>
      <c r="B48" s="365" t="s">
        <v>804</v>
      </c>
      <c r="C48" s="283"/>
      <c r="D48" s="283">
        <v>28</v>
      </c>
      <c r="E48" s="37" t="s">
        <v>107</v>
      </c>
      <c r="F48" s="347"/>
      <c r="G48" s="366"/>
      <c r="H48" s="283"/>
      <c r="I48" s="269">
        <v>210</v>
      </c>
      <c r="J48" s="351" t="e">
        <f>I48/'통장내역(환율표)'!#REF!</f>
        <v>#REF!</v>
      </c>
      <c r="K48" s="263">
        <f t="shared" si="4"/>
        <v>98478.091488474092</v>
      </c>
      <c r="L48" s="263" t="e">
        <f t="shared" si="5"/>
        <v>#REF!</v>
      </c>
      <c r="M48" s="283"/>
      <c r="N48" s="45" t="e">
        <f t="shared" si="6"/>
        <v>#REF!</v>
      </c>
    </row>
    <row r="49" spans="1:15" s="5" customFormat="1" ht="13.5" customHeight="1">
      <c r="A49" s="255">
        <v>45128</v>
      </c>
      <c r="B49" s="365" t="s">
        <v>805</v>
      </c>
      <c r="C49" s="283"/>
      <c r="D49" s="283">
        <v>29</v>
      </c>
      <c r="E49" s="37" t="s">
        <v>107</v>
      </c>
      <c r="F49" s="347"/>
      <c r="G49" s="366"/>
      <c r="H49" s="283"/>
      <c r="I49" s="269">
        <v>300</v>
      </c>
      <c r="J49" s="351" t="e">
        <f>I49/'통장내역(환율표)'!#REF!</f>
        <v>#REF!</v>
      </c>
      <c r="K49" s="263">
        <f t="shared" si="4"/>
        <v>98178.091488474092</v>
      </c>
      <c r="L49" s="263" t="e">
        <f t="shared" si="5"/>
        <v>#REF!</v>
      </c>
      <c r="M49" s="283"/>
      <c r="N49" s="45" t="e">
        <f t="shared" si="6"/>
        <v>#REF!</v>
      </c>
    </row>
    <row r="50" spans="1:15" s="5" customFormat="1" ht="13.5" customHeight="1">
      <c r="A50" s="255">
        <v>45128</v>
      </c>
      <c r="B50" s="365" t="s">
        <v>443</v>
      </c>
      <c r="C50" s="283"/>
      <c r="D50" s="283">
        <v>30</v>
      </c>
      <c r="E50" s="37" t="s">
        <v>296</v>
      </c>
      <c r="F50" s="347" t="s">
        <v>327</v>
      </c>
      <c r="G50" s="366"/>
      <c r="H50" s="283"/>
      <c r="I50" s="269">
        <v>397.5</v>
      </c>
      <c r="J50" s="351" t="e">
        <f>I50/'통장내역(환율표)'!#REF!</f>
        <v>#REF!</v>
      </c>
      <c r="K50" s="263">
        <f t="shared" si="4"/>
        <v>97780.591488474092</v>
      </c>
      <c r="L50" s="263" t="e">
        <f t="shared" si="5"/>
        <v>#REF!</v>
      </c>
      <c r="M50" s="283"/>
      <c r="N50" s="45" t="e">
        <f t="shared" si="6"/>
        <v>#REF!</v>
      </c>
    </row>
    <row r="51" spans="1:15" s="5" customFormat="1" ht="13.5" customHeight="1">
      <c r="A51" s="255">
        <v>45128</v>
      </c>
      <c r="B51" s="365" t="s">
        <v>250</v>
      </c>
      <c r="C51" s="283"/>
      <c r="D51" s="283">
        <v>31</v>
      </c>
      <c r="E51" s="37" t="s">
        <v>107</v>
      </c>
      <c r="F51" s="347"/>
      <c r="G51" s="366"/>
      <c r="H51" s="283"/>
      <c r="I51" s="269">
        <v>3.6</v>
      </c>
      <c r="J51" s="351" t="e">
        <f>I51/'통장내역(환율표)'!#REF!</f>
        <v>#REF!</v>
      </c>
      <c r="K51" s="263">
        <f t="shared" si="4"/>
        <v>97776.991488474087</v>
      </c>
      <c r="L51" s="263" t="e">
        <f t="shared" si="5"/>
        <v>#REF!</v>
      </c>
      <c r="M51" s="283"/>
      <c r="N51" s="45" t="e">
        <f t="shared" si="6"/>
        <v>#REF!</v>
      </c>
    </row>
    <row r="52" spans="1:15" s="5" customFormat="1" ht="13.5" customHeight="1">
      <c r="A52" s="255">
        <v>45128</v>
      </c>
      <c r="B52" s="365" t="s">
        <v>809</v>
      </c>
      <c r="C52" s="283"/>
      <c r="D52" s="283">
        <v>32</v>
      </c>
      <c r="E52" s="37" t="s">
        <v>238</v>
      </c>
      <c r="F52" s="347" t="s">
        <v>324</v>
      </c>
      <c r="G52" s="366"/>
      <c r="H52" s="283"/>
      <c r="I52" s="269">
        <v>14275.61</v>
      </c>
      <c r="J52" s="351" t="e">
        <f>I52/'통장내역(환율표)'!#REF!</f>
        <v>#REF!</v>
      </c>
      <c r="K52" s="263">
        <f t="shared" si="4"/>
        <v>83501.381488474086</v>
      </c>
      <c r="L52" s="263" t="e">
        <f t="shared" si="5"/>
        <v>#REF!</v>
      </c>
      <c r="M52" s="283" t="s">
        <v>797</v>
      </c>
      <c r="N52" s="45" t="e">
        <f t="shared" si="6"/>
        <v>#REF!</v>
      </c>
    </row>
    <row r="53" spans="1:15" s="5" customFormat="1" ht="13.5" customHeight="1">
      <c r="A53" s="255">
        <v>45128</v>
      </c>
      <c r="B53" s="365" t="s">
        <v>250</v>
      </c>
      <c r="C53" s="283"/>
      <c r="D53" s="283">
        <v>33</v>
      </c>
      <c r="E53" s="37" t="s">
        <v>107</v>
      </c>
      <c r="F53" s="347"/>
      <c r="G53" s="366"/>
      <c r="H53" s="283"/>
      <c r="I53" s="269">
        <v>7.2</v>
      </c>
      <c r="J53" s="351" t="e">
        <f>I53/'통장내역(환율표)'!#REF!</f>
        <v>#REF!</v>
      </c>
      <c r="K53" s="263">
        <f t="shared" si="4"/>
        <v>83494.181488474089</v>
      </c>
      <c r="L53" s="263" t="e">
        <f t="shared" si="5"/>
        <v>#REF!</v>
      </c>
      <c r="M53" s="283"/>
      <c r="N53" s="45" t="e">
        <f t="shared" si="6"/>
        <v>#REF!</v>
      </c>
    </row>
    <row r="54" spans="1:15" s="5" customFormat="1" ht="13.5" customHeight="1">
      <c r="A54" s="255">
        <v>45128</v>
      </c>
      <c r="B54" s="365" t="s">
        <v>810</v>
      </c>
      <c r="C54" s="283"/>
      <c r="D54" s="283">
        <v>34</v>
      </c>
      <c r="E54" s="37" t="s">
        <v>292</v>
      </c>
      <c r="F54" s="347"/>
      <c r="G54" s="366"/>
      <c r="H54" s="283"/>
      <c r="I54" s="269">
        <v>5300</v>
      </c>
      <c r="J54" s="351" t="e">
        <f>I54/'통장내역(환율표)'!#REF!</f>
        <v>#REF!</v>
      </c>
      <c r="K54" s="263">
        <f t="shared" si="4"/>
        <v>78194.181488474089</v>
      </c>
      <c r="L54" s="263" t="e">
        <f t="shared" si="5"/>
        <v>#REF!</v>
      </c>
      <c r="M54" s="283" t="s">
        <v>798</v>
      </c>
      <c r="N54" s="45" t="e">
        <f t="shared" si="6"/>
        <v>#REF!</v>
      </c>
    </row>
    <row r="55" spans="1:15" s="5" customFormat="1" ht="13.5" customHeight="1">
      <c r="A55" s="255">
        <v>45128</v>
      </c>
      <c r="B55" s="365" t="s">
        <v>250</v>
      </c>
      <c r="C55" s="283"/>
      <c r="D55" s="283">
        <v>35</v>
      </c>
      <c r="E55" s="37" t="s">
        <v>107</v>
      </c>
      <c r="F55" s="347"/>
      <c r="G55" s="366"/>
      <c r="H55" s="283"/>
      <c r="I55" s="269">
        <v>3.6</v>
      </c>
      <c r="J55" s="351" t="e">
        <f>I55/'통장내역(환율표)'!#REF!</f>
        <v>#REF!</v>
      </c>
      <c r="K55" s="263">
        <f t="shared" si="4"/>
        <v>78190.581488474083</v>
      </c>
      <c r="L55" s="263" t="e">
        <f t="shared" si="5"/>
        <v>#REF!</v>
      </c>
      <c r="M55" s="283"/>
      <c r="N55" s="45" t="e">
        <f t="shared" si="6"/>
        <v>#REF!</v>
      </c>
    </row>
    <row r="56" spans="1:15" s="5" customFormat="1" ht="13.5" customHeight="1">
      <c r="A56" s="255">
        <v>45138</v>
      </c>
      <c r="B56" s="365" t="s">
        <v>820</v>
      </c>
      <c r="C56" s="283"/>
      <c r="D56" s="283"/>
      <c r="E56" s="37" t="s">
        <v>820</v>
      </c>
      <c r="F56" s="347"/>
      <c r="G56" s="366"/>
      <c r="H56" s="283"/>
      <c r="I56" s="269"/>
      <c r="J56" s="351">
        <v>0.06</v>
      </c>
      <c r="K56" s="263">
        <f t="shared" ref="K56:K57" si="7">K55+G56-I56</f>
        <v>78190.581488474083</v>
      </c>
      <c r="L56" s="263" t="e">
        <f t="shared" ref="L56:L57" si="8">L55+H56-J56</f>
        <v>#REF!</v>
      </c>
      <c r="M56" s="283" t="s">
        <v>822</v>
      </c>
      <c r="N56" s="45"/>
    </row>
    <row r="57" spans="1:15" s="5" customFormat="1" ht="13.5" customHeight="1">
      <c r="A57" s="255">
        <v>45133</v>
      </c>
      <c r="B57" s="365" t="s">
        <v>811</v>
      </c>
      <c r="C57" s="283"/>
      <c r="D57" s="283">
        <v>36</v>
      </c>
      <c r="E57" s="37" t="s">
        <v>815</v>
      </c>
      <c r="F57" s="347"/>
      <c r="G57" s="366"/>
      <c r="H57" s="283"/>
      <c r="I57" s="269">
        <v>78190.58</v>
      </c>
      <c r="J57" s="351" t="e">
        <f>I57/'통장내역(환율표)'!#REF!</f>
        <v>#REF!</v>
      </c>
      <c r="K57" s="263">
        <f t="shared" si="7"/>
        <v>1.4884740812703967E-3</v>
      </c>
      <c r="L57" s="263" t="e">
        <f t="shared" si="8"/>
        <v>#REF!</v>
      </c>
      <c r="M57" s="283" t="s">
        <v>819</v>
      </c>
      <c r="N57" s="379" t="e">
        <f>N55-J57</f>
        <v>#REF!</v>
      </c>
    </row>
    <row r="58" spans="1:15" s="5" customFormat="1" ht="13.5" customHeight="1">
      <c r="A58"/>
      <c r="B58"/>
      <c r="C58"/>
      <c r="D58"/>
      <c r="E58"/>
      <c r="F58"/>
      <c r="G58"/>
      <c r="H58"/>
      <c r="I58"/>
      <c r="J58"/>
      <c r="K58"/>
      <c r="L58"/>
      <c r="M58"/>
    </row>
    <row r="59" spans="1:15" s="5" customFormat="1" ht="13.5" customHeight="1">
      <c r="A59"/>
      <c r="B59"/>
      <c r="C59"/>
      <c r="D59"/>
      <c r="E59"/>
      <c r="F59"/>
      <c r="G59"/>
      <c r="H59"/>
      <c r="I59"/>
      <c r="J59"/>
      <c r="K59"/>
      <c r="L59"/>
      <c r="M59"/>
    </row>
    <row r="60" spans="1:15" s="5" customFormat="1" ht="13.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 s="5" customFormat="1" ht="13.5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 s="5" customFormat="1" ht="13.5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 s="5" customFormat="1" ht="13.5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 s="5" customFormat="1" ht="13.5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 s="5" customFormat="1" ht="13.5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 s="5" customFormat="1" ht="13.5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 s="5" customFormat="1" ht="13.5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s="5" customFormat="1" ht="12.75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 s="5" customFormat="1" ht="12.75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 s="5" customFormat="1" ht="12.75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 s="5" customFormat="1" ht="12.75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 s="5" customFormat="1" ht="12.75" customHeight="1">
      <c r="A72"/>
      <c r="B72"/>
      <c r="C72" s="355"/>
      <c r="D72" s="355"/>
      <c r="E72"/>
      <c r="F72"/>
      <c r="G72"/>
      <c r="H72"/>
      <c r="I72"/>
      <c r="J72"/>
      <c r="K72"/>
      <c r="L72"/>
      <c r="M72"/>
      <c r="N72"/>
      <c r="O72"/>
    </row>
    <row r="73" spans="1:15" s="5" customFormat="1" ht="13.5" customHeight="1">
      <c r="A73"/>
      <c r="B73"/>
      <c r="C73" s="356"/>
      <c r="D73"/>
      <c r="E73"/>
      <c r="F73"/>
      <c r="G73"/>
      <c r="H73"/>
      <c r="I73"/>
      <c r="J73"/>
      <c r="K73"/>
      <c r="L73"/>
      <c r="M73"/>
      <c r="N73"/>
      <c r="O73"/>
    </row>
    <row r="74" spans="1:15" s="5" customFormat="1" ht="13.5" customHeight="1">
      <c r="A74"/>
      <c r="B74"/>
      <c r="C74" s="63"/>
      <c r="D74" s="357"/>
      <c r="E74"/>
      <c r="F74"/>
      <c r="G74"/>
      <c r="H74"/>
      <c r="I74"/>
      <c r="J74"/>
      <c r="K74"/>
      <c r="L74"/>
      <c r="M74"/>
      <c r="N74"/>
      <c r="O74"/>
    </row>
    <row r="75" spans="1:15" s="5" customFormat="1" ht="13.5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 s="5" customFormat="1" ht="13.5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 s="5" customFormat="1" ht="13.5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 s="5" customFormat="1" ht="13.5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 s="5" customFormat="1" ht="13.5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 s="5" customFormat="1" ht="13.5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 s="5" customFormat="1" ht="13.5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 s="5" customFormat="1" ht="13.5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 s="5" customFormat="1" ht="13.5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 s="5" customFormat="1" ht="13.5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 s="5" customFormat="1" ht="13.5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 s="5" customFormat="1" ht="13.5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 s="5" customFormat="1" ht="13.5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 s="5" customFormat="1" ht="13.5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 s="5" customFormat="1" ht="13.5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 s="5" customFormat="1" ht="13.5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 s="5" customFormat="1" ht="13.5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 s="5" customFormat="1" ht="13.5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2.7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2.7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2.7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2.7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7" spans="1:15">
      <c r="B127" s="314"/>
    </row>
    <row r="128" spans="1:15">
      <c r="B128" s="314"/>
    </row>
  </sheetData>
  <autoFilter ref="A18:N126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8" type="noConversion"/>
  <pageMargins left="0.25" right="0.25" top="0.75" bottom="0.75" header="0.3" footer="0.3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B80B-6E9E-4652-8FB0-8368243E74A9}">
  <sheetPr>
    <tabColor rgb="FFFFC000"/>
    <pageSetUpPr fitToPage="1"/>
  </sheetPr>
  <dimension ref="A1:R165"/>
  <sheetViews>
    <sheetView showGridLines="0" zoomScale="85" zoomScaleNormal="85" workbookViewId="0">
      <pane ySplit="18" topLeftCell="A103" activePane="bottomLeft" state="frozen"/>
      <selection pane="bottomLeft" activeCell="B113" sqref="B113:D113"/>
    </sheetView>
  </sheetViews>
  <sheetFormatPr defaultRowHeight="17.399999999999999"/>
  <cols>
    <col min="1" max="1" width="11.796875" customWidth="1"/>
    <col min="2" max="2" width="22.69921875" customWidth="1"/>
    <col min="3" max="3" width="17.296875" customWidth="1"/>
    <col min="4" max="4" width="11.796875" customWidth="1"/>
    <col min="5" max="5" width="13.5" bestFit="1" customWidth="1"/>
    <col min="6" max="6" width="9.59765625" bestFit="1" customWidth="1"/>
    <col min="7" max="7" width="10.796875" bestFit="1" customWidth="1"/>
    <col min="8" max="8" width="10" bestFit="1" customWidth="1"/>
    <col min="9" max="9" width="11.796875" bestFit="1" customWidth="1"/>
    <col min="10" max="11" width="13.5" bestFit="1" customWidth="1"/>
    <col min="12" max="12" width="11.59765625" bestFit="1" customWidth="1"/>
    <col min="13" max="13" width="27.19921875" customWidth="1"/>
    <col min="14" max="14" width="15.09765625" customWidth="1"/>
    <col min="15" max="15" width="11.59765625" bestFit="1" customWidth="1"/>
    <col min="16" max="16" width="9.59765625" bestFit="1" customWidth="1"/>
    <col min="17" max="17" width="13.19921875" bestFit="1" customWidth="1"/>
    <col min="18" max="18" width="10" bestFit="1" customWidth="1"/>
  </cols>
  <sheetData>
    <row r="1" spans="1:18" ht="24">
      <c r="A1" s="1" t="s">
        <v>332</v>
      </c>
      <c r="B1" s="2"/>
      <c r="C1" s="2"/>
      <c r="D1" s="3"/>
      <c r="E1" s="4">
        <v>100021363</v>
      </c>
      <c r="F1" s="130"/>
      <c r="G1" s="337" t="s">
        <v>792</v>
      </c>
      <c r="H1" s="299"/>
      <c r="I1" s="299"/>
      <c r="J1" s="299"/>
      <c r="K1" s="299"/>
      <c r="L1" s="5"/>
      <c r="M1" s="5"/>
    </row>
    <row r="2" spans="1:18" s="5" customFormat="1">
      <c r="A2" s="130" t="s">
        <v>863</v>
      </c>
      <c r="B2" s="2"/>
      <c r="C2" s="2"/>
      <c r="E2" s="4">
        <v>100000210</v>
      </c>
      <c r="F2" s="119"/>
      <c r="G2" s="130" t="s">
        <v>864</v>
      </c>
      <c r="H2" s="2"/>
      <c r="I2" s="2"/>
      <c r="K2" s="4">
        <v>100000210</v>
      </c>
      <c r="L2" s="364"/>
      <c r="M2" s="130" t="s">
        <v>865</v>
      </c>
      <c r="N2" s="2"/>
      <c r="O2" s="2"/>
      <c r="Q2" s="4">
        <v>100000210</v>
      </c>
    </row>
    <row r="3" spans="1:18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40" t="s">
        <v>291</v>
      </c>
      <c r="N3" s="140" t="s">
        <v>2</v>
      </c>
      <c r="O3" s="141" t="s">
        <v>3</v>
      </c>
      <c r="P3" s="141" t="s">
        <v>4</v>
      </c>
      <c r="Q3" s="141" t="s">
        <v>5</v>
      </c>
    </row>
    <row r="4" spans="1:18" s="5" customFormat="1" ht="15.6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  <c r="M4" s="114" t="s">
        <v>292</v>
      </c>
      <c r="N4" s="115"/>
      <c r="O4" s="116"/>
      <c r="P4" s="116"/>
      <c r="Q4" s="117"/>
    </row>
    <row r="5" spans="1:18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/>
      <c r="J5" s="116"/>
      <c r="K5" s="117"/>
      <c r="L5" s="340"/>
      <c r="M5" s="114" t="s">
        <v>238</v>
      </c>
      <c r="N5" s="115" t="s">
        <v>12</v>
      </c>
      <c r="O5" s="120">
        <v>8033.25</v>
      </c>
      <c r="P5" s="116">
        <v>1113.67</v>
      </c>
      <c r="Q5" s="117">
        <v>1468151</v>
      </c>
      <c r="R5" s="401">
        <f>E5+K5+Q5</f>
        <v>1468151</v>
      </c>
    </row>
    <row r="6" spans="1:18" s="5" customFormat="1" ht="15.6">
      <c r="A6" s="114" t="s">
        <v>294</v>
      </c>
      <c r="B6" s="115" t="s">
        <v>14</v>
      </c>
      <c r="C6" s="116">
        <v>2928.18</v>
      </c>
      <c r="D6" s="116">
        <v>410.78</v>
      </c>
      <c r="E6" s="117">
        <v>519801</v>
      </c>
      <c r="F6" s="121">
        <v>51061030</v>
      </c>
      <c r="G6" s="114" t="s">
        <v>294</v>
      </c>
      <c r="H6" s="115" t="s">
        <v>14</v>
      </c>
      <c r="I6" s="116">
        <v>11874.089999999998</v>
      </c>
      <c r="J6" s="116">
        <v>1660.42</v>
      </c>
      <c r="K6" s="117">
        <v>2125338</v>
      </c>
      <c r="L6" s="240">
        <f t="shared" ref="L6:L11" si="0">K6+E6</f>
        <v>2645139</v>
      </c>
      <c r="M6" s="114" t="s">
        <v>294</v>
      </c>
      <c r="N6" s="115" t="s">
        <v>14</v>
      </c>
      <c r="O6" s="116">
        <v>20318.370000000003</v>
      </c>
      <c r="P6" s="116">
        <v>2816.79</v>
      </c>
      <c r="Q6" s="117">
        <v>3713374</v>
      </c>
      <c r="R6" s="401">
        <f t="shared" ref="R6:R10" si="1">E6+K6+Q6</f>
        <v>6358513</v>
      </c>
    </row>
    <row r="7" spans="1:18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0">
        <f t="shared" si="0"/>
        <v>0</v>
      </c>
      <c r="M7" s="114" t="s">
        <v>75</v>
      </c>
      <c r="N7" s="115" t="s">
        <v>16</v>
      </c>
      <c r="O7" s="116">
        <v>20023</v>
      </c>
      <c r="P7" s="116">
        <v>2775.84</v>
      </c>
      <c r="Q7" s="117">
        <v>3659390</v>
      </c>
      <c r="R7" s="401">
        <f t="shared" si="1"/>
        <v>3659390</v>
      </c>
    </row>
    <row r="8" spans="1:18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0">
        <f t="shared" si="0"/>
        <v>0</v>
      </c>
      <c r="M8" s="114" t="s">
        <v>75</v>
      </c>
      <c r="N8" s="114" t="s">
        <v>17</v>
      </c>
      <c r="O8" s="116">
        <v>10500</v>
      </c>
      <c r="P8" s="116">
        <v>1455.64</v>
      </c>
      <c r="Q8" s="117">
        <v>1918970</v>
      </c>
      <c r="R8" s="401">
        <f t="shared" si="1"/>
        <v>1918970</v>
      </c>
    </row>
    <row r="9" spans="1:18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/>
      <c r="J9" s="116"/>
      <c r="K9" s="117"/>
      <c r="L9" s="240">
        <f t="shared" si="0"/>
        <v>0</v>
      </c>
      <c r="M9" s="114" t="s">
        <v>296</v>
      </c>
      <c r="N9" s="114" t="s">
        <v>20</v>
      </c>
      <c r="O9" s="116">
        <v>996</v>
      </c>
      <c r="P9" s="116">
        <v>138.08000000000001</v>
      </c>
      <c r="Q9" s="117">
        <v>182031</v>
      </c>
      <c r="R9" s="401">
        <f t="shared" si="1"/>
        <v>182031</v>
      </c>
    </row>
    <row r="10" spans="1:18" s="5" customFormat="1" ht="15.6">
      <c r="A10" s="114" t="s">
        <v>62</v>
      </c>
      <c r="B10" s="115"/>
      <c r="C10" s="116">
        <v>92563.489999999991</v>
      </c>
      <c r="D10" s="116">
        <v>13011.22</v>
      </c>
      <c r="E10" s="117">
        <v>16464398</v>
      </c>
      <c r="F10" s="121">
        <v>51321010</v>
      </c>
      <c r="G10" s="114" t="s">
        <v>62</v>
      </c>
      <c r="H10" s="115"/>
      <c r="I10" s="116">
        <v>66053.14</v>
      </c>
      <c r="J10" s="116">
        <v>9262.58</v>
      </c>
      <c r="K10" s="117">
        <v>11856102</v>
      </c>
      <c r="L10" s="240">
        <f t="shared" si="0"/>
        <v>28320500</v>
      </c>
      <c r="M10" s="114" t="s">
        <v>62</v>
      </c>
      <c r="N10" s="115"/>
      <c r="O10" s="116">
        <v>289091.51</v>
      </c>
      <c r="P10" s="116">
        <v>40103.5</v>
      </c>
      <c r="Q10" s="117">
        <v>52868444</v>
      </c>
      <c r="R10" s="401">
        <f t="shared" si="1"/>
        <v>81188944</v>
      </c>
    </row>
    <row r="11" spans="1:18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  <c r="M11" s="122" t="s">
        <v>23</v>
      </c>
      <c r="N11" s="123"/>
      <c r="O11" s="116"/>
      <c r="P11" s="116"/>
      <c r="Q11" s="117"/>
    </row>
    <row r="12" spans="1:18" s="5" customFormat="1" ht="15.6">
      <c r="A12" s="2045" t="s">
        <v>299</v>
      </c>
      <c r="B12" s="2046"/>
      <c r="C12" s="124">
        <f>SUM(C4:C11)</f>
        <v>95491.669999999984</v>
      </c>
      <c r="D12" s="124">
        <f>SUM(D4:D11)</f>
        <v>13422</v>
      </c>
      <c r="E12" s="125">
        <f>SUM(E4:E11)</f>
        <v>16984199</v>
      </c>
      <c r="F12" s="121">
        <v>52981010</v>
      </c>
      <c r="G12" s="2045" t="s">
        <v>299</v>
      </c>
      <c r="H12" s="2046"/>
      <c r="I12" s="124">
        <f>SUM(I4:I11)</f>
        <v>77927.23</v>
      </c>
      <c r="J12" s="124">
        <f>SUM(J4:J11)</f>
        <v>10923</v>
      </c>
      <c r="K12" s="125">
        <f>SUM(K4:K11)</f>
        <v>13981440</v>
      </c>
      <c r="L12" s="119"/>
      <c r="M12" s="2045" t="s">
        <v>299</v>
      </c>
      <c r="N12" s="2046"/>
      <c r="O12" s="124">
        <f>SUM(O4:O11)</f>
        <v>348962.13</v>
      </c>
      <c r="P12" s="124">
        <f>SUM(P4:P11)</f>
        <v>48403.520000000004</v>
      </c>
      <c r="Q12" s="125">
        <f>SUM(Q4:Q11)</f>
        <v>63810360</v>
      </c>
    </row>
    <row r="13" spans="1:18" s="5" customFormat="1" ht="14.25" customHeight="1">
      <c r="A13" s="126"/>
      <c r="B13" s="307"/>
      <c r="C13" s="308">
        <f>C12+I12</f>
        <v>173418.89999999997</v>
      </c>
      <c r="D13" s="308">
        <f>D12+J12</f>
        <v>24345</v>
      </c>
      <c r="E13" s="309">
        <f>E12+K12</f>
        <v>30965639</v>
      </c>
      <c r="F13" s="121"/>
      <c r="G13" s="130"/>
      <c r="H13" s="130"/>
      <c r="I13" s="131"/>
      <c r="J13" s="130"/>
      <c r="K13" s="280"/>
      <c r="L13" s="245">
        <v>2425.7418328151257</v>
      </c>
      <c r="M13" s="119"/>
      <c r="N13" s="245"/>
      <c r="O13" s="119"/>
    </row>
    <row r="14" spans="1:18" s="5" customFormat="1" ht="15.6">
      <c r="A14" s="126"/>
      <c r="B14" s="307"/>
      <c r="D14" s="308">
        <v>2188.4380072104718</v>
      </c>
      <c r="E14" s="309">
        <v>2769252</v>
      </c>
      <c r="F14" s="377"/>
      <c r="G14" s="310"/>
      <c r="H14" s="130"/>
      <c r="I14" s="131"/>
      <c r="J14" s="130"/>
      <c r="K14" s="280"/>
      <c r="L14" s="245"/>
      <c r="M14" s="245" t="e">
        <f>#REF!</f>
        <v>#REF!</v>
      </c>
      <c r="N14" s="245"/>
      <c r="O14" s="119"/>
    </row>
    <row r="15" spans="1:18" s="5" customFormat="1" ht="15.6">
      <c r="A15" s="126"/>
      <c r="B15" s="307"/>
      <c r="C15" s="308"/>
      <c r="D15" s="308"/>
      <c r="F15" s="377"/>
      <c r="G15" s="130"/>
      <c r="H15" s="130"/>
      <c r="I15" s="131"/>
      <c r="J15" s="130"/>
      <c r="K15" s="280"/>
      <c r="L15" s="245"/>
      <c r="N15" s="45"/>
    </row>
    <row r="16" spans="1:18" s="5" customFormat="1" ht="15.6">
      <c r="B16" s="134">
        <v>13081010</v>
      </c>
      <c r="C16" s="135"/>
      <c r="D16" s="135"/>
      <c r="G16" s="6"/>
      <c r="H16" s="137"/>
      <c r="I16" s="137" t="e">
        <f>SUBTOTAL(9,I19:I174)</f>
        <v>#REF!</v>
      </c>
      <c r="J16" s="137" t="e">
        <f>SUBTOTAL(9,J19:J172)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45133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0</v>
      </c>
      <c r="L19" s="233">
        <v>0</v>
      </c>
      <c r="M19" s="232"/>
      <c r="N19" s="45">
        <v>0</v>
      </c>
    </row>
    <row r="20" spans="1:14" s="5" customFormat="1" ht="13.5" customHeight="1">
      <c r="A20" s="368">
        <v>45133</v>
      </c>
      <c r="B20" s="369" t="s">
        <v>643</v>
      </c>
      <c r="C20" s="369"/>
      <c r="D20" s="370">
        <v>1</v>
      </c>
      <c r="E20" s="180"/>
      <c r="F20" s="369"/>
      <c r="G20" s="371">
        <v>95491.67</v>
      </c>
      <c r="H20" s="372">
        <v>13422</v>
      </c>
      <c r="I20" s="373"/>
      <c r="J20" s="374" t="e">
        <f>I20/'통장내역(환율표)'!#REF!</f>
        <v>#REF!</v>
      </c>
      <c r="K20" s="372">
        <f>K19+G20-I20</f>
        <v>95491.67</v>
      </c>
      <c r="L20" s="372" t="e">
        <f>L19+H20-J20</f>
        <v>#REF!</v>
      </c>
      <c r="M20" s="375"/>
      <c r="N20" s="45"/>
    </row>
    <row r="21" spans="1:14" s="5" customFormat="1" ht="13.5" customHeight="1">
      <c r="A21" s="368">
        <v>45133</v>
      </c>
      <c r="B21" s="369" t="s">
        <v>250</v>
      </c>
      <c r="C21" s="369"/>
      <c r="D21" s="370">
        <v>1</v>
      </c>
      <c r="E21" s="180" t="s">
        <v>107</v>
      </c>
      <c r="F21" s="369"/>
      <c r="G21" s="374"/>
      <c r="H21" s="372"/>
      <c r="I21" s="373"/>
      <c r="J21" s="346">
        <v>26</v>
      </c>
      <c r="K21" s="372">
        <f t="shared" ref="K21:K28" si="2">K20+G21-I21</f>
        <v>95491.67</v>
      </c>
      <c r="L21" s="372" t="e">
        <f t="shared" ref="L21:L28" si="3">L20+H21-J21</f>
        <v>#REF!</v>
      </c>
      <c r="M21" s="375"/>
      <c r="N21" s="45"/>
    </row>
    <row r="22" spans="1:14" s="5" customFormat="1" ht="13.5" customHeight="1">
      <c r="A22" s="255">
        <v>45134</v>
      </c>
      <c r="B22" s="365" t="s">
        <v>250</v>
      </c>
      <c r="C22" s="33"/>
      <c r="D22" s="282">
        <v>2</v>
      </c>
      <c r="E22" s="37" t="s">
        <v>107</v>
      </c>
      <c r="F22" s="347"/>
      <c r="G22" s="367"/>
      <c r="H22" s="376"/>
      <c r="I22" s="270">
        <v>220</v>
      </c>
      <c r="J22" s="346" t="e">
        <f>I22/'통장내역(환율표)'!#REF!</f>
        <v>#REF!</v>
      </c>
      <c r="K22" s="263">
        <f t="shared" si="2"/>
        <v>95271.67</v>
      </c>
      <c r="L22" s="263" t="e">
        <f t="shared" si="3"/>
        <v>#REF!</v>
      </c>
      <c r="M22" s="33" t="s">
        <v>799</v>
      </c>
      <c r="N22" s="45" t="e">
        <f>H20-J21-J22</f>
        <v>#REF!</v>
      </c>
    </row>
    <row r="23" spans="1:14" s="5" customFormat="1" ht="13.5" customHeight="1">
      <c r="A23" s="255">
        <v>45134</v>
      </c>
      <c r="B23" s="365" t="s">
        <v>250</v>
      </c>
      <c r="C23" s="37"/>
      <c r="D23" s="37">
        <v>3</v>
      </c>
      <c r="E23" s="37" t="s">
        <v>107</v>
      </c>
      <c r="F23" s="347"/>
      <c r="G23" s="367"/>
      <c r="H23" s="33"/>
      <c r="I23" s="270">
        <v>107.38</v>
      </c>
      <c r="J23" s="346" t="e">
        <f>I23/'통장내역(환율표)'!#REF!</f>
        <v>#REF!</v>
      </c>
      <c r="K23" s="263">
        <f t="shared" si="2"/>
        <v>95164.29</v>
      </c>
      <c r="L23" s="263" t="e">
        <f t="shared" si="3"/>
        <v>#REF!</v>
      </c>
      <c r="M23" s="33" t="s">
        <v>799</v>
      </c>
      <c r="N23" s="45" t="e">
        <f>N22-J23</f>
        <v>#REF!</v>
      </c>
    </row>
    <row r="24" spans="1:14" s="5" customFormat="1" ht="13.5" customHeight="1">
      <c r="A24" s="255">
        <v>45135</v>
      </c>
      <c r="B24" s="365" t="s">
        <v>787</v>
      </c>
      <c r="C24" s="33"/>
      <c r="D24" s="33">
        <v>4</v>
      </c>
      <c r="E24" s="37" t="s">
        <v>294</v>
      </c>
      <c r="F24" s="347" t="s">
        <v>322</v>
      </c>
      <c r="G24" s="367"/>
      <c r="H24" s="33"/>
      <c r="I24" s="270">
        <v>2928.18</v>
      </c>
      <c r="J24" s="346" t="e">
        <f>I24/'통장내역(환율표)'!#REF!</f>
        <v>#REF!</v>
      </c>
      <c r="K24" s="263">
        <f t="shared" si="2"/>
        <v>92236.11</v>
      </c>
      <c r="L24" s="263" t="e">
        <f t="shared" si="3"/>
        <v>#REF!</v>
      </c>
      <c r="M24" s="283" t="s">
        <v>846</v>
      </c>
      <c r="N24" s="45" t="e">
        <f t="shared" ref="N24:N37" si="4">N23-J24</f>
        <v>#REF!</v>
      </c>
    </row>
    <row r="25" spans="1:14" s="5" customFormat="1" ht="13.5" customHeight="1">
      <c r="A25" s="255">
        <v>45135</v>
      </c>
      <c r="B25" s="365" t="s">
        <v>250</v>
      </c>
      <c r="C25" s="37"/>
      <c r="D25" s="37">
        <v>5</v>
      </c>
      <c r="E25" s="37" t="s">
        <v>107</v>
      </c>
      <c r="F25" s="347"/>
      <c r="G25" s="367"/>
      <c r="H25" s="33"/>
      <c r="I25" s="270">
        <v>3.6</v>
      </c>
      <c r="J25" s="346" t="e">
        <f>I25/'통장내역(환율표)'!#REF!</f>
        <v>#REF!</v>
      </c>
      <c r="K25" s="263">
        <f t="shared" si="2"/>
        <v>92232.51</v>
      </c>
      <c r="L25" s="263" t="e">
        <f t="shared" si="3"/>
        <v>#REF!</v>
      </c>
      <c r="M25" s="283"/>
      <c r="N25" s="45" t="e">
        <f t="shared" si="4"/>
        <v>#REF!</v>
      </c>
    </row>
    <row r="26" spans="1:14" s="5" customFormat="1" ht="13.5" customHeight="1">
      <c r="A26" s="255">
        <v>45135</v>
      </c>
      <c r="B26" s="400" t="s">
        <v>800</v>
      </c>
      <c r="C26" s="37"/>
      <c r="D26" s="37">
        <v>6</v>
      </c>
      <c r="E26" s="347" t="s">
        <v>107</v>
      </c>
      <c r="F26" s="347"/>
      <c r="G26" s="367"/>
      <c r="H26" s="33"/>
      <c r="I26" s="270">
        <v>15600</v>
      </c>
      <c r="J26" s="346" t="e">
        <f>I26/'통장내역(환율표)'!#REF!</f>
        <v>#REF!</v>
      </c>
      <c r="K26" s="263">
        <f t="shared" si="2"/>
        <v>76632.509999999995</v>
      </c>
      <c r="L26" s="263" t="e">
        <f t="shared" si="3"/>
        <v>#REF!</v>
      </c>
      <c r="M26" s="283" t="s">
        <v>847</v>
      </c>
      <c r="N26" s="45" t="e">
        <f t="shared" si="4"/>
        <v>#REF!</v>
      </c>
    </row>
    <row r="27" spans="1:14" s="5" customFormat="1" ht="13.5" customHeight="1">
      <c r="A27" s="255">
        <v>45135</v>
      </c>
      <c r="B27" s="365" t="s">
        <v>250</v>
      </c>
      <c r="C27" s="37"/>
      <c r="D27" s="37">
        <v>7</v>
      </c>
      <c r="E27" s="347" t="s">
        <v>107</v>
      </c>
      <c r="F27" s="347"/>
      <c r="G27" s="367"/>
      <c r="H27" s="33"/>
      <c r="I27" s="270">
        <v>7.2</v>
      </c>
      <c r="J27" s="346" t="e">
        <f>I27/'통장내역(환율표)'!#REF!</f>
        <v>#REF!</v>
      </c>
      <c r="K27" s="263">
        <f t="shared" si="2"/>
        <v>76625.31</v>
      </c>
      <c r="L27" s="263" t="e">
        <f t="shared" si="3"/>
        <v>#REF!</v>
      </c>
      <c r="M27" s="283"/>
      <c r="N27" s="45" t="e">
        <f t="shared" si="4"/>
        <v>#REF!</v>
      </c>
    </row>
    <row r="28" spans="1:14" s="5" customFormat="1" ht="13.5" customHeight="1">
      <c r="A28" s="255">
        <v>45135</v>
      </c>
      <c r="B28" s="313" t="s">
        <v>866</v>
      </c>
      <c r="C28" s="347"/>
      <c r="D28" s="282">
        <v>7</v>
      </c>
      <c r="E28" s="347" t="s">
        <v>107</v>
      </c>
      <c r="F28" s="347"/>
      <c r="G28" s="263"/>
      <c r="H28" s="263"/>
      <c r="I28" s="267">
        <v>5066.49</v>
      </c>
      <c r="J28" s="346" t="e">
        <f>I28/'통장내역(환율표)'!#REF!</f>
        <v>#REF!</v>
      </c>
      <c r="K28" s="263">
        <f t="shared" si="2"/>
        <v>71558.819999999992</v>
      </c>
      <c r="L28" s="263" t="e">
        <f t="shared" si="3"/>
        <v>#REF!</v>
      </c>
      <c r="M28" s="347" t="s">
        <v>453</v>
      </c>
      <c r="N28" s="45" t="e">
        <f t="shared" si="4"/>
        <v>#REF!</v>
      </c>
    </row>
    <row r="29" spans="1:14" s="5" customFormat="1" ht="13.5" customHeight="1">
      <c r="A29" s="255">
        <v>45135</v>
      </c>
      <c r="B29" s="313" t="s">
        <v>867</v>
      </c>
      <c r="C29" s="347"/>
      <c r="D29" s="282">
        <v>7</v>
      </c>
      <c r="E29" s="347" t="s">
        <v>107</v>
      </c>
      <c r="F29" s="347"/>
      <c r="G29" s="263"/>
      <c r="H29" s="263"/>
      <c r="I29" s="267">
        <v>37700</v>
      </c>
      <c r="J29" s="346" t="e">
        <f>I29/'통장내역(환율표)'!#REF!</f>
        <v>#REF!</v>
      </c>
      <c r="K29" s="263">
        <f t="shared" ref="K29:K92" si="5">K28+G29-I29</f>
        <v>33858.819999999992</v>
      </c>
      <c r="L29" s="263" t="e">
        <f t="shared" ref="L29:L92" si="6">L28+H29-J29</f>
        <v>#REF!</v>
      </c>
      <c r="M29" s="347" t="s">
        <v>453</v>
      </c>
      <c r="N29" s="45" t="e">
        <f t="shared" si="4"/>
        <v>#REF!</v>
      </c>
    </row>
    <row r="30" spans="1:14" s="5" customFormat="1" ht="13.5" customHeight="1">
      <c r="A30" s="255">
        <v>45135</v>
      </c>
      <c r="B30" s="313" t="s">
        <v>849</v>
      </c>
      <c r="C30" s="347"/>
      <c r="D30" s="282">
        <v>7</v>
      </c>
      <c r="E30" s="347" t="s">
        <v>107</v>
      </c>
      <c r="F30" s="347"/>
      <c r="G30" s="263"/>
      <c r="H30" s="263"/>
      <c r="I30" s="267">
        <v>300</v>
      </c>
      <c r="J30" s="346" t="e">
        <f>I30/'통장내역(환율표)'!#REF!</f>
        <v>#REF!</v>
      </c>
      <c r="K30" s="263">
        <f t="shared" si="5"/>
        <v>33558.819999999992</v>
      </c>
      <c r="L30" s="263" t="e">
        <f t="shared" si="6"/>
        <v>#REF!</v>
      </c>
      <c r="M30" s="347" t="s">
        <v>453</v>
      </c>
      <c r="N30" s="45" t="e">
        <f t="shared" si="4"/>
        <v>#REF!</v>
      </c>
    </row>
    <row r="31" spans="1:14" s="5" customFormat="1" ht="13.5" customHeight="1">
      <c r="A31" s="255">
        <v>45135</v>
      </c>
      <c r="B31" s="365" t="s">
        <v>868</v>
      </c>
      <c r="C31" s="347"/>
      <c r="D31" s="282">
        <v>8</v>
      </c>
      <c r="E31" s="347" t="s">
        <v>107</v>
      </c>
      <c r="F31" s="347"/>
      <c r="G31" s="263"/>
      <c r="H31" s="263"/>
      <c r="I31" s="263">
        <v>4703.3899999999994</v>
      </c>
      <c r="J31" s="346" t="e">
        <f>I31/'통장내역(환율표)'!#REF!</f>
        <v>#REF!</v>
      </c>
      <c r="K31" s="263">
        <f t="shared" si="5"/>
        <v>28855.429999999993</v>
      </c>
      <c r="L31" s="263" t="e">
        <f t="shared" si="6"/>
        <v>#REF!</v>
      </c>
      <c r="M31" s="347" t="s">
        <v>211</v>
      </c>
      <c r="N31" s="45" t="e">
        <f t="shared" si="4"/>
        <v>#REF!</v>
      </c>
    </row>
    <row r="32" spans="1:14" s="5" customFormat="1" ht="13.5" customHeight="1">
      <c r="A32" s="255">
        <v>45135</v>
      </c>
      <c r="B32" s="365" t="s">
        <v>133</v>
      </c>
      <c r="C32" s="347"/>
      <c r="D32" s="282">
        <v>8</v>
      </c>
      <c r="E32" s="347" t="s">
        <v>107</v>
      </c>
      <c r="F32" s="347"/>
      <c r="G32" s="263"/>
      <c r="H32" s="263"/>
      <c r="I32" s="263">
        <v>6098.59</v>
      </c>
      <c r="J32" s="346" t="e">
        <f>I32/'통장내역(환율표)'!#REF!</f>
        <v>#REF!</v>
      </c>
      <c r="K32" s="263">
        <f t="shared" si="5"/>
        <v>22756.839999999993</v>
      </c>
      <c r="L32" s="263" t="e">
        <f t="shared" si="6"/>
        <v>#REF!</v>
      </c>
      <c r="M32" s="347" t="s">
        <v>211</v>
      </c>
      <c r="N32" s="45" t="e">
        <f t="shared" si="4"/>
        <v>#REF!</v>
      </c>
    </row>
    <row r="33" spans="1:14" s="5" customFormat="1" ht="13.5" customHeight="1">
      <c r="A33" s="255">
        <v>45135</v>
      </c>
      <c r="B33" s="365" t="s">
        <v>849</v>
      </c>
      <c r="C33" s="347"/>
      <c r="D33" s="282">
        <v>8</v>
      </c>
      <c r="E33" s="347" t="s">
        <v>107</v>
      </c>
      <c r="F33" s="347"/>
      <c r="G33" s="263"/>
      <c r="H33" s="263"/>
      <c r="I33" s="263">
        <v>300</v>
      </c>
      <c r="J33" s="346" t="e">
        <f>I33/'통장내역(환율표)'!#REF!</f>
        <v>#REF!</v>
      </c>
      <c r="K33" s="263">
        <f t="shared" si="5"/>
        <v>22456.839999999993</v>
      </c>
      <c r="L33" s="263" t="e">
        <f t="shared" si="6"/>
        <v>#REF!</v>
      </c>
      <c r="M33" s="347"/>
      <c r="N33" s="45" t="e">
        <f t="shared" si="4"/>
        <v>#REF!</v>
      </c>
    </row>
    <row r="34" spans="1:14" s="5" customFormat="1" ht="13.5" customHeight="1">
      <c r="A34" s="255">
        <v>45135</v>
      </c>
      <c r="B34" s="365" t="s">
        <v>868</v>
      </c>
      <c r="C34" s="347"/>
      <c r="D34" s="282">
        <v>9</v>
      </c>
      <c r="E34" s="347" t="s">
        <v>107</v>
      </c>
      <c r="F34" s="347"/>
      <c r="G34" s="263"/>
      <c r="H34" s="263"/>
      <c r="I34" s="267">
        <v>8453.39</v>
      </c>
      <c r="J34" s="346" t="e">
        <f>I34/'통장내역(환율표)'!#REF!</f>
        <v>#REF!</v>
      </c>
      <c r="K34" s="263">
        <f t="shared" si="5"/>
        <v>14003.449999999993</v>
      </c>
      <c r="L34" s="263" t="e">
        <f t="shared" si="6"/>
        <v>#REF!</v>
      </c>
      <c r="M34" s="347" t="s">
        <v>188</v>
      </c>
      <c r="N34" s="45" t="e">
        <f t="shared" si="4"/>
        <v>#REF!</v>
      </c>
    </row>
    <row r="35" spans="1:14" s="5" customFormat="1" ht="13.5" customHeight="1">
      <c r="A35" s="255">
        <v>45135</v>
      </c>
      <c r="B35" s="365" t="s">
        <v>133</v>
      </c>
      <c r="C35" s="347"/>
      <c r="D35" s="282">
        <v>9</v>
      </c>
      <c r="E35" s="347" t="s">
        <v>107</v>
      </c>
      <c r="F35" s="347"/>
      <c r="G35" s="263"/>
      <c r="H35" s="263"/>
      <c r="I35" s="267">
        <v>5738.59</v>
      </c>
      <c r="J35" s="346" t="e">
        <f>I35/'통장내역(환율표)'!#REF!</f>
        <v>#REF!</v>
      </c>
      <c r="K35" s="263">
        <f t="shared" si="5"/>
        <v>8264.8599999999933</v>
      </c>
      <c r="L35" s="263" t="e">
        <f t="shared" si="6"/>
        <v>#REF!</v>
      </c>
      <c r="M35" s="347" t="s">
        <v>188</v>
      </c>
      <c r="N35" s="45" t="e">
        <f t="shared" si="4"/>
        <v>#REF!</v>
      </c>
    </row>
    <row r="36" spans="1:14" s="5" customFormat="1" ht="13.5" customHeight="1">
      <c r="A36" s="255">
        <v>45135</v>
      </c>
      <c r="B36" s="365" t="s">
        <v>849</v>
      </c>
      <c r="C36" s="347"/>
      <c r="D36" s="282">
        <v>9</v>
      </c>
      <c r="E36" s="347" t="s">
        <v>107</v>
      </c>
      <c r="F36" s="347"/>
      <c r="G36" s="263"/>
      <c r="H36" s="263"/>
      <c r="I36" s="267">
        <v>300</v>
      </c>
      <c r="J36" s="346" t="e">
        <f>I36/'통장내역(환율표)'!#REF!</f>
        <v>#REF!</v>
      </c>
      <c r="K36" s="263">
        <f t="shared" si="5"/>
        <v>7964.8599999999933</v>
      </c>
      <c r="L36" s="263" t="e">
        <f t="shared" si="6"/>
        <v>#REF!</v>
      </c>
      <c r="M36" s="347"/>
      <c r="N36" s="45" t="e">
        <f t="shared" si="4"/>
        <v>#REF!</v>
      </c>
    </row>
    <row r="37" spans="1:14" s="5" customFormat="1" ht="13.5" customHeight="1">
      <c r="A37" s="255">
        <v>45135</v>
      </c>
      <c r="B37" s="365" t="s">
        <v>250</v>
      </c>
      <c r="C37" s="347"/>
      <c r="D37" s="282">
        <v>10</v>
      </c>
      <c r="E37" s="347" t="s">
        <v>107</v>
      </c>
      <c r="F37" s="347"/>
      <c r="G37" s="263"/>
      <c r="H37" s="263"/>
      <c r="I37" s="267">
        <v>7.2</v>
      </c>
      <c r="J37" s="346" t="e">
        <f>I37/'통장내역(환율표)'!#REF!</f>
        <v>#REF!</v>
      </c>
      <c r="K37" s="263">
        <f t="shared" si="5"/>
        <v>7957.6599999999935</v>
      </c>
      <c r="L37" s="263" t="e">
        <f t="shared" si="6"/>
        <v>#REF!</v>
      </c>
      <c r="M37" s="347"/>
      <c r="N37" s="45" t="e">
        <f t="shared" si="4"/>
        <v>#REF!</v>
      </c>
    </row>
    <row r="38" spans="1:14" s="5" customFormat="1" ht="13.5" customHeight="1">
      <c r="A38" s="391">
        <v>45142</v>
      </c>
      <c r="B38" s="392" t="s">
        <v>834</v>
      </c>
      <c r="C38" s="393"/>
      <c r="D38" s="394"/>
      <c r="E38" s="393"/>
      <c r="F38" s="393"/>
      <c r="G38" s="395">
        <v>77927.23</v>
      </c>
      <c r="H38" s="395">
        <v>10923</v>
      </c>
      <c r="I38" s="396"/>
      <c r="J38" s="397"/>
      <c r="K38" s="395">
        <f t="shared" si="5"/>
        <v>85884.889999999985</v>
      </c>
      <c r="L38" s="395" t="e">
        <f t="shared" si="6"/>
        <v>#REF!</v>
      </c>
      <c r="M38" s="393" t="s">
        <v>823</v>
      </c>
      <c r="N38" s="45"/>
    </row>
    <row r="39" spans="1:14" s="5" customFormat="1" ht="13.5" customHeight="1">
      <c r="A39" s="391">
        <v>45142</v>
      </c>
      <c r="B39" s="392" t="s">
        <v>250</v>
      </c>
      <c r="C39" s="393"/>
      <c r="D39" s="394">
        <v>11</v>
      </c>
      <c r="E39" s="393" t="s">
        <v>107</v>
      </c>
      <c r="F39" s="393"/>
      <c r="G39" s="395"/>
      <c r="H39" s="395"/>
      <c r="I39" s="396"/>
      <c r="J39" s="353">
        <v>26</v>
      </c>
      <c r="K39" s="395">
        <f t="shared" si="5"/>
        <v>85884.889999999985</v>
      </c>
      <c r="L39" s="395" t="e">
        <f t="shared" si="6"/>
        <v>#REF!</v>
      </c>
      <c r="M39" s="393"/>
      <c r="N39" s="45"/>
    </row>
    <row r="40" spans="1:14" s="5" customFormat="1" ht="13.5" customHeight="1">
      <c r="A40" s="255">
        <v>45142</v>
      </c>
      <c r="B40" s="313" t="s">
        <v>456</v>
      </c>
      <c r="C40" s="347"/>
      <c r="D40" s="282">
        <v>12</v>
      </c>
      <c r="E40" s="347" t="s">
        <v>107</v>
      </c>
      <c r="F40" s="347"/>
      <c r="G40" s="263"/>
      <c r="H40" s="263"/>
      <c r="I40" s="267" t="e">
        <f>J40*'통장내역(환율표)'!#REF!</f>
        <v>#REF!</v>
      </c>
      <c r="J40" s="346">
        <v>1116.3362559268253</v>
      </c>
      <c r="K40" s="263" t="e">
        <f t="shared" si="5"/>
        <v>#REF!</v>
      </c>
      <c r="L40" s="263" t="e">
        <f t="shared" si="6"/>
        <v>#REF!</v>
      </c>
      <c r="M40" s="347" t="s">
        <v>859</v>
      </c>
      <c r="N40" s="45" t="e">
        <f>N37-J40</f>
        <v>#REF!</v>
      </c>
    </row>
    <row r="41" spans="1:14" s="5" customFormat="1" ht="13.5" customHeight="1">
      <c r="A41" s="255">
        <v>45142</v>
      </c>
      <c r="B41" s="313" t="s">
        <v>456</v>
      </c>
      <c r="C41" s="347"/>
      <c r="D41" s="282">
        <v>12</v>
      </c>
      <c r="E41" s="347" t="s">
        <v>107</v>
      </c>
      <c r="F41" s="347"/>
      <c r="G41" s="263"/>
      <c r="H41" s="263"/>
      <c r="I41" s="267" t="e">
        <f>15000-I40</f>
        <v>#REF!</v>
      </c>
      <c r="J41" s="353" t="e">
        <f>I41/'통장내역(환율표)'!#REF!</f>
        <v>#REF!</v>
      </c>
      <c r="K41" s="263" t="e">
        <f t="shared" si="5"/>
        <v>#REF!</v>
      </c>
      <c r="L41" s="263" t="e">
        <f t="shared" si="6"/>
        <v>#REF!</v>
      </c>
      <c r="M41" s="347" t="s">
        <v>859</v>
      </c>
      <c r="N41" s="45" t="e">
        <f>H38-J39-J41</f>
        <v>#REF!</v>
      </c>
    </row>
    <row r="42" spans="1:14" s="5" customFormat="1" ht="13.5" customHeight="1">
      <c r="A42" s="255">
        <v>45142</v>
      </c>
      <c r="B42" s="313" t="s">
        <v>457</v>
      </c>
      <c r="C42" s="347"/>
      <c r="D42" s="282">
        <v>12</v>
      </c>
      <c r="E42" s="347" t="s">
        <v>107</v>
      </c>
      <c r="F42" s="347"/>
      <c r="G42" s="263"/>
      <c r="H42" s="263"/>
      <c r="I42" s="267">
        <v>22000</v>
      </c>
      <c r="J42" s="353" t="e">
        <f>I42/'통장내역(환율표)'!#REF!</f>
        <v>#REF!</v>
      </c>
      <c r="K42" s="263" t="e">
        <f t="shared" si="5"/>
        <v>#REF!</v>
      </c>
      <c r="L42" s="263" t="e">
        <f t="shared" si="6"/>
        <v>#REF!</v>
      </c>
      <c r="M42" s="347" t="s">
        <v>859</v>
      </c>
      <c r="N42" s="45" t="e">
        <f>N41-J42</f>
        <v>#REF!</v>
      </c>
    </row>
    <row r="43" spans="1:14" s="5" customFormat="1" ht="13.5" customHeight="1">
      <c r="A43" s="255">
        <v>45142</v>
      </c>
      <c r="B43" s="313" t="s">
        <v>456</v>
      </c>
      <c r="C43" s="347"/>
      <c r="D43" s="282">
        <v>13</v>
      </c>
      <c r="E43" s="347" t="s">
        <v>107</v>
      </c>
      <c r="F43" s="347"/>
      <c r="G43" s="263"/>
      <c r="H43" s="263"/>
      <c r="I43" s="267">
        <v>15000</v>
      </c>
      <c r="J43" s="353" t="e">
        <f>I43/'통장내역(환율표)'!#REF!</f>
        <v>#REF!</v>
      </c>
      <c r="K43" s="263" t="e">
        <f t="shared" si="5"/>
        <v>#REF!</v>
      </c>
      <c r="L43" s="263" t="e">
        <f t="shared" si="6"/>
        <v>#REF!</v>
      </c>
      <c r="M43" s="347" t="s">
        <v>247</v>
      </c>
      <c r="N43" s="45" t="e">
        <f t="shared" ref="N43:N45" si="7">N42-J43</f>
        <v>#REF!</v>
      </c>
    </row>
    <row r="44" spans="1:14" s="5" customFormat="1" ht="13.5" customHeight="1">
      <c r="A44" s="255">
        <v>45142</v>
      </c>
      <c r="B44" s="313" t="s">
        <v>457</v>
      </c>
      <c r="C44" s="347"/>
      <c r="D44" s="282">
        <v>13</v>
      </c>
      <c r="E44" s="347" t="s">
        <v>107</v>
      </c>
      <c r="F44" s="347"/>
      <c r="G44" s="263"/>
      <c r="H44" s="263"/>
      <c r="I44" s="267">
        <v>22000</v>
      </c>
      <c r="J44" s="353" t="e">
        <f>I44/'통장내역(환율표)'!#REF!</f>
        <v>#REF!</v>
      </c>
      <c r="K44" s="263" t="e">
        <f t="shared" si="5"/>
        <v>#REF!</v>
      </c>
      <c r="L44" s="263" t="e">
        <f t="shared" si="6"/>
        <v>#REF!</v>
      </c>
      <c r="M44" s="347" t="s">
        <v>247</v>
      </c>
      <c r="N44" s="45" t="e">
        <f t="shared" si="7"/>
        <v>#REF!</v>
      </c>
    </row>
    <row r="45" spans="1:14" s="5" customFormat="1" ht="13.5" customHeight="1">
      <c r="A45" s="255">
        <v>45142</v>
      </c>
      <c r="B45" s="365" t="s">
        <v>250</v>
      </c>
      <c r="C45" s="347"/>
      <c r="D45" s="282">
        <v>14</v>
      </c>
      <c r="E45" s="347" t="s">
        <v>107</v>
      </c>
      <c r="F45" s="347"/>
      <c r="G45" s="263"/>
      <c r="H45" s="263"/>
      <c r="I45" s="267">
        <v>7.2</v>
      </c>
      <c r="J45" s="353" t="e">
        <f>I45/'통장내역(환율표)'!#REF!</f>
        <v>#REF!</v>
      </c>
      <c r="K45" s="263" t="e">
        <f t="shared" si="5"/>
        <v>#REF!</v>
      </c>
      <c r="L45" s="263" t="e">
        <f t="shared" si="6"/>
        <v>#REF!</v>
      </c>
      <c r="M45" s="347"/>
      <c r="N45" s="45" t="e">
        <f t="shared" si="7"/>
        <v>#REF!</v>
      </c>
    </row>
    <row r="46" spans="1:14" s="5" customFormat="1" ht="13.5" customHeight="1">
      <c r="A46" s="391">
        <v>45149</v>
      </c>
      <c r="B46" s="392" t="s">
        <v>834</v>
      </c>
      <c r="C46" s="393"/>
      <c r="D46" s="394"/>
      <c r="E46" s="393"/>
      <c r="F46" s="393"/>
      <c r="G46" s="395">
        <v>435489.27</v>
      </c>
      <c r="H46" s="395">
        <v>60399</v>
      </c>
      <c r="I46" s="396"/>
      <c r="J46" s="397"/>
      <c r="K46" s="396" t="e">
        <f t="shared" si="5"/>
        <v>#REF!</v>
      </c>
      <c r="L46" s="396" t="e">
        <f t="shared" si="6"/>
        <v>#REF!</v>
      </c>
      <c r="M46" s="393" t="s">
        <v>823</v>
      </c>
      <c r="N46" s="45"/>
    </row>
    <row r="47" spans="1:14" s="5" customFormat="1" ht="13.5" customHeight="1">
      <c r="A47" s="391">
        <v>45149</v>
      </c>
      <c r="B47" s="392" t="s">
        <v>250</v>
      </c>
      <c r="C47" s="393"/>
      <c r="D47" s="394">
        <v>15</v>
      </c>
      <c r="E47" s="393" t="s">
        <v>107</v>
      </c>
      <c r="F47" s="393"/>
      <c r="G47" s="395"/>
      <c r="H47" s="395"/>
      <c r="I47" s="396"/>
      <c r="J47" s="398">
        <v>26</v>
      </c>
      <c r="K47" s="396" t="e">
        <f t="shared" si="5"/>
        <v>#REF!</v>
      </c>
      <c r="L47" s="396" t="e">
        <f t="shared" si="6"/>
        <v>#REF!</v>
      </c>
      <c r="M47" s="393"/>
      <c r="N47" s="45"/>
    </row>
    <row r="48" spans="1:14" s="5" customFormat="1" ht="13.5" customHeight="1">
      <c r="A48" s="255">
        <v>45156</v>
      </c>
      <c r="B48" s="365" t="s">
        <v>835</v>
      </c>
      <c r="C48" s="347"/>
      <c r="D48" s="282">
        <v>16</v>
      </c>
      <c r="E48" s="347" t="s">
        <v>146</v>
      </c>
      <c r="F48" s="347" t="s">
        <v>147</v>
      </c>
      <c r="G48" s="263"/>
      <c r="H48" s="263"/>
      <c r="I48" s="267">
        <v>6965.27</v>
      </c>
      <c r="J48" s="353" t="e">
        <f>I48/'통장내역(환율표)'!#REF!</f>
        <v>#REF!</v>
      </c>
      <c r="K48" s="263" t="e">
        <f t="shared" si="5"/>
        <v>#REF!</v>
      </c>
      <c r="L48" s="263" t="e">
        <f t="shared" si="6"/>
        <v>#REF!</v>
      </c>
      <c r="M48" s="347" t="s">
        <v>824</v>
      </c>
      <c r="N48" s="45" t="e">
        <f>N45-J48</f>
        <v>#REF!</v>
      </c>
    </row>
    <row r="49" spans="1:14" s="5" customFormat="1" ht="13.5" customHeight="1">
      <c r="A49" s="255">
        <v>45156</v>
      </c>
      <c r="B49" s="365" t="s">
        <v>250</v>
      </c>
      <c r="C49" s="347"/>
      <c r="D49" s="282">
        <v>17</v>
      </c>
      <c r="E49" s="347" t="s">
        <v>107</v>
      </c>
      <c r="F49" s="347"/>
      <c r="G49" s="263"/>
      <c r="H49" s="263"/>
      <c r="I49" s="267">
        <v>3.6</v>
      </c>
      <c r="J49" s="353" t="e">
        <f>I49/'통장내역(환율표)'!#REF!</f>
        <v>#REF!</v>
      </c>
      <c r="K49" s="263" t="e">
        <f t="shared" si="5"/>
        <v>#REF!</v>
      </c>
      <c r="L49" s="263" t="e">
        <f t="shared" si="6"/>
        <v>#REF!</v>
      </c>
      <c r="M49" s="347"/>
      <c r="N49" s="45" t="e">
        <f>N48-J49</f>
        <v>#REF!</v>
      </c>
    </row>
    <row r="50" spans="1:14" s="5" customFormat="1" ht="13.5" customHeight="1">
      <c r="A50" s="255">
        <v>45156</v>
      </c>
      <c r="B50" s="365" t="s">
        <v>836</v>
      </c>
      <c r="C50" s="347"/>
      <c r="D50" s="282">
        <v>18</v>
      </c>
      <c r="E50" s="347" t="s">
        <v>294</v>
      </c>
      <c r="F50" s="347" t="s">
        <v>322</v>
      </c>
      <c r="G50" s="263"/>
      <c r="H50" s="263"/>
      <c r="I50" s="267" t="e">
        <f>J50*'통장내역(환율표)'!#REF!</f>
        <v>#REF!</v>
      </c>
      <c r="J50" s="353">
        <v>686.42772930591764</v>
      </c>
      <c r="K50" s="263" t="e">
        <f t="shared" si="5"/>
        <v>#REF!</v>
      </c>
      <c r="L50" s="263" t="e">
        <f t="shared" si="6"/>
        <v>#REF!</v>
      </c>
      <c r="M50" s="347" t="s">
        <v>825</v>
      </c>
      <c r="N50" s="45" t="e">
        <f t="shared" ref="N50" si="8">N49-J50</f>
        <v>#REF!</v>
      </c>
    </row>
    <row r="51" spans="1:14" s="5" customFormat="1" ht="13.5" customHeight="1">
      <c r="A51" s="255">
        <v>45156</v>
      </c>
      <c r="B51" s="365" t="s">
        <v>836</v>
      </c>
      <c r="C51" s="347"/>
      <c r="D51" s="282">
        <v>18</v>
      </c>
      <c r="E51" s="347" t="s">
        <v>294</v>
      </c>
      <c r="F51" s="347" t="s">
        <v>322</v>
      </c>
      <c r="G51" s="263"/>
      <c r="H51" s="263"/>
      <c r="I51" s="267" t="e">
        <f>7294.92-I50</f>
        <v>#REF!</v>
      </c>
      <c r="J51" s="398" t="e">
        <f>I51/'통장내역(환율표)'!#REF!</f>
        <v>#REF!</v>
      </c>
      <c r="K51" s="263" t="e">
        <f t="shared" si="5"/>
        <v>#REF!</v>
      </c>
      <c r="L51" s="263" t="e">
        <f t="shared" si="6"/>
        <v>#REF!</v>
      </c>
      <c r="M51" s="347"/>
      <c r="N51" s="45" t="e">
        <f>H46-J47-J51</f>
        <v>#REF!</v>
      </c>
    </row>
    <row r="52" spans="1:14" s="5" customFormat="1" ht="13.5" customHeight="1">
      <c r="A52" s="255">
        <v>45156</v>
      </c>
      <c r="B52" s="365" t="s">
        <v>250</v>
      </c>
      <c r="C52" s="347"/>
      <c r="D52" s="282">
        <v>19</v>
      </c>
      <c r="E52" s="347" t="s">
        <v>107</v>
      </c>
      <c r="F52" s="347"/>
      <c r="G52" s="263"/>
      <c r="H52" s="263"/>
      <c r="I52" s="267">
        <v>3.6</v>
      </c>
      <c r="J52" s="398" t="e">
        <f>I52/'통장내역(환율표)'!#REF!</f>
        <v>#REF!</v>
      </c>
      <c r="K52" s="263" t="e">
        <f t="shared" si="5"/>
        <v>#REF!</v>
      </c>
      <c r="L52" s="263" t="e">
        <f t="shared" si="6"/>
        <v>#REF!</v>
      </c>
      <c r="M52" s="347"/>
      <c r="N52" s="45" t="e">
        <f>N51-J52</f>
        <v>#REF!</v>
      </c>
    </row>
    <row r="53" spans="1:14" s="5" customFormat="1" ht="13.5" customHeight="1">
      <c r="A53" s="255">
        <v>45156</v>
      </c>
      <c r="B53" s="365" t="s">
        <v>850</v>
      </c>
      <c r="C53" s="347"/>
      <c r="D53" s="282">
        <v>20</v>
      </c>
      <c r="E53" s="347" t="s">
        <v>294</v>
      </c>
      <c r="F53" s="347" t="s">
        <v>322</v>
      </c>
      <c r="G53" s="263"/>
      <c r="H53" s="263"/>
      <c r="I53" s="267">
        <v>3987.63</v>
      </c>
      <c r="J53" s="398" t="e">
        <f>I53/'통장내역(환율표)'!#REF!</f>
        <v>#REF!</v>
      </c>
      <c r="K53" s="263" t="e">
        <f t="shared" si="5"/>
        <v>#REF!</v>
      </c>
      <c r="L53" s="263" t="e">
        <f t="shared" si="6"/>
        <v>#REF!</v>
      </c>
      <c r="M53" s="347"/>
      <c r="N53" s="45" t="e">
        <f t="shared" ref="N53:N121" si="9">N52-J53</f>
        <v>#REF!</v>
      </c>
    </row>
    <row r="54" spans="1:14" s="5" customFormat="1" ht="13.5" customHeight="1">
      <c r="A54" s="255">
        <v>45156</v>
      </c>
      <c r="B54" s="365" t="s">
        <v>851</v>
      </c>
      <c r="C54" s="347"/>
      <c r="D54" s="282">
        <v>21</v>
      </c>
      <c r="E54" s="347" t="s">
        <v>296</v>
      </c>
      <c r="F54" s="347" t="s">
        <v>327</v>
      </c>
      <c r="G54" s="263"/>
      <c r="H54" s="263"/>
      <c r="I54" s="267">
        <v>98</v>
      </c>
      <c r="J54" s="398" t="e">
        <f>I54/'통장내역(환율표)'!#REF!</f>
        <v>#REF!</v>
      </c>
      <c r="K54" s="263" t="e">
        <f t="shared" si="5"/>
        <v>#REF!</v>
      </c>
      <c r="L54" s="263" t="e">
        <f t="shared" si="6"/>
        <v>#REF!</v>
      </c>
      <c r="M54" s="347"/>
      <c r="N54" s="45" t="e">
        <f t="shared" si="9"/>
        <v>#REF!</v>
      </c>
    </row>
    <row r="55" spans="1:14" s="5" customFormat="1" ht="13.5" customHeight="1">
      <c r="A55" s="255">
        <v>45156</v>
      </c>
      <c r="B55" s="365" t="s">
        <v>852</v>
      </c>
      <c r="C55" s="347"/>
      <c r="D55" s="282">
        <v>22</v>
      </c>
      <c r="E55" s="347" t="s">
        <v>107</v>
      </c>
      <c r="F55" s="347"/>
      <c r="G55" s="263"/>
      <c r="H55" s="263"/>
      <c r="I55" s="267">
        <v>127.9</v>
      </c>
      <c r="J55" s="398" t="e">
        <f>I55/'통장내역(환율표)'!#REF!</f>
        <v>#REF!</v>
      </c>
      <c r="K55" s="263" t="e">
        <f t="shared" si="5"/>
        <v>#REF!</v>
      </c>
      <c r="L55" s="263" t="e">
        <f t="shared" si="6"/>
        <v>#REF!</v>
      </c>
      <c r="M55" s="347"/>
      <c r="N55" s="45" t="e">
        <f t="shared" si="9"/>
        <v>#REF!</v>
      </c>
    </row>
    <row r="56" spans="1:14" s="5" customFormat="1" ht="13.5" customHeight="1">
      <c r="A56" s="255">
        <v>45156</v>
      </c>
      <c r="B56" s="365" t="s">
        <v>853</v>
      </c>
      <c r="C56" s="347"/>
      <c r="D56" s="282">
        <v>23</v>
      </c>
      <c r="E56" s="347" t="s">
        <v>294</v>
      </c>
      <c r="F56" s="347" t="s">
        <v>322</v>
      </c>
      <c r="G56" s="263"/>
      <c r="H56" s="263"/>
      <c r="I56" s="267">
        <v>1261.46</v>
      </c>
      <c r="J56" s="398" t="e">
        <f>I56/'통장내역(환율표)'!#REF!</f>
        <v>#REF!</v>
      </c>
      <c r="K56" s="263" t="e">
        <f t="shared" si="5"/>
        <v>#REF!</v>
      </c>
      <c r="L56" s="263" t="e">
        <f t="shared" si="6"/>
        <v>#REF!</v>
      </c>
      <c r="M56" s="347"/>
      <c r="N56" s="45" t="e">
        <f t="shared" si="9"/>
        <v>#REF!</v>
      </c>
    </row>
    <row r="57" spans="1:14" s="5" customFormat="1" ht="13.5" customHeight="1">
      <c r="A57" s="255">
        <v>45156</v>
      </c>
      <c r="B57" s="365" t="s">
        <v>250</v>
      </c>
      <c r="C57" s="347"/>
      <c r="D57" s="282">
        <v>24</v>
      </c>
      <c r="E57" s="347" t="s">
        <v>107</v>
      </c>
      <c r="F57" s="347"/>
      <c r="G57" s="263"/>
      <c r="H57" s="263"/>
      <c r="I57" s="267">
        <v>3.6</v>
      </c>
      <c r="J57" s="398" t="e">
        <f>I57/'통장내역(환율표)'!#REF!</f>
        <v>#REF!</v>
      </c>
      <c r="K57" s="263" t="e">
        <f t="shared" si="5"/>
        <v>#REF!</v>
      </c>
      <c r="L57" s="263" t="e">
        <f t="shared" si="6"/>
        <v>#REF!</v>
      </c>
      <c r="M57" s="347"/>
      <c r="N57" s="45" t="e">
        <f t="shared" si="9"/>
        <v>#REF!</v>
      </c>
    </row>
    <row r="58" spans="1:14" s="5" customFormat="1" ht="13.5" customHeight="1">
      <c r="A58" s="255">
        <v>45156</v>
      </c>
      <c r="B58" s="365" t="s">
        <v>660</v>
      </c>
      <c r="C58" s="347"/>
      <c r="D58" s="282">
        <v>25</v>
      </c>
      <c r="E58" s="347" t="s">
        <v>107</v>
      </c>
      <c r="F58" s="347"/>
      <c r="G58" s="263"/>
      <c r="H58" s="263"/>
      <c r="I58" s="263">
        <v>1205.76</v>
      </c>
      <c r="J58" s="398" t="e">
        <f>I58/'통장내역(환율표)'!#REF!</f>
        <v>#REF!</v>
      </c>
      <c r="K58" s="263" t="e">
        <f t="shared" si="5"/>
        <v>#REF!</v>
      </c>
      <c r="L58" s="263" t="e">
        <f t="shared" si="6"/>
        <v>#REF!</v>
      </c>
      <c r="M58" s="347" t="s">
        <v>699</v>
      </c>
      <c r="N58" s="45" t="e">
        <f t="shared" si="9"/>
        <v>#REF!</v>
      </c>
    </row>
    <row r="59" spans="1:14" s="5" customFormat="1" ht="13.5" customHeight="1">
      <c r="A59" s="255">
        <v>45156</v>
      </c>
      <c r="B59" s="365" t="s">
        <v>250</v>
      </c>
      <c r="C59" s="347"/>
      <c r="D59" s="282">
        <v>26</v>
      </c>
      <c r="E59" s="347" t="s">
        <v>107</v>
      </c>
      <c r="F59" s="347"/>
      <c r="G59" s="263"/>
      <c r="H59" s="263"/>
      <c r="I59" s="263">
        <v>3.6</v>
      </c>
      <c r="J59" s="398" t="e">
        <f>I59/'통장내역(환율표)'!#REF!</f>
        <v>#REF!</v>
      </c>
      <c r="K59" s="263" t="e">
        <f t="shared" si="5"/>
        <v>#REF!</v>
      </c>
      <c r="L59" s="263" t="e">
        <f t="shared" si="6"/>
        <v>#REF!</v>
      </c>
      <c r="M59" s="347"/>
      <c r="N59" s="45" t="e">
        <f t="shared" si="9"/>
        <v>#REF!</v>
      </c>
    </row>
    <row r="60" spans="1:14" s="5" customFormat="1" ht="13.5" customHeight="1">
      <c r="A60" s="255">
        <v>45156</v>
      </c>
      <c r="B60" s="365" t="s">
        <v>789</v>
      </c>
      <c r="C60" s="347"/>
      <c r="D60" s="282">
        <v>27</v>
      </c>
      <c r="E60" s="347" t="s">
        <v>107</v>
      </c>
      <c r="F60" s="347"/>
      <c r="G60" s="263"/>
      <c r="H60" s="263"/>
      <c r="I60" s="267">
        <v>1010</v>
      </c>
      <c r="J60" s="398" t="e">
        <f>I60/'통장내역(환율표)'!#REF!</f>
        <v>#REF!</v>
      </c>
      <c r="K60" s="263" t="e">
        <f t="shared" si="5"/>
        <v>#REF!</v>
      </c>
      <c r="L60" s="263" t="e">
        <f t="shared" si="6"/>
        <v>#REF!</v>
      </c>
      <c r="M60" s="347" t="s">
        <v>700</v>
      </c>
      <c r="N60" s="45" t="e">
        <f t="shared" si="9"/>
        <v>#REF!</v>
      </c>
    </row>
    <row r="61" spans="1:14" s="5" customFormat="1" ht="13.5" customHeight="1">
      <c r="A61" s="255">
        <v>45156</v>
      </c>
      <c r="B61" s="365" t="s">
        <v>250</v>
      </c>
      <c r="C61" s="347"/>
      <c r="D61" s="282">
        <v>28</v>
      </c>
      <c r="E61" s="347" t="s">
        <v>107</v>
      </c>
      <c r="F61" s="347"/>
      <c r="G61" s="263"/>
      <c r="H61" s="263"/>
      <c r="I61" s="267">
        <v>3.6</v>
      </c>
      <c r="J61" s="398" t="e">
        <f>I61/'통장내역(환율표)'!#REF!</f>
        <v>#REF!</v>
      </c>
      <c r="K61" s="263" t="e">
        <f t="shared" si="5"/>
        <v>#REF!</v>
      </c>
      <c r="L61" s="263" t="e">
        <f t="shared" si="6"/>
        <v>#REF!</v>
      </c>
      <c r="M61" s="347"/>
      <c r="N61" s="45" t="e">
        <f t="shared" si="9"/>
        <v>#REF!</v>
      </c>
    </row>
    <row r="62" spans="1:14" s="5" customFormat="1" ht="13.5" customHeight="1">
      <c r="A62" s="255">
        <v>45156</v>
      </c>
      <c r="B62" s="313" t="s">
        <v>346</v>
      </c>
      <c r="C62" s="347"/>
      <c r="D62" s="282">
        <v>29</v>
      </c>
      <c r="E62" s="347" t="s">
        <v>105</v>
      </c>
      <c r="F62" s="347" t="s">
        <v>320</v>
      </c>
      <c r="G62" s="263"/>
      <c r="H62" s="263"/>
      <c r="I62" s="38">
        <v>10500</v>
      </c>
      <c r="J62" s="398" t="e">
        <f>I62/'통장내역(환율표)'!#REF!</f>
        <v>#REF!</v>
      </c>
      <c r="K62" s="263" t="e">
        <f t="shared" si="5"/>
        <v>#REF!</v>
      </c>
      <c r="L62" s="263" t="e">
        <f t="shared" si="6"/>
        <v>#REF!</v>
      </c>
      <c r="M62" s="347"/>
      <c r="N62" s="45" t="e">
        <f t="shared" si="9"/>
        <v>#REF!</v>
      </c>
    </row>
    <row r="63" spans="1:14" s="5" customFormat="1" ht="13.5" customHeight="1">
      <c r="A63" s="255">
        <v>45156</v>
      </c>
      <c r="B63" s="313" t="s">
        <v>347</v>
      </c>
      <c r="C63" s="347"/>
      <c r="D63" s="282">
        <v>30</v>
      </c>
      <c r="E63" s="347" t="s">
        <v>107</v>
      </c>
      <c r="F63" s="347"/>
      <c r="G63" s="263"/>
      <c r="H63" s="263"/>
      <c r="I63" s="38">
        <v>6000</v>
      </c>
      <c r="J63" s="398" t="e">
        <f>I63/'통장내역(환율표)'!#REF!</f>
        <v>#REF!</v>
      </c>
      <c r="K63" s="263" t="e">
        <f t="shared" si="5"/>
        <v>#REF!</v>
      </c>
      <c r="L63" s="263" t="e">
        <f t="shared" si="6"/>
        <v>#REF!</v>
      </c>
      <c r="M63" s="347"/>
      <c r="N63" s="45" t="e">
        <f t="shared" si="9"/>
        <v>#REF!</v>
      </c>
    </row>
    <row r="64" spans="1:14" s="5" customFormat="1" ht="13.5" customHeight="1">
      <c r="A64" s="255">
        <v>45156</v>
      </c>
      <c r="B64" s="313" t="s">
        <v>351</v>
      </c>
      <c r="C64" s="347"/>
      <c r="D64" s="282">
        <v>31</v>
      </c>
      <c r="E64" s="347" t="s">
        <v>107</v>
      </c>
      <c r="F64" s="347"/>
      <c r="G64" s="263"/>
      <c r="H64" s="263"/>
      <c r="I64" s="267">
        <v>770</v>
      </c>
      <c r="J64" s="398" t="e">
        <f>I64/'통장내역(환율표)'!#REF!</f>
        <v>#REF!</v>
      </c>
      <c r="K64" s="263" t="e">
        <f>K63+G64-I64</f>
        <v>#REF!</v>
      </c>
      <c r="L64" s="263" t="e">
        <f t="shared" si="6"/>
        <v>#REF!</v>
      </c>
      <c r="M64" s="347"/>
      <c r="N64" s="45" t="e">
        <f t="shared" si="9"/>
        <v>#REF!</v>
      </c>
    </row>
    <row r="65" spans="1:14" s="5" customFormat="1" ht="13.5" customHeight="1">
      <c r="A65" s="255">
        <v>45156</v>
      </c>
      <c r="B65" s="313" t="s">
        <v>250</v>
      </c>
      <c r="C65" s="347"/>
      <c r="D65" s="282">
        <v>32</v>
      </c>
      <c r="E65" s="347" t="s">
        <v>107</v>
      </c>
      <c r="F65" s="347"/>
      <c r="G65" s="263"/>
      <c r="H65" s="263"/>
      <c r="I65" s="267">
        <v>7.2</v>
      </c>
      <c r="J65" s="398" t="e">
        <f>I65/'통장내역(환율표)'!#REF!</f>
        <v>#REF!</v>
      </c>
      <c r="K65" s="263" t="e">
        <f t="shared" si="5"/>
        <v>#REF!</v>
      </c>
      <c r="L65" s="263" t="e">
        <f t="shared" si="6"/>
        <v>#REF!</v>
      </c>
      <c r="M65" s="347"/>
      <c r="N65" s="45" t="e">
        <f t="shared" si="9"/>
        <v>#REF!</v>
      </c>
    </row>
    <row r="66" spans="1:14" s="5" customFormat="1" ht="13.5" customHeight="1">
      <c r="A66" s="255">
        <v>45156</v>
      </c>
      <c r="B66" s="365" t="s">
        <v>460</v>
      </c>
      <c r="C66" s="347"/>
      <c r="D66" s="282">
        <v>33</v>
      </c>
      <c r="E66" s="347" t="s">
        <v>105</v>
      </c>
      <c r="F66" s="347" t="s">
        <v>106</v>
      </c>
      <c r="G66" s="263"/>
      <c r="H66" s="263"/>
      <c r="I66" s="267">
        <v>20023</v>
      </c>
      <c r="J66" s="398" t="e">
        <f>I66/'통장내역(환율표)'!#REF!</f>
        <v>#REF!</v>
      </c>
      <c r="K66" s="263" t="e">
        <f t="shared" si="5"/>
        <v>#REF!</v>
      </c>
      <c r="L66" s="263" t="e">
        <f t="shared" si="6"/>
        <v>#REF!</v>
      </c>
      <c r="M66" s="347" t="s">
        <v>240</v>
      </c>
      <c r="N66" s="45" t="e">
        <f t="shared" si="9"/>
        <v>#REF!</v>
      </c>
    </row>
    <row r="67" spans="1:14" s="5" customFormat="1" ht="13.5" customHeight="1">
      <c r="A67" s="255">
        <v>45156</v>
      </c>
      <c r="B67" s="313" t="s">
        <v>250</v>
      </c>
      <c r="C67" s="347"/>
      <c r="D67" s="282">
        <v>34</v>
      </c>
      <c r="E67" s="347" t="s">
        <v>107</v>
      </c>
      <c r="F67" s="347"/>
      <c r="G67" s="263"/>
      <c r="H67" s="263"/>
      <c r="I67" s="267">
        <v>7.2</v>
      </c>
      <c r="J67" s="398" t="e">
        <f>I67/'통장내역(환율표)'!#REF!</f>
        <v>#REF!</v>
      </c>
      <c r="K67" s="263" t="e">
        <f t="shared" si="5"/>
        <v>#REF!</v>
      </c>
      <c r="L67" s="263" t="e">
        <f t="shared" si="6"/>
        <v>#REF!</v>
      </c>
      <c r="M67" s="347"/>
      <c r="N67" s="45" t="e">
        <f t="shared" si="9"/>
        <v>#REF!</v>
      </c>
    </row>
    <row r="68" spans="1:14" s="5" customFormat="1" ht="13.5" customHeight="1">
      <c r="A68" s="255">
        <v>45156</v>
      </c>
      <c r="B68" s="335" t="s">
        <v>715</v>
      </c>
      <c r="C68" s="347"/>
      <c r="D68" s="282">
        <v>35</v>
      </c>
      <c r="E68" s="347" t="s">
        <v>294</v>
      </c>
      <c r="F68" s="347" t="s">
        <v>322</v>
      </c>
      <c r="G68" s="263"/>
      <c r="H68" s="263"/>
      <c r="I68" s="267">
        <v>3460</v>
      </c>
      <c r="J68" s="398" t="e">
        <f>I68/'통장내역(환율표)'!#REF!</f>
        <v>#REF!</v>
      </c>
      <c r="K68" s="263" t="e">
        <f t="shared" si="5"/>
        <v>#REF!</v>
      </c>
      <c r="L68" s="263" t="e">
        <f t="shared" si="6"/>
        <v>#REF!</v>
      </c>
      <c r="M68" s="347"/>
      <c r="N68" s="45" t="e">
        <f t="shared" si="9"/>
        <v>#REF!</v>
      </c>
    </row>
    <row r="69" spans="1:14" s="5" customFormat="1" ht="13.5" customHeight="1">
      <c r="A69" s="255">
        <v>45156</v>
      </c>
      <c r="B69" s="335" t="s">
        <v>714</v>
      </c>
      <c r="C69" s="347"/>
      <c r="D69" s="282">
        <v>36</v>
      </c>
      <c r="E69" s="347" t="s">
        <v>294</v>
      </c>
      <c r="F69" s="347" t="s">
        <v>322</v>
      </c>
      <c r="G69" s="263"/>
      <c r="H69" s="263"/>
      <c r="I69" s="267">
        <v>1119</v>
      </c>
      <c r="J69" s="398" t="e">
        <f>I69/'통장내역(환율표)'!#REF!</f>
        <v>#REF!</v>
      </c>
      <c r="K69" s="263" t="e">
        <f t="shared" si="5"/>
        <v>#REF!</v>
      </c>
      <c r="L69" s="263" t="e">
        <f t="shared" si="6"/>
        <v>#REF!</v>
      </c>
      <c r="M69" s="347"/>
      <c r="N69" s="45" t="e">
        <f t="shared" si="9"/>
        <v>#REF!</v>
      </c>
    </row>
    <row r="70" spans="1:14" s="5" customFormat="1" ht="13.5" customHeight="1">
      <c r="A70" s="255">
        <v>45156</v>
      </c>
      <c r="B70" s="335" t="s">
        <v>716</v>
      </c>
      <c r="C70" s="347"/>
      <c r="D70" s="282">
        <v>37</v>
      </c>
      <c r="E70" s="347" t="s">
        <v>294</v>
      </c>
      <c r="F70" s="347" t="s">
        <v>322</v>
      </c>
      <c r="G70" s="263"/>
      <c r="H70" s="263"/>
      <c r="I70" s="267">
        <v>336</v>
      </c>
      <c r="J70" s="398" t="e">
        <f>I70/'통장내역(환율표)'!#REF!</f>
        <v>#REF!</v>
      </c>
      <c r="K70" s="263" t="e">
        <f t="shared" si="5"/>
        <v>#REF!</v>
      </c>
      <c r="L70" s="263" t="e">
        <f t="shared" si="6"/>
        <v>#REF!</v>
      </c>
      <c r="M70" s="347"/>
      <c r="N70" s="45" t="e">
        <f t="shared" si="9"/>
        <v>#REF!</v>
      </c>
    </row>
    <row r="71" spans="1:14" s="5" customFormat="1" ht="13.5" customHeight="1">
      <c r="A71" s="255">
        <v>45156</v>
      </c>
      <c r="B71" s="313" t="s">
        <v>250</v>
      </c>
      <c r="C71" s="347"/>
      <c r="D71" s="282">
        <v>38</v>
      </c>
      <c r="E71" s="347" t="s">
        <v>107</v>
      </c>
      <c r="F71" s="347"/>
      <c r="G71" s="263"/>
      <c r="H71" s="263"/>
      <c r="I71" s="267">
        <v>3.6</v>
      </c>
      <c r="J71" s="398" t="e">
        <f>I71/'통장내역(환율표)'!#REF!</f>
        <v>#REF!</v>
      </c>
      <c r="K71" s="263" t="e">
        <f t="shared" si="5"/>
        <v>#REF!</v>
      </c>
      <c r="L71" s="263" t="e">
        <f t="shared" si="6"/>
        <v>#REF!</v>
      </c>
      <c r="M71" s="347"/>
      <c r="N71" s="45" t="e">
        <f t="shared" si="9"/>
        <v>#REF!</v>
      </c>
    </row>
    <row r="72" spans="1:14" s="5" customFormat="1" ht="13.5" customHeight="1">
      <c r="A72" s="255">
        <v>45156</v>
      </c>
      <c r="B72" s="365" t="s">
        <v>837</v>
      </c>
      <c r="C72" s="347"/>
      <c r="D72" s="282">
        <v>39</v>
      </c>
      <c r="E72" s="347" t="s">
        <v>294</v>
      </c>
      <c r="F72" s="347" t="s">
        <v>322</v>
      </c>
      <c r="G72" s="263"/>
      <c r="H72" s="263"/>
      <c r="I72" s="263">
        <v>85.17</v>
      </c>
      <c r="J72" s="398" t="e">
        <f>I72/'통장내역(환율표)'!#REF!</f>
        <v>#REF!</v>
      </c>
      <c r="K72" s="263" t="e">
        <f t="shared" si="5"/>
        <v>#REF!</v>
      </c>
      <c r="L72" s="263" t="e">
        <f t="shared" si="6"/>
        <v>#REF!</v>
      </c>
      <c r="M72" s="347" t="s">
        <v>704</v>
      </c>
      <c r="N72" s="45" t="e">
        <f t="shared" si="9"/>
        <v>#REF!</v>
      </c>
    </row>
    <row r="73" spans="1:14" s="5" customFormat="1" ht="13.5" customHeight="1">
      <c r="A73" s="255">
        <v>45156</v>
      </c>
      <c r="B73" s="313" t="s">
        <v>250</v>
      </c>
      <c r="C73" s="347"/>
      <c r="D73" s="282">
        <v>40</v>
      </c>
      <c r="E73" s="347" t="s">
        <v>107</v>
      </c>
      <c r="F73" s="347"/>
      <c r="G73" s="263"/>
      <c r="H73" s="263"/>
      <c r="I73" s="263">
        <v>3.6</v>
      </c>
      <c r="J73" s="398" t="e">
        <f>I73/'통장내역(환율표)'!#REF!</f>
        <v>#REF!</v>
      </c>
      <c r="K73" s="263" t="e">
        <f t="shared" si="5"/>
        <v>#REF!</v>
      </c>
      <c r="L73" s="263" t="e">
        <f t="shared" si="6"/>
        <v>#REF!</v>
      </c>
      <c r="M73" s="347"/>
      <c r="N73" s="45" t="e">
        <f t="shared" si="9"/>
        <v>#REF!</v>
      </c>
    </row>
    <row r="74" spans="1:14" s="5" customFormat="1" ht="13.5" customHeight="1">
      <c r="A74" s="255">
        <v>45156</v>
      </c>
      <c r="B74" s="365" t="s">
        <v>838</v>
      </c>
      <c r="C74" s="347"/>
      <c r="D74" s="282">
        <v>41</v>
      </c>
      <c r="E74" s="347" t="s">
        <v>107</v>
      </c>
      <c r="F74" s="347"/>
      <c r="G74" s="263"/>
      <c r="H74" s="263"/>
      <c r="I74" s="263">
        <v>5396</v>
      </c>
      <c r="J74" s="398" t="e">
        <f>I74/'통장내역(환율표)'!#REF!</f>
        <v>#REF!</v>
      </c>
      <c r="K74" s="263" t="e">
        <f t="shared" si="5"/>
        <v>#REF!</v>
      </c>
      <c r="L74" s="263" t="e">
        <f t="shared" si="6"/>
        <v>#REF!</v>
      </c>
      <c r="M74" s="347" t="s">
        <v>826</v>
      </c>
      <c r="N74" s="45" t="e">
        <f t="shared" si="9"/>
        <v>#REF!</v>
      </c>
    </row>
    <row r="75" spans="1:14" s="5" customFormat="1" ht="13.5" customHeight="1">
      <c r="A75" s="255">
        <v>45156</v>
      </c>
      <c r="B75" s="313" t="s">
        <v>250</v>
      </c>
      <c r="C75" s="347"/>
      <c r="D75" s="282">
        <v>42</v>
      </c>
      <c r="E75" s="347" t="s">
        <v>107</v>
      </c>
      <c r="F75" s="347"/>
      <c r="G75" s="263"/>
      <c r="H75" s="263"/>
      <c r="I75" s="263">
        <v>3.6</v>
      </c>
      <c r="J75" s="398" t="e">
        <f>I75/'통장내역(환율표)'!#REF!</f>
        <v>#REF!</v>
      </c>
      <c r="K75" s="263" t="e">
        <f t="shared" si="5"/>
        <v>#REF!</v>
      </c>
      <c r="L75" s="263" t="e">
        <f t="shared" si="6"/>
        <v>#REF!</v>
      </c>
      <c r="M75" s="347"/>
      <c r="N75" s="45" t="e">
        <f t="shared" si="9"/>
        <v>#REF!</v>
      </c>
    </row>
    <row r="76" spans="1:14" s="5" customFormat="1" ht="12.75" customHeight="1">
      <c r="A76" s="255">
        <v>45156</v>
      </c>
      <c r="B76" s="365" t="s">
        <v>839</v>
      </c>
      <c r="C76" s="347"/>
      <c r="D76" s="282">
        <v>43</v>
      </c>
      <c r="E76" s="347" t="s">
        <v>125</v>
      </c>
      <c r="F76" s="347" t="s">
        <v>145</v>
      </c>
      <c r="G76" s="263"/>
      <c r="H76" s="263"/>
      <c r="I76" s="263">
        <v>6233.25</v>
      </c>
      <c r="J76" s="398" t="e">
        <f>I76/'통장내역(환율표)'!#REF!</f>
        <v>#REF!</v>
      </c>
      <c r="K76" s="263" t="e">
        <f t="shared" si="5"/>
        <v>#REF!</v>
      </c>
      <c r="L76" s="263" t="e">
        <f t="shared" si="6"/>
        <v>#REF!</v>
      </c>
      <c r="M76" s="347" t="s">
        <v>827</v>
      </c>
      <c r="N76" s="45" t="e">
        <f t="shared" si="9"/>
        <v>#REF!</v>
      </c>
    </row>
    <row r="77" spans="1:14" s="5" customFormat="1" ht="12.75" customHeight="1">
      <c r="A77" s="255">
        <v>45156</v>
      </c>
      <c r="B77" s="313" t="s">
        <v>250</v>
      </c>
      <c r="C77" s="347"/>
      <c r="D77" s="282">
        <v>44</v>
      </c>
      <c r="E77" s="347" t="s">
        <v>107</v>
      </c>
      <c r="F77" s="347"/>
      <c r="G77" s="263"/>
      <c r="H77" s="263"/>
      <c r="I77" s="263">
        <v>3.6</v>
      </c>
      <c r="J77" s="398" t="e">
        <f>I77/'통장내역(환율표)'!#REF!</f>
        <v>#REF!</v>
      </c>
      <c r="K77" s="263" t="e">
        <f t="shared" si="5"/>
        <v>#REF!</v>
      </c>
      <c r="L77" s="263" t="e">
        <f t="shared" si="6"/>
        <v>#REF!</v>
      </c>
      <c r="M77" s="347"/>
      <c r="N77" s="45" t="e">
        <f t="shared" si="9"/>
        <v>#REF!</v>
      </c>
    </row>
    <row r="78" spans="1:14" s="5" customFormat="1" ht="13.5" customHeight="1">
      <c r="A78" s="255">
        <v>45156</v>
      </c>
      <c r="B78" s="365" t="s">
        <v>840</v>
      </c>
      <c r="C78" s="347"/>
      <c r="D78" s="282">
        <v>45</v>
      </c>
      <c r="E78" s="347" t="s">
        <v>107</v>
      </c>
      <c r="F78" s="347"/>
      <c r="G78" s="263"/>
      <c r="H78" s="263"/>
      <c r="I78" s="267">
        <v>78300</v>
      </c>
      <c r="J78" s="398" t="e">
        <f>I78/'통장내역(환율표)'!#REF!</f>
        <v>#REF!</v>
      </c>
      <c r="K78" s="263" t="e">
        <f t="shared" si="5"/>
        <v>#REF!</v>
      </c>
      <c r="L78" s="263" t="e">
        <f t="shared" si="6"/>
        <v>#REF!</v>
      </c>
      <c r="M78" s="347" t="s">
        <v>828</v>
      </c>
      <c r="N78" s="45" t="e">
        <f t="shared" si="9"/>
        <v>#REF!</v>
      </c>
    </row>
    <row r="79" spans="1:14" s="5" customFormat="1" ht="13.5" customHeight="1">
      <c r="A79" s="255">
        <v>45156</v>
      </c>
      <c r="B79" s="313" t="s">
        <v>250</v>
      </c>
      <c r="C79" s="347"/>
      <c r="D79" s="282">
        <v>46</v>
      </c>
      <c r="E79" s="347" t="s">
        <v>107</v>
      </c>
      <c r="F79" s="347"/>
      <c r="G79" s="263"/>
      <c r="H79" s="263"/>
      <c r="I79" s="267">
        <v>7.2</v>
      </c>
      <c r="J79" s="398" t="e">
        <f>I79/'통장내역(환율표)'!#REF!</f>
        <v>#REF!</v>
      </c>
      <c r="K79" s="263" t="e">
        <f t="shared" si="5"/>
        <v>#REF!</v>
      </c>
      <c r="L79" s="263" t="e">
        <f t="shared" si="6"/>
        <v>#REF!</v>
      </c>
      <c r="M79" s="347"/>
      <c r="N79" s="45" t="e">
        <f t="shared" si="9"/>
        <v>#REF!</v>
      </c>
    </row>
    <row r="80" spans="1:14" s="5" customFormat="1" ht="13.5" customHeight="1">
      <c r="A80" s="255">
        <v>45159</v>
      </c>
      <c r="B80" s="365" t="s">
        <v>841</v>
      </c>
      <c r="C80" s="347"/>
      <c r="D80" s="282">
        <v>47</v>
      </c>
      <c r="E80" s="347" t="s">
        <v>294</v>
      </c>
      <c r="F80" s="347" t="s">
        <v>322</v>
      </c>
      <c r="G80" s="263"/>
      <c r="H80" s="263"/>
      <c r="I80" s="263">
        <v>7341.92</v>
      </c>
      <c r="J80" s="398" t="e">
        <f>I80/'통장내역(환율표)'!#REF!</f>
        <v>#REF!</v>
      </c>
      <c r="K80" s="263" t="e">
        <f t="shared" si="5"/>
        <v>#REF!</v>
      </c>
      <c r="L80" s="263" t="e">
        <f t="shared" si="6"/>
        <v>#REF!</v>
      </c>
      <c r="M80" s="347" t="s">
        <v>829</v>
      </c>
      <c r="N80" s="45" t="e">
        <f t="shared" si="9"/>
        <v>#REF!</v>
      </c>
    </row>
    <row r="81" spans="1:14" s="5" customFormat="1" ht="13.5" customHeight="1">
      <c r="A81" s="255">
        <v>45159</v>
      </c>
      <c r="B81" s="313" t="s">
        <v>250</v>
      </c>
      <c r="C81" s="347"/>
      <c r="D81" s="282">
        <v>48</v>
      </c>
      <c r="E81" s="347" t="s">
        <v>107</v>
      </c>
      <c r="F81" s="347"/>
      <c r="G81" s="263"/>
      <c r="H81" s="263"/>
      <c r="I81" s="263">
        <v>3.6</v>
      </c>
      <c r="J81" s="398" t="e">
        <f>I81/'통장내역(환율표)'!#REF!</f>
        <v>#REF!</v>
      </c>
      <c r="K81" s="263" t="e">
        <f t="shared" si="5"/>
        <v>#REF!</v>
      </c>
      <c r="L81" s="263" t="e">
        <f t="shared" si="6"/>
        <v>#REF!</v>
      </c>
      <c r="M81" s="347"/>
      <c r="N81" s="45" t="e">
        <f t="shared" si="9"/>
        <v>#REF!</v>
      </c>
    </row>
    <row r="82" spans="1:14" s="5" customFormat="1" ht="13.5" customHeight="1">
      <c r="A82" s="255">
        <v>45159</v>
      </c>
      <c r="B82" s="365" t="s">
        <v>842</v>
      </c>
      <c r="C82" s="347"/>
      <c r="D82" s="282">
        <v>49</v>
      </c>
      <c r="E82" s="347" t="s">
        <v>107</v>
      </c>
      <c r="F82" s="347"/>
      <c r="G82" s="263"/>
      <c r="H82" s="263"/>
      <c r="I82" s="263">
        <v>13336</v>
      </c>
      <c r="J82" s="398" t="e">
        <f>I82/'통장내역(환율표)'!#REF!</f>
        <v>#REF!</v>
      </c>
      <c r="K82" s="263" t="e">
        <f t="shared" si="5"/>
        <v>#REF!</v>
      </c>
      <c r="L82" s="263" t="e">
        <f t="shared" si="6"/>
        <v>#REF!</v>
      </c>
      <c r="M82" s="347" t="s">
        <v>830</v>
      </c>
      <c r="N82" s="45" t="e">
        <f t="shared" si="9"/>
        <v>#REF!</v>
      </c>
    </row>
    <row r="83" spans="1:14" s="5" customFormat="1" ht="13.5" customHeight="1">
      <c r="A83" s="255">
        <v>45159</v>
      </c>
      <c r="B83" s="313" t="s">
        <v>250</v>
      </c>
      <c r="C83" s="347"/>
      <c r="D83" s="282">
        <v>50</v>
      </c>
      <c r="E83" s="347" t="s">
        <v>107</v>
      </c>
      <c r="F83" s="347"/>
      <c r="G83" s="263"/>
      <c r="H83" s="263"/>
      <c r="I83" s="263">
        <v>7.2</v>
      </c>
      <c r="J83" s="398" t="e">
        <f>I83/'통장내역(환율표)'!#REF!</f>
        <v>#REF!</v>
      </c>
      <c r="K83" s="263" t="e">
        <f t="shared" si="5"/>
        <v>#REF!</v>
      </c>
      <c r="L83" s="263" t="e">
        <f t="shared" si="6"/>
        <v>#REF!</v>
      </c>
      <c r="M83" s="347"/>
      <c r="N83" s="45" t="e">
        <f t="shared" si="9"/>
        <v>#REF!</v>
      </c>
    </row>
    <row r="84" spans="1:14" s="5" customFormat="1" ht="13.5" customHeight="1">
      <c r="A84" s="255">
        <v>45159</v>
      </c>
      <c r="B84" s="365" t="s">
        <v>843</v>
      </c>
      <c r="C84" s="347"/>
      <c r="D84" s="282">
        <v>51</v>
      </c>
      <c r="E84" s="347" t="s">
        <v>107</v>
      </c>
      <c r="F84" s="347"/>
      <c r="G84" s="263"/>
      <c r="H84" s="263"/>
      <c r="I84" s="263">
        <v>20544</v>
      </c>
      <c r="J84" s="398" t="e">
        <f>I84/'통장내역(환율표)'!#REF!</f>
        <v>#REF!</v>
      </c>
      <c r="K84" s="263" t="e">
        <f t="shared" si="5"/>
        <v>#REF!</v>
      </c>
      <c r="L84" s="263" t="e">
        <f t="shared" si="6"/>
        <v>#REF!</v>
      </c>
      <c r="M84" s="347" t="s">
        <v>831</v>
      </c>
      <c r="N84" s="45" t="e">
        <f t="shared" si="9"/>
        <v>#REF!</v>
      </c>
    </row>
    <row r="85" spans="1:14" s="5" customFormat="1" ht="13.5" customHeight="1">
      <c r="A85" s="255">
        <v>45159</v>
      </c>
      <c r="B85" s="313" t="s">
        <v>250</v>
      </c>
      <c r="C85" s="347"/>
      <c r="D85" s="282">
        <v>52</v>
      </c>
      <c r="E85" s="347" t="s">
        <v>107</v>
      </c>
      <c r="F85" s="347"/>
      <c r="G85" s="263"/>
      <c r="H85" s="263"/>
      <c r="I85" s="263">
        <v>7.2</v>
      </c>
      <c r="J85" s="398" t="e">
        <f>I85/'통장내역(환율표)'!#REF!</f>
        <v>#REF!</v>
      </c>
      <c r="K85" s="263" t="e">
        <f t="shared" si="5"/>
        <v>#REF!</v>
      </c>
      <c r="L85" s="263" t="e">
        <f t="shared" si="6"/>
        <v>#REF!</v>
      </c>
      <c r="M85" s="347"/>
      <c r="N85" s="45" t="e">
        <f t="shared" si="9"/>
        <v>#REF!</v>
      </c>
    </row>
    <row r="86" spans="1:14" s="5" customFormat="1" ht="13.5" customHeight="1">
      <c r="A86" s="255">
        <v>45159</v>
      </c>
      <c r="B86" s="365" t="s">
        <v>855</v>
      </c>
      <c r="C86" s="347"/>
      <c r="D86" s="282">
        <v>53</v>
      </c>
      <c r="E86" s="347" t="s">
        <v>116</v>
      </c>
      <c r="F86" s="347" t="s">
        <v>140</v>
      </c>
      <c r="G86" s="263"/>
      <c r="H86" s="263"/>
      <c r="I86" s="263">
        <v>399</v>
      </c>
      <c r="J86" s="398" t="e">
        <f>I86/'통장내역(환율표)'!#REF!</f>
        <v>#REF!</v>
      </c>
      <c r="K86" s="263" t="e">
        <f t="shared" si="5"/>
        <v>#REF!</v>
      </c>
      <c r="L86" s="263" t="e">
        <f t="shared" si="6"/>
        <v>#REF!</v>
      </c>
      <c r="M86" s="347" t="s">
        <v>832</v>
      </c>
      <c r="N86" s="45" t="e">
        <f t="shared" si="9"/>
        <v>#REF!</v>
      </c>
    </row>
    <row r="87" spans="1:14" s="5" customFormat="1" ht="13.5" customHeight="1">
      <c r="A87" s="255">
        <v>45159</v>
      </c>
      <c r="B87" s="365" t="s">
        <v>854</v>
      </c>
      <c r="C87" s="347"/>
      <c r="D87" s="282">
        <v>54</v>
      </c>
      <c r="E87" s="347" t="s">
        <v>296</v>
      </c>
      <c r="F87" s="347" t="s">
        <v>140</v>
      </c>
      <c r="G87" s="263"/>
      <c r="H87" s="263"/>
      <c r="I87" s="263">
        <v>499</v>
      </c>
      <c r="J87" s="398" t="e">
        <f>I87/'통장내역(환율표)'!#REF!</f>
        <v>#REF!</v>
      </c>
      <c r="K87" s="263" t="e">
        <f t="shared" si="5"/>
        <v>#REF!</v>
      </c>
      <c r="L87" s="263" t="e">
        <f t="shared" si="6"/>
        <v>#REF!</v>
      </c>
      <c r="M87" s="347"/>
      <c r="N87" s="45" t="e">
        <f t="shared" si="9"/>
        <v>#REF!</v>
      </c>
    </row>
    <row r="88" spans="1:14" s="5" customFormat="1" ht="13.5" customHeight="1">
      <c r="A88" s="255">
        <v>45159</v>
      </c>
      <c r="B88" s="365" t="s">
        <v>250</v>
      </c>
      <c r="C88" s="347"/>
      <c r="D88" s="282">
        <v>55</v>
      </c>
      <c r="E88" s="347" t="s">
        <v>107</v>
      </c>
      <c r="F88" s="347"/>
      <c r="G88" s="263"/>
      <c r="H88" s="263"/>
      <c r="I88" s="263">
        <v>3.6</v>
      </c>
      <c r="J88" s="398" t="e">
        <f>I88/'통장내역(환율표)'!#REF!</f>
        <v>#REF!</v>
      </c>
      <c r="K88" s="263" t="e">
        <f t="shared" si="5"/>
        <v>#REF!</v>
      </c>
      <c r="L88" s="263" t="e">
        <f t="shared" si="6"/>
        <v>#REF!</v>
      </c>
      <c r="M88" s="347"/>
      <c r="N88" s="45" t="e">
        <f t="shared" si="9"/>
        <v>#REF!</v>
      </c>
    </row>
    <row r="89" spans="1:14" s="5" customFormat="1" ht="13.5" customHeight="1">
      <c r="A89" s="255">
        <v>45159</v>
      </c>
      <c r="B89" s="365" t="s">
        <v>856</v>
      </c>
      <c r="C89" s="347"/>
      <c r="D89" s="282">
        <v>56</v>
      </c>
      <c r="E89" s="347" t="s">
        <v>107</v>
      </c>
      <c r="F89" s="347"/>
      <c r="G89" s="263"/>
      <c r="H89" s="263"/>
      <c r="I89" s="263">
        <v>274.8</v>
      </c>
      <c r="J89" s="398" t="e">
        <f>I89/'통장내역(환율표)'!#REF!</f>
        <v>#REF!</v>
      </c>
      <c r="K89" s="263" t="e">
        <f t="shared" si="5"/>
        <v>#REF!</v>
      </c>
      <c r="L89" s="263" t="e">
        <f t="shared" si="6"/>
        <v>#REF!</v>
      </c>
      <c r="M89" s="347"/>
      <c r="N89" s="45" t="e">
        <f t="shared" si="9"/>
        <v>#REF!</v>
      </c>
    </row>
    <row r="90" spans="1:14" s="5" customFormat="1" ht="13.5" customHeight="1">
      <c r="A90" s="255">
        <v>45159</v>
      </c>
      <c r="B90" s="365" t="s">
        <v>857</v>
      </c>
      <c r="C90" s="347"/>
      <c r="D90" s="282">
        <v>57</v>
      </c>
      <c r="E90" s="347" t="s">
        <v>107</v>
      </c>
      <c r="F90" s="347"/>
      <c r="G90" s="263"/>
      <c r="H90" s="263"/>
      <c r="I90" s="263">
        <v>69</v>
      </c>
      <c r="J90" s="398" t="e">
        <f>I90/'통장내역(환율표)'!#REF!</f>
        <v>#REF!</v>
      </c>
      <c r="K90" s="263" t="e">
        <f t="shared" si="5"/>
        <v>#REF!</v>
      </c>
      <c r="L90" s="263" t="e">
        <f t="shared" si="6"/>
        <v>#REF!</v>
      </c>
      <c r="M90" s="347"/>
      <c r="N90" s="45" t="e">
        <f t="shared" si="9"/>
        <v>#REF!</v>
      </c>
    </row>
    <row r="91" spans="1:14" s="5" customFormat="1" ht="13.5" customHeight="1">
      <c r="A91" s="255">
        <v>45159</v>
      </c>
      <c r="B91" s="365" t="s">
        <v>858</v>
      </c>
      <c r="C91" s="347"/>
      <c r="D91" s="282">
        <v>58</v>
      </c>
      <c r="E91" s="347" t="s">
        <v>107</v>
      </c>
      <c r="F91" s="347"/>
      <c r="G91" s="263"/>
      <c r="H91" s="263"/>
      <c r="I91" s="263">
        <v>300</v>
      </c>
      <c r="J91" s="398" t="e">
        <f>I91/'통장내역(환율표)'!#REF!</f>
        <v>#REF!</v>
      </c>
      <c r="K91" s="263" t="e">
        <f t="shared" si="5"/>
        <v>#REF!</v>
      </c>
      <c r="L91" s="263" t="e">
        <f t="shared" si="6"/>
        <v>#REF!</v>
      </c>
      <c r="M91" s="347"/>
      <c r="N91" s="45" t="e">
        <f t="shared" si="9"/>
        <v>#REF!</v>
      </c>
    </row>
    <row r="92" spans="1:14" s="5" customFormat="1" ht="13.5" customHeight="1">
      <c r="A92" s="255">
        <v>45159</v>
      </c>
      <c r="B92" s="365" t="s">
        <v>250</v>
      </c>
      <c r="C92" s="347"/>
      <c r="D92" s="282">
        <v>59</v>
      </c>
      <c r="E92" s="347" t="s">
        <v>107</v>
      </c>
      <c r="F92" s="347"/>
      <c r="G92" s="263"/>
      <c r="H92" s="263"/>
      <c r="I92" s="263">
        <v>3.6</v>
      </c>
      <c r="J92" s="398" t="e">
        <f>I92/'통장내역(환율표)'!#REF!</f>
        <v>#REF!</v>
      </c>
      <c r="K92" s="263" t="e">
        <f t="shared" si="5"/>
        <v>#REF!</v>
      </c>
      <c r="L92" s="263" t="e">
        <f t="shared" si="6"/>
        <v>#REF!</v>
      </c>
      <c r="M92" s="347"/>
      <c r="N92" s="45" t="e">
        <f t="shared" si="9"/>
        <v>#REF!</v>
      </c>
    </row>
    <row r="93" spans="1:14" s="5" customFormat="1" ht="13.5" customHeight="1">
      <c r="A93" s="255">
        <v>45159</v>
      </c>
      <c r="B93" s="365" t="s">
        <v>844</v>
      </c>
      <c r="C93" s="347"/>
      <c r="D93" s="282">
        <v>60</v>
      </c>
      <c r="E93" s="347" t="s">
        <v>146</v>
      </c>
      <c r="F93" s="347" t="s">
        <v>147</v>
      </c>
      <c r="G93" s="263"/>
      <c r="H93" s="263"/>
      <c r="I93" s="263">
        <v>332.09</v>
      </c>
      <c r="J93" s="398" t="e">
        <f>I93/'통장내역(환율표)'!#REF!</f>
        <v>#REF!</v>
      </c>
      <c r="K93" s="263" t="e">
        <f t="shared" ref="K93:K121" si="10">K92+G93-I93</f>
        <v>#REF!</v>
      </c>
      <c r="L93" s="263" t="e">
        <f t="shared" ref="L93:L121" si="11">L92+H93-J93</f>
        <v>#REF!</v>
      </c>
      <c r="M93" s="347" t="s">
        <v>709</v>
      </c>
      <c r="N93" s="45" t="e">
        <f t="shared" si="9"/>
        <v>#REF!</v>
      </c>
    </row>
    <row r="94" spans="1:14" s="5" customFormat="1" ht="13.5" customHeight="1">
      <c r="A94" s="255">
        <v>45159</v>
      </c>
      <c r="B94" s="365" t="s">
        <v>250</v>
      </c>
      <c r="C94" s="347"/>
      <c r="D94" s="282">
        <v>61</v>
      </c>
      <c r="E94" s="347" t="s">
        <v>107</v>
      </c>
      <c r="F94" s="347"/>
      <c r="G94" s="263"/>
      <c r="H94" s="263"/>
      <c r="I94" s="263">
        <v>3.6</v>
      </c>
      <c r="J94" s="398" t="e">
        <f>I94/'통장내역(환율표)'!#REF!</f>
        <v>#REF!</v>
      </c>
      <c r="K94" s="263" t="e">
        <f t="shared" si="10"/>
        <v>#REF!</v>
      </c>
      <c r="L94" s="263" t="e">
        <f t="shared" si="11"/>
        <v>#REF!</v>
      </c>
      <c r="M94" s="347"/>
      <c r="N94" s="45" t="e">
        <f t="shared" si="9"/>
        <v>#REF!</v>
      </c>
    </row>
    <row r="95" spans="1:14" s="5" customFormat="1" ht="13.5" customHeight="1">
      <c r="A95" s="255">
        <v>45159</v>
      </c>
      <c r="B95" s="365" t="s">
        <v>845</v>
      </c>
      <c r="C95" s="347"/>
      <c r="D95" s="282">
        <v>62</v>
      </c>
      <c r="E95" s="347" t="s">
        <v>125</v>
      </c>
      <c r="F95" s="347" t="s">
        <v>145</v>
      </c>
      <c r="G95" s="263"/>
      <c r="H95" s="263"/>
      <c r="I95" s="263">
        <v>1800</v>
      </c>
      <c r="J95" s="398" t="e">
        <f>I95/'통장내역(환율표)'!#REF!</f>
        <v>#REF!</v>
      </c>
      <c r="K95" s="263" t="e">
        <f t="shared" si="10"/>
        <v>#REF!</v>
      </c>
      <c r="L95" s="263" t="e">
        <f t="shared" si="11"/>
        <v>#REF!</v>
      </c>
      <c r="M95" s="347" t="s">
        <v>708</v>
      </c>
      <c r="N95" s="45" t="e">
        <f t="shared" si="9"/>
        <v>#REF!</v>
      </c>
    </row>
    <row r="96" spans="1:14" s="5" customFormat="1" ht="13.5" customHeight="1">
      <c r="A96" s="255">
        <v>45159</v>
      </c>
      <c r="B96" s="365" t="s">
        <v>250</v>
      </c>
      <c r="C96" s="347"/>
      <c r="D96" s="282">
        <v>63</v>
      </c>
      <c r="E96" s="347" t="s">
        <v>107</v>
      </c>
      <c r="F96" s="347"/>
      <c r="G96" s="263"/>
      <c r="H96" s="263"/>
      <c r="I96" s="263">
        <v>3.6</v>
      </c>
      <c r="J96" s="398" t="e">
        <f>I96/'통장내역(환율표)'!#REF!</f>
        <v>#REF!</v>
      </c>
      <c r="K96" s="263" t="e">
        <f t="shared" si="10"/>
        <v>#REF!</v>
      </c>
      <c r="L96" s="263" t="e">
        <f t="shared" si="11"/>
        <v>#REF!</v>
      </c>
      <c r="M96" s="347"/>
      <c r="N96" s="45" t="e">
        <f t="shared" si="9"/>
        <v>#REF!</v>
      </c>
    </row>
    <row r="97" spans="1:14" s="5" customFormat="1" ht="13.5" customHeight="1">
      <c r="A97" s="255">
        <v>45159</v>
      </c>
      <c r="B97" s="313" t="s">
        <v>131</v>
      </c>
      <c r="C97" s="347"/>
      <c r="D97" s="282">
        <v>63</v>
      </c>
      <c r="E97" s="347" t="s">
        <v>107</v>
      </c>
      <c r="F97" s="347"/>
      <c r="G97" s="263"/>
      <c r="H97" s="263"/>
      <c r="I97" s="263">
        <v>8453.39</v>
      </c>
      <c r="J97" s="398" t="e">
        <f>I97/'통장내역(환율표)'!#REF!</f>
        <v>#REF!</v>
      </c>
      <c r="K97" s="263" t="e">
        <f t="shared" si="10"/>
        <v>#REF!</v>
      </c>
      <c r="L97" s="263" t="e">
        <f t="shared" si="11"/>
        <v>#REF!</v>
      </c>
      <c r="M97" s="347" t="s">
        <v>247</v>
      </c>
      <c r="N97" s="45" t="e">
        <f t="shared" si="9"/>
        <v>#REF!</v>
      </c>
    </row>
    <row r="98" spans="1:14" s="5" customFormat="1" ht="13.5" customHeight="1">
      <c r="A98" s="255">
        <v>45159</v>
      </c>
      <c r="B98" s="313" t="s">
        <v>133</v>
      </c>
      <c r="C98" s="347"/>
      <c r="D98" s="282">
        <v>63</v>
      </c>
      <c r="E98" s="347" t="s">
        <v>107</v>
      </c>
      <c r="F98" s="347"/>
      <c r="G98" s="263"/>
      <c r="H98" s="263"/>
      <c r="I98" s="263">
        <v>5738.5799999999981</v>
      </c>
      <c r="J98" s="398" t="e">
        <f>I98/'통장내역(환율표)'!#REF!</f>
        <v>#REF!</v>
      </c>
      <c r="K98" s="263" t="e">
        <f t="shared" si="10"/>
        <v>#REF!</v>
      </c>
      <c r="L98" s="263" t="e">
        <f t="shared" si="11"/>
        <v>#REF!</v>
      </c>
      <c r="M98" s="347" t="s">
        <v>247</v>
      </c>
      <c r="N98" s="45" t="e">
        <f t="shared" si="9"/>
        <v>#REF!</v>
      </c>
    </row>
    <row r="99" spans="1:14" s="5" customFormat="1" ht="13.5" customHeight="1">
      <c r="A99" s="255">
        <v>45159</v>
      </c>
      <c r="B99" s="313" t="s">
        <v>456</v>
      </c>
      <c r="C99" s="347"/>
      <c r="D99" s="282">
        <v>63</v>
      </c>
      <c r="E99" s="347" t="s">
        <v>107</v>
      </c>
      <c r="F99" s="347"/>
      <c r="G99" s="263"/>
      <c r="H99" s="263"/>
      <c r="I99" s="267">
        <v>15000</v>
      </c>
      <c r="J99" s="398" t="e">
        <f>I99/'통장내역(환율표)'!#REF!</f>
        <v>#REF!</v>
      </c>
      <c r="K99" s="263" t="e">
        <f t="shared" si="10"/>
        <v>#REF!</v>
      </c>
      <c r="L99" s="263" t="e">
        <f t="shared" si="11"/>
        <v>#REF!</v>
      </c>
      <c r="M99" s="347" t="s">
        <v>247</v>
      </c>
      <c r="N99" s="45" t="e">
        <f t="shared" si="9"/>
        <v>#REF!</v>
      </c>
    </row>
    <row r="100" spans="1:14" s="5" customFormat="1" ht="13.5" customHeight="1">
      <c r="A100" s="255">
        <v>45159</v>
      </c>
      <c r="B100" s="313" t="s">
        <v>457</v>
      </c>
      <c r="C100" s="347"/>
      <c r="D100" s="282">
        <v>63</v>
      </c>
      <c r="E100" s="347" t="s">
        <v>107</v>
      </c>
      <c r="F100" s="347"/>
      <c r="G100" s="263"/>
      <c r="H100" s="263"/>
      <c r="I100" s="267">
        <v>22000</v>
      </c>
      <c r="J100" s="398" t="e">
        <f>I100/'통장내역(환율표)'!#REF!</f>
        <v>#REF!</v>
      </c>
      <c r="K100" s="263" t="e">
        <f t="shared" si="10"/>
        <v>#REF!</v>
      </c>
      <c r="L100" s="263" t="e">
        <f t="shared" si="11"/>
        <v>#REF!</v>
      </c>
      <c r="M100" s="347" t="s">
        <v>247</v>
      </c>
      <c r="N100" s="45" t="e">
        <f t="shared" si="9"/>
        <v>#REF!</v>
      </c>
    </row>
    <row r="101" spans="1:14" s="5" customFormat="1" ht="13.5" customHeight="1">
      <c r="A101" s="255">
        <v>45159</v>
      </c>
      <c r="B101" s="313" t="s">
        <v>130</v>
      </c>
      <c r="C101" s="347"/>
      <c r="D101" s="282">
        <v>63</v>
      </c>
      <c r="E101" s="347" t="s">
        <v>107</v>
      </c>
      <c r="F101" s="347"/>
      <c r="G101" s="263"/>
      <c r="H101" s="263"/>
      <c r="I101" s="263">
        <v>300</v>
      </c>
      <c r="J101" s="398" t="e">
        <f>I101/'통장내역(환율표)'!#REF!</f>
        <v>#REF!</v>
      </c>
      <c r="K101" s="263" t="e">
        <f t="shared" si="10"/>
        <v>#REF!</v>
      </c>
      <c r="L101" s="263" t="e">
        <f t="shared" si="11"/>
        <v>#REF!</v>
      </c>
      <c r="M101" s="347" t="s">
        <v>247</v>
      </c>
      <c r="N101" s="45" t="e">
        <f t="shared" si="9"/>
        <v>#REF!</v>
      </c>
    </row>
    <row r="102" spans="1:14" s="5" customFormat="1" ht="13.5" customHeight="1">
      <c r="A102" s="255">
        <v>45159</v>
      </c>
      <c r="B102" s="313" t="s">
        <v>131</v>
      </c>
      <c r="C102" s="347"/>
      <c r="D102" s="282">
        <v>63</v>
      </c>
      <c r="E102" s="347" t="s">
        <v>107</v>
      </c>
      <c r="F102" s="347"/>
      <c r="G102" s="263"/>
      <c r="H102" s="263"/>
      <c r="I102" s="263">
        <v>4703.3899999999994</v>
      </c>
      <c r="J102" s="398" t="e">
        <f>I102/'통장내역(환율표)'!#REF!</f>
        <v>#REF!</v>
      </c>
      <c r="K102" s="263" t="e">
        <f t="shared" si="10"/>
        <v>#REF!</v>
      </c>
      <c r="L102" s="263" t="e">
        <f t="shared" si="11"/>
        <v>#REF!</v>
      </c>
      <c r="M102" s="347" t="s">
        <v>211</v>
      </c>
      <c r="N102" s="45" t="e">
        <f t="shared" si="9"/>
        <v>#REF!</v>
      </c>
    </row>
    <row r="103" spans="1:14" s="5" customFormat="1" ht="13.5" customHeight="1">
      <c r="A103" s="255">
        <v>45159</v>
      </c>
      <c r="B103" s="313" t="s">
        <v>133</v>
      </c>
      <c r="C103" s="347"/>
      <c r="D103" s="282">
        <v>63</v>
      </c>
      <c r="E103" s="347" t="s">
        <v>107</v>
      </c>
      <c r="F103" s="347"/>
      <c r="G103" s="263"/>
      <c r="H103" s="263"/>
      <c r="I103" s="263">
        <v>6098.5799999999981</v>
      </c>
      <c r="J103" s="398" t="e">
        <f>I103/'통장내역(환율표)'!#REF!</f>
        <v>#REF!</v>
      </c>
      <c r="K103" s="263" t="e">
        <f t="shared" si="10"/>
        <v>#REF!</v>
      </c>
      <c r="L103" s="263" t="e">
        <f t="shared" si="11"/>
        <v>#REF!</v>
      </c>
      <c r="M103" s="347" t="s">
        <v>211</v>
      </c>
      <c r="N103" s="45" t="e">
        <f t="shared" si="9"/>
        <v>#REF!</v>
      </c>
    </row>
    <row r="104" spans="1:14" s="5" customFormat="1" ht="13.5" customHeight="1">
      <c r="A104" s="255">
        <v>45159</v>
      </c>
      <c r="B104" s="313" t="s">
        <v>456</v>
      </c>
      <c r="C104" s="347"/>
      <c r="D104" s="282">
        <v>63</v>
      </c>
      <c r="E104" s="347" t="s">
        <v>107</v>
      </c>
      <c r="F104" s="347"/>
      <c r="G104" s="263"/>
      <c r="H104" s="263"/>
      <c r="I104" s="267">
        <v>15000</v>
      </c>
      <c r="J104" s="398" t="e">
        <f>I104/'통장내역(환율표)'!#REF!</f>
        <v>#REF!</v>
      </c>
      <c r="K104" s="263" t="e">
        <f t="shared" si="10"/>
        <v>#REF!</v>
      </c>
      <c r="L104" s="263" t="e">
        <f t="shared" si="11"/>
        <v>#REF!</v>
      </c>
      <c r="M104" s="347" t="s">
        <v>211</v>
      </c>
      <c r="N104" s="45" t="e">
        <f t="shared" si="9"/>
        <v>#REF!</v>
      </c>
    </row>
    <row r="105" spans="1:14" s="5" customFormat="1" ht="13.5" customHeight="1">
      <c r="A105" s="255">
        <v>45159</v>
      </c>
      <c r="B105" s="313" t="s">
        <v>457</v>
      </c>
      <c r="C105" s="347"/>
      <c r="D105" s="282">
        <v>63</v>
      </c>
      <c r="E105" s="347" t="s">
        <v>107</v>
      </c>
      <c r="F105" s="347"/>
      <c r="G105" s="263"/>
      <c r="H105" s="263"/>
      <c r="I105" s="267">
        <v>22000</v>
      </c>
      <c r="J105" s="398" t="e">
        <f>I105/'통장내역(환율표)'!#REF!</f>
        <v>#REF!</v>
      </c>
      <c r="K105" s="263" t="e">
        <f t="shared" si="10"/>
        <v>#REF!</v>
      </c>
      <c r="L105" s="263" t="e">
        <f t="shared" si="11"/>
        <v>#REF!</v>
      </c>
      <c r="M105" s="347" t="s">
        <v>211</v>
      </c>
      <c r="N105" s="45" t="e">
        <f t="shared" si="9"/>
        <v>#REF!</v>
      </c>
    </row>
    <row r="106" spans="1:14" s="5" customFormat="1" ht="13.5" customHeight="1">
      <c r="A106" s="255">
        <v>45159</v>
      </c>
      <c r="B106" s="313" t="s">
        <v>130</v>
      </c>
      <c r="C106" s="347"/>
      <c r="D106" s="282">
        <v>63</v>
      </c>
      <c r="E106" s="347" t="s">
        <v>107</v>
      </c>
      <c r="F106" s="347"/>
      <c r="G106" s="263"/>
      <c r="H106" s="263"/>
      <c r="I106" s="263">
        <v>300</v>
      </c>
      <c r="J106" s="398" t="e">
        <f>I106/'통장내역(환율표)'!#REF!</f>
        <v>#REF!</v>
      </c>
      <c r="K106" s="263" t="e">
        <f t="shared" si="10"/>
        <v>#REF!</v>
      </c>
      <c r="L106" s="263" t="e">
        <f t="shared" si="11"/>
        <v>#REF!</v>
      </c>
      <c r="M106" s="347" t="s">
        <v>211</v>
      </c>
      <c r="N106" s="45" t="e">
        <f t="shared" si="9"/>
        <v>#REF!</v>
      </c>
    </row>
    <row r="107" spans="1:14" s="5" customFormat="1" ht="13.5" customHeight="1">
      <c r="A107" s="255">
        <v>45159</v>
      </c>
      <c r="B107" s="313" t="s">
        <v>866</v>
      </c>
      <c r="C107" s="347"/>
      <c r="D107" s="282">
        <v>63</v>
      </c>
      <c r="E107" s="347" t="s">
        <v>107</v>
      </c>
      <c r="F107" s="347"/>
      <c r="G107" s="263"/>
      <c r="H107" s="263"/>
      <c r="I107" s="263">
        <v>5066.49</v>
      </c>
      <c r="J107" s="398" t="e">
        <f>I107/'통장내역(환율표)'!#REF!</f>
        <v>#REF!</v>
      </c>
      <c r="K107" s="263" t="e">
        <f t="shared" si="10"/>
        <v>#REF!</v>
      </c>
      <c r="L107" s="263" t="e">
        <f t="shared" si="11"/>
        <v>#REF!</v>
      </c>
      <c r="M107" s="347" t="s">
        <v>453</v>
      </c>
      <c r="N107" s="45" t="e">
        <f t="shared" si="9"/>
        <v>#REF!</v>
      </c>
    </row>
    <row r="108" spans="1:14" s="5" customFormat="1" ht="13.5" customHeight="1">
      <c r="A108" s="255">
        <v>45159</v>
      </c>
      <c r="B108" s="313" t="s">
        <v>867</v>
      </c>
      <c r="C108" s="347"/>
      <c r="D108" s="282">
        <v>63</v>
      </c>
      <c r="E108" s="347" t="s">
        <v>107</v>
      </c>
      <c r="F108" s="347"/>
      <c r="G108" s="263"/>
      <c r="H108" s="263"/>
      <c r="I108" s="263">
        <v>25000</v>
      </c>
      <c r="J108" s="398" t="e">
        <f>I108/'통장내역(환율표)'!#REF!</f>
        <v>#REF!</v>
      </c>
      <c r="K108" s="263" t="e">
        <f t="shared" si="10"/>
        <v>#REF!</v>
      </c>
      <c r="L108" s="263" t="e">
        <f t="shared" si="11"/>
        <v>#REF!</v>
      </c>
      <c r="M108" s="347" t="s">
        <v>453</v>
      </c>
      <c r="N108" s="45" t="e">
        <f t="shared" si="9"/>
        <v>#REF!</v>
      </c>
    </row>
    <row r="109" spans="1:14" s="5" customFormat="1" ht="13.5" customHeight="1">
      <c r="A109" s="255">
        <v>45159</v>
      </c>
      <c r="B109" s="313" t="s">
        <v>861</v>
      </c>
      <c r="C109" s="347"/>
      <c r="D109" s="282">
        <v>63</v>
      </c>
      <c r="E109" s="347" t="s">
        <v>107</v>
      </c>
      <c r="F109" s="347"/>
      <c r="G109" s="263"/>
      <c r="H109" s="263"/>
      <c r="I109" s="263">
        <v>300</v>
      </c>
      <c r="J109" s="398" t="e">
        <f>I109/'통장내역(환율표)'!#REF!</f>
        <v>#REF!</v>
      </c>
      <c r="K109" s="263" t="e">
        <f t="shared" si="10"/>
        <v>#REF!</v>
      </c>
      <c r="L109" s="263" t="e">
        <f t="shared" si="11"/>
        <v>#REF!</v>
      </c>
      <c r="M109" s="347" t="s">
        <v>453</v>
      </c>
      <c r="N109" s="45" t="e">
        <f t="shared" si="9"/>
        <v>#REF!</v>
      </c>
    </row>
    <row r="110" spans="1:14" s="5" customFormat="1" ht="13.5" customHeight="1">
      <c r="A110" s="255">
        <v>45159</v>
      </c>
      <c r="B110" s="313" t="s">
        <v>849</v>
      </c>
      <c r="C110" s="347"/>
      <c r="D110" s="282">
        <v>63</v>
      </c>
      <c r="E110" s="347" t="s">
        <v>107</v>
      </c>
      <c r="F110" s="347"/>
      <c r="G110" s="263"/>
      <c r="H110" s="263"/>
      <c r="I110" s="263">
        <v>300</v>
      </c>
      <c r="J110" s="398" t="e">
        <f>I110/'통장내역(환율표)'!#REF!</f>
        <v>#REF!</v>
      </c>
      <c r="K110" s="263" t="e">
        <f t="shared" si="10"/>
        <v>#REF!</v>
      </c>
      <c r="L110" s="263" t="e">
        <f t="shared" si="11"/>
        <v>#REF!</v>
      </c>
      <c r="M110" s="347" t="s">
        <v>453</v>
      </c>
      <c r="N110" s="45" t="e">
        <f t="shared" si="9"/>
        <v>#REF!</v>
      </c>
    </row>
    <row r="111" spans="1:14" s="5" customFormat="1" ht="13.5" customHeight="1">
      <c r="A111" s="255">
        <v>45159</v>
      </c>
      <c r="B111" s="313" t="s">
        <v>866</v>
      </c>
      <c r="C111" s="347"/>
      <c r="D111" s="282">
        <v>63</v>
      </c>
      <c r="E111" s="347" t="s">
        <v>107</v>
      </c>
      <c r="F111" s="347"/>
      <c r="G111" s="263"/>
      <c r="H111" s="263"/>
      <c r="I111" s="263">
        <v>2699.61</v>
      </c>
      <c r="J111" s="398" t="e">
        <f>I111/'통장내역(환율표)'!#REF!</f>
        <v>#REF!</v>
      </c>
      <c r="K111" s="263" t="e">
        <f t="shared" si="10"/>
        <v>#REF!</v>
      </c>
      <c r="L111" s="263" t="e">
        <f t="shared" si="11"/>
        <v>#REF!</v>
      </c>
      <c r="M111" s="399" t="s">
        <v>869</v>
      </c>
      <c r="N111" s="45" t="e">
        <f t="shared" si="9"/>
        <v>#REF!</v>
      </c>
    </row>
    <row r="112" spans="1:14" s="5" customFormat="1" ht="13.5" customHeight="1">
      <c r="A112" s="255">
        <v>45159</v>
      </c>
      <c r="B112" s="313" t="s">
        <v>867</v>
      </c>
      <c r="C112" s="347"/>
      <c r="D112" s="282">
        <v>63</v>
      </c>
      <c r="E112" s="347" t="s">
        <v>107</v>
      </c>
      <c r="F112" s="347"/>
      <c r="G112" s="263"/>
      <c r="H112" s="263"/>
      <c r="I112" s="263">
        <v>11700</v>
      </c>
      <c r="J112" s="398" t="e">
        <f>I112/'통장내역(환율표)'!#REF!</f>
        <v>#REF!</v>
      </c>
      <c r="K112" s="263" t="e">
        <f t="shared" si="10"/>
        <v>#REF!</v>
      </c>
      <c r="L112" s="263" t="e">
        <f t="shared" si="11"/>
        <v>#REF!</v>
      </c>
      <c r="M112" s="399" t="s">
        <v>869</v>
      </c>
      <c r="N112" s="45" t="e">
        <f t="shared" si="9"/>
        <v>#REF!</v>
      </c>
    </row>
    <row r="113" spans="1:15" s="5" customFormat="1" ht="13.5" customHeight="1">
      <c r="A113" s="255">
        <v>45159</v>
      </c>
      <c r="B113" s="313" t="s">
        <v>861</v>
      </c>
      <c r="C113" s="347"/>
      <c r="D113" s="282">
        <v>63</v>
      </c>
      <c r="E113" s="347" t="s">
        <v>107</v>
      </c>
      <c r="F113" s="347"/>
      <c r="G113" s="263"/>
      <c r="H113" s="263"/>
      <c r="I113" s="263">
        <v>1000</v>
      </c>
      <c r="J113" s="398" t="e">
        <f>I113/'통장내역(환율표)'!#REF!</f>
        <v>#REF!</v>
      </c>
      <c r="K113" s="263" t="e">
        <f t="shared" si="10"/>
        <v>#REF!</v>
      </c>
      <c r="L113" s="263" t="e">
        <f t="shared" si="11"/>
        <v>#REF!</v>
      </c>
      <c r="M113" s="399" t="s">
        <v>869</v>
      </c>
      <c r="N113" s="45" t="e">
        <f t="shared" si="9"/>
        <v>#REF!</v>
      </c>
    </row>
    <row r="114" spans="1:15" s="5" customFormat="1" ht="13.5" customHeight="1">
      <c r="A114" s="255">
        <v>45159</v>
      </c>
      <c r="B114" s="313" t="s">
        <v>849</v>
      </c>
      <c r="C114" s="347"/>
      <c r="D114" s="282">
        <v>63</v>
      </c>
      <c r="E114" s="347" t="s">
        <v>107</v>
      </c>
      <c r="F114" s="347"/>
      <c r="G114" s="263"/>
      <c r="H114" s="263"/>
      <c r="I114" s="263">
        <v>300</v>
      </c>
      <c r="J114" s="398" t="e">
        <f>I114/'통장내역(환율표)'!#REF!</f>
        <v>#REF!</v>
      </c>
      <c r="K114" s="263" t="e">
        <f t="shared" si="10"/>
        <v>#REF!</v>
      </c>
      <c r="L114" s="263" t="e">
        <f t="shared" si="11"/>
        <v>#REF!</v>
      </c>
      <c r="M114" s="399" t="s">
        <v>869</v>
      </c>
      <c r="N114" s="45" t="e">
        <f t="shared" si="9"/>
        <v>#REF!</v>
      </c>
    </row>
    <row r="115" spans="1:15" s="5" customFormat="1" ht="13.5" customHeight="1">
      <c r="A115" s="255">
        <v>45159</v>
      </c>
      <c r="B115" s="313" t="s">
        <v>866</v>
      </c>
      <c r="C115" s="347"/>
      <c r="D115" s="282">
        <v>63</v>
      </c>
      <c r="E115" s="347" t="s">
        <v>107</v>
      </c>
      <c r="F115" s="347"/>
      <c r="G115" s="263"/>
      <c r="H115" s="263"/>
      <c r="I115" s="263">
        <v>2699.61</v>
      </c>
      <c r="J115" s="398" t="e">
        <f>I115/'통장내역(환율표)'!#REF!</f>
        <v>#REF!</v>
      </c>
      <c r="K115" s="263" t="e">
        <f t="shared" si="10"/>
        <v>#REF!</v>
      </c>
      <c r="L115" s="263" t="e">
        <f t="shared" si="11"/>
        <v>#REF!</v>
      </c>
      <c r="M115" s="347" t="s">
        <v>870</v>
      </c>
      <c r="N115" s="45" t="e">
        <f t="shared" si="9"/>
        <v>#REF!</v>
      </c>
    </row>
    <row r="116" spans="1:15" s="5" customFormat="1" ht="13.5" customHeight="1">
      <c r="A116" s="255">
        <v>45159</v>
      </c>
      <c r="B116" s="313" t="s">
        <v>867</v>
      </c>
      <c r="C116" s="347"/>
      <c r="D116" s="282">
        <v>63</v>
      </c>
      <c r="E116" s="347" t="s">
        <v>107</v>
      </c>
      <c r="F116" s="347"/>
      <c r="G116" s="263"/>
      <c r="H116" s="263"/>
      <c r="I116" s="263">
        <v>11700</v>
      </c>
      <c r="J116" s="398" t="e">
        <f>I116/'통장내역(환율표)'!#REF!</f>
        <v>#REF!</v>
      </c>
      <c r="K116" s="263" t="e">
        <f t="shared" si="10"/>
        <v>#REF!</v>
      </c>
      <c r="L116" s="263" t="e">
        <f t="shared" si="11"/>
        <v>#REF!</v>
      </c>
      <c r="M116" s="347" t="s">
        <v>870</v>
      </c>
      <c r="N116" s="45" t="e">
        <f t="shared" si="9"/>
        <v>#REF!</v>
      </c>
    </row>
    <row r="117" spans="1:15" s="5" customFormat="1" ht="13.5" customHeight="1">
      <c r="A117" s="255">
        <v>45159</v>
      </c>
      <c r="B117" s="313" t="s">
        <v>861</v>
      </c>
      <c r="C117" s="347"/>
      <c r="D117" s="282">
        <v>63</v>
      </c>
      <c r="E117" s="347" t="s">
        <v>107</v>
      </c>
      <c r="F117" s="347"/>
      <c r="G117" s="263"/>
      <c r="H117" s="263"/>
      <c r="I117" s="263">
        <v>1000</v>
      </c>
      <c r="J117" s="398" t="e">
        <f>I117/'통장내역(환율표)'!#REF!</f>
        <v>#REF!</v>
      </c>
      <c r="K117" s="263" t="e">
        <f t="shared" si="10"/>
        <v>#REF!</v>
      </c>
      <c r="L117" s="263" t="e">
        <f t="shared" si="11"/>
        <v>#REF!</v>
      </c>
      <c r="M117" s="347" t="s">
        <v>870</v>
      </c>
      <c r="N117" s="45" t="e">
        <f t="shared" si="9"/>
        <v>#REF!</v>
      </c>
    </row>
    <row r="118" spans="1:15" s="5" customFormat="1" ht="13.5" customHeight="1">
      <c r="A118" s="255">
        <v>45159</v>
      </c>
      <c r="B118" s="313" t="s">
        <v>849</v>
      </c>
      <c r="C118" s="347"/>
      <c r="D118" s="282">
        <v>63</v>
      </c>
      <c r="E118" s="347" t="s">
        <v>107</v>
      </c>
      <c r="F118" s="347"/>
      <c r="G118" s="263"/>
      <c r="H118" s="263"/>
      <c r="I118" s="263">
        <v>300</v>
      </c>
      <c r="J118" s="398" t="e">
        <f>I118/'통장내역(환율표)'!#REF!</f>
        <v>#REF!</v>
      </c>
      <c r="K118" s="263" t="e">
        <f t="shared" si="10"/>
        <v>#REF!</v>
      </c>
      <c r="L118" s="263" t="e">
        <f t="shared" si="11"/>
        <v>#REF!</v>
      </c>
      <c r="M118" s="347" t="s">
        <v>870</v>
      </c>
      <c r="N118" s="45" t="e">
        <f t="shared" si="9"/>
        <v>#REF!</v>
      </c>
    </row>
    <row r="119" spans="1:15" s="5" customFormat="1" ht="13.5" customHeight="1">
      <c r="A119" s="255">
        <v>45159</v>
      </c>
      <c r="B119" s="365" t="s">
        <v>250</v>
      </c>
      <c r="C119" s="347"/>
      <c r="D119" s="282">
        <v>64</v>
      </c>
      <c r="E119" s="347" t="s">
        <v>107</v>
      </c>
      <c r="F119" s="347"/>
      <c r="G119" s="263"/>
      <c r="H119" s="263"/>
      <c r="I119" s="263">
        <v>12</v>
      </c>
      <c r="J119" s="398" t="e">
        <f>I119/'통장내역(환율표)'!#REF!</f>
        <v>#REF!</v>
      </c>
      <c r="K119" s="263" t="e">
        <f t="shared" si="10"/>
        <v>#REF!</v>
      </c>
      <c r="L119" s="263" t="e">
        <f t="shared" si="11"/>
        <v>#REF!</v>
      </c>
      <c r="M119" s="347"/>
      <c r="N119" s="45" t="e">
        <f t="shared" si="9"/>
        <v>#REF!</v>
      </c>
    </row>
    <row r="120" spans="1:15" s="5" customFormat="1" ht="13.5" customHeight="1">
      <c r="A120" s="255">
        <v>45163</v>
      </c>
      <c r="B120" s="365" t="s">
        <v>844</v>
      </c>
      <c r="C120" s="347"/>
      <c r="D120" s="282">
        <v>65</v>
      </c>
      <c r="E120" s="347" t="s">
        <v>294</v>
      </c>
      <c r="F120" s="347" t="s">
        <v>322</v>
      </c>
      <c r="G120" s="263"/>
      <c r="H120" s="263"/>
      <c r="I120" s="263">
        <v>9</v>
      </c>
      <c r="J120" s="398" t="e">
        <f>I120/'통장내역(환율표)'!#REF!</f>
        <v>#REF!</v>
      </c>
      <c r="K120" s="263" t="e">
        <f t="shared" si="10"/>
        <v>#REF!</v>
      </c>
      <c r="L120" s="263" t="e">
        <f t="shared" si="11"/>
        <v>#REF!</v>
      </c>
      <c r="M120" s="347" t="s">
        <v>860</v>
      </c>
      <c r="N120" s="45" t="e">
        <f t="shared" si="9"/>
        <v>#REF!</v>
      </c>
    </row>
    <row r="121" spans="1:15" s="5" customFormat="1" ht="13.5" customHeight="1">
      <c r="A121" s="255">
        <v>45163</v>
      </c>
      <c r="B121" s="365" t="s">
        <v>250</v>
      </c>
      <c r="C121" s="347"/>
      <c r="D121" s="282">
        <v>66</v>
      </c>
      <c r="E121" s="347" t="s">
        <v>107</v>
      </c>
      <c r="F121" s="347"/>
      <c r="G121" s="263"/>
      <c r="H121" s="263"/>
      <c r="I121" s="263">
        <v>3.6</v>
      </c>
      <c r="J121" s="398" t="e">
        <f>I121/'통장내역(환율표)'!#REF!</f>
        <v>#REF!</v>
      </c>
      <c r="K121" s="263" t="e">
        <f t="shared" si="10"/>
        <v>#REF!</v>
      </c>
      <c r="L121" s="263" t="e">
        <f t="shared" si="11"/>
        <v>#REF!</v>
      </c>
      <c r="M121" s="347"/>
      <c r="N121" s="45" t="e">
        <f t="shared" si="9"/>
        <v>#REF!</v>
      </c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3.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2.7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2.7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2.7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2.7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s="5" customFormat="1" ht="13.5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s="5" customFormat="1" ht="13.5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s="5" customFormat="1" ht="13.5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s="5" customFormat="1" ht="13.5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s="5" customFormat="1" ht="13.5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4" spans="2:5">
      <c r="B164" s="314"/>
      <c r="C164" s="314"/>
      <c r="D164" s="314"/>
      <c r="E164" s="314"/>
    </row>
    <row r="165" spans="2:5">
      <c r="B165" s="314"/>
    </row>
  </sheetData>
  <autoFilter ref="A18:N163" xr:uid="{00000000-0009-0000-0000-000011000000}">
    <filterColumn colId="1" showButton="0"/>
  </autoFilter>
  <mergeCells count="12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M12:N12"/>
  </mergeCells>
  <phoneticPr fontId="3" type="noConversion"/>
  <pageMargins left="0.25" right="0.25" top="0.75" bottom="0.75" header="0.3" footer="0.3"/>
  <pageSetup paperSize="9" scale="39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30A9-503A-4AD3-9102-6F9C5512D783}">
  <dimension ref="A1:F15"/>
  <sheetViews>
    <sheetView workbookViewId="0">
      <selection activeCell="G30" sqref="G30"/>
    </sheetView>
  </sheetViews>
  <sheetFormatPr defaultRowHeight="17.399999999999999"/>
  <sheetData>
    <row r="1" spans="1:6">
      <c r="A1" s="386" t="s">
        <v>723</v>
      </c>
      <c r="B1" s="386" t="s">
        <v>724</v>
      </c>
      <c r="C1" s="386" t="s">
        <v>725</v>
      </c>
      <c r="D1" s="386" t="s">
        <v>726</v>
      </c>
      <c r="E1" s="386" t="s">
        <v>727</v>
      </c>
      <c r="F1" s="386" t="s">
        <v>728</v>
      </c>
    </row>
    <row r="2" spans="1:6">
      <c r="A2" s="389">
        <v>45129</v>
      </c>
      <c r="B2" s="386"/>
      <c r="C2" s="386" t="s">
        <v>729</v>
      </c>
      <c r="D2" s="386">
        <v>1.5</v>
      </c>
      <c r="E2" s="386">
        <f>D2*20</f>
        <v>30</v>
      </c>
      <c r="F2" s="386"/>
    </row>
    <row r="3" spans="1:6">
      <c r="A3" s="389">
        <v>45131</v>
      </c>
      <c r="B3" s="386"/>
      <c r="C3" s="386" t="s">
        <v>729</v>
      </c>
      <c r="D3" s="386">
        <v>3</v>
      </c>
      <c r="E3" s="386">
        <f t="shared" ref="E3:E14" si="0">D3*20</f>
        <v>60</v>
      </c>
      <c r="F3" s="386"/>
    </row>
    <row r="4" spans="1:6">
      <c r="A4" s="389">
        <v>45132</v>
      </c>
      <c r="B4" s="386"/>
      <c r="C4" s="386" t="s">
        <v>729</v>
      </c>
      <c r="D4" s="386">
        <v>6.5</v>
      </c>
      <c r="E4" s="386">
        <f t="shared" si="0"/>
        <v>130</v>
      </c>
      <c r="F4" s="386"/>
    </row>
    <row r="5" spans="1:6">
      <c r="A5" s="389">
        <v>45133</v>
      </c>
      <c r="B5" s="386"/>
      <c r="C5" s="386" t="s">
        <v>729</v>
      </c>
      <c r="D5" s="386">
        <v>3.5</v>
      </c>
      <c r="E5" s="386">
        <f t="shared" si="0"/>
        <v>70</v>
      </c>
      <c r="F5" s="390"/>
    </row>
    <row r="6" spans="1:6">
      <c r="A6" s="389">
        <v>45135</v>
      </c>
      <c r="B6" s="386"/>
      <c r="C6" s="386" t="s">
        <v>729</v>
      </c>
      <c r="D6" s="386">
        <v>3.5</v>
      </c>
      <c r="E6" s="386">
        <f t="shared" si="0"/>
        <v>70</v>
      </c>
      <c r="F6" s="386"/>
    </row>
    <row r="7" spans="1:6">
      <c r="A7" s="389">
        <v>45139</v>
      </c>
      <c r="B7" s="386"/>
      <c r="C7" s="386" t="s">
        <v>729</v>
      </c>
      <c r="D7" s="386">
        <v>1.5</v>
      </c>
      <c r="E7" s="386">
        <f t="shared" si="0"/>
        <v>30</v>
      </c>
      <c r="F7" s="386"/>
    </row>
    <row r="8" spans="1:6">
      <c r="A8" s="389">
        <v>45140</v>
      </c>
      <c r="B8" s="386"/>
      <c r="C8" s="386" t="s">
        <v>729</v>
      </c>
      <c r="D8" s="386">
        <v>3.5</v>
      </c>
      <c r="E8" s="386">
        <f t="shared" si="0"/>
        <v>70</v>
      </c>
      <c r="F8" s="386"/>
    </row>
    <row r="9" spans="1:6">
      <c r="A9" s="389">
        <v>45141</v>
      </c>
      <c r="B9" s="386"/>
      <c r="C9" s="386" t="s">
        <v>729</v>
      </c>
      <c r="D9" s="386">
        <v>4</v>
      </c>
      <c r="E9" s="386">
        <f t="shared" si="0"/>
        <v>80</v>
      </c>
      <c r="F9" s="390"/>
    </row>
    <row r="10" spans="1:6">
      <c r="A10" s="389">
        <v>45142</v>
      </c>
      <c r="B10" s="386"/>
      <c r="C10" s="386" t="s">
        <v>729</v>
      </c>
      <c r="D10" s="386">
        <v>1.5</v>
      </c>
      <c r="E10" s="386">
        <f t="shared" si="0"/>
        <v>30</v>
      </c>
      <c r="F10" s="390"/>
    </row>
    <row r="11" spans="1:6">
      <c r="A11" s="389">
        <v>45144</v>
      </c>
      <c r="B11" s="386"/>
      <c r="C11" s="386" t="s">
        <v>729</v>
      </c>
      <c r="D11" s="386">
        <v>3.5</v>
      </c>
      <c r="E11" s="386">
        <f t="shared" si="0"/>
        <v>70</v>
      </c>
      <c r="F11" s="390"/>
    </row>
    <row r="12" spans="1:6">
      <c r="A12" s="389">
        <v>45147</v>
      </c>
      <c r="B12" s="386"/>
      <c r="C12" s="386" t="s">
        <v>729</v>
      </c>
      <c r="D12" s="386">
        <v>1</v>
      </c>
      <c r="E12" s="386">
        <f t="shared" si="0"/>
        <v>20</v>
      </c>
      <c r="F12" s="390"/>
    </row>
    <row r="13" spans="1:6">
      <c r="A13" s="389">
        <v>45148</v>
      </c>
      <c r="B13" s="386"/>
      <c r="C13" s="386" t="s">
        <v>729</v>
      </c>
      <c r="D13" s="386">
        <v>4</v>
      </c>
      <c r="E13" s="386">
        <f t="shared" si="0"/>
        <v>80</v>
      </c>
      <c r="F13" s="386"/>
    </row>
    <row r="14" spans="1:6">
      <c r="A14" s="389">
        <v>45155</v>
      </c>
      <c r="B14" s="386"/>
      <c r="C14" s="386" t="s">
        <v>729</v>
      </c>
      <c r="D14" s="386">
        <v>1.5</v>
      </c>
      <c r="E14" s="386">
        <f t="shared" si="0"/>
        <v>30</v>
      </c>
      <c r="F14" s="386"/>
    </row>
    <row r="15" spans="1:6">
      <c r="E15">
        <f>SUM(E2:E14)</f>
        <v>770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0C9D-0EE3-4CE0-9F46-0CDA851DA676}">
  <sheetPr>
    <tabColor rgb="FFF8DA90"/>
    <pageSetUpPr fitToPage="1"/>
  </sheetPr>
  <dimension ref="A1:R133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E35" sqref="E35"/>
    </sheetView>
  </sheetViews>
  <sheetFormatPr defaultRowHeight="17.399999999999999"/>
  <cols>
    <col min="1" max="1" width="11.796875" customWidth="1"/>
    <col min="2" max="2" width="22.69921875" customWidth="1"/>
    <col min="3" max="3" width="17.296875" customWidth="1"/>
    <col min="4" max="4" width="11.796875" customWidth="1"/>
    <col min="5" max="5" width="13.5" bestFit="1" customWidth="1"/>
    <col min="6" max="6" width="9.59765625" bestFit="1" customWidth="1"/>
    <col min="7" max="7" width="10.796875" bestFit="1" customWidth="1"/>
    <col min="8" max="8" width="10" bestFit="1" customWidth="1"/>
    <col min="9" max="9" width="11.796875" bestFit="1" customWidth="1"/>
    <col min="10" max="11" width="13.5" bestFit="1" customWidth="1"/>
    <col min="12" max="12" width="11.59765625" bestFit="1" customWidth="1"/>
    <col min="13" max="13" width="27.19921875" customWidth="1"/>
    <col min="14" max="14" width="15.09765625" customWidth="1"/>
    <col min="15" max="15" width="11.59765625" bestFit="1" customWidth="1"/>
    <col min="16" max="16" width="9.59765625" bestFit="1" customWidth="1"/>
    <col min="17" max="17" width="13.19921875" bestFit="1" customWidth="1"/>
    <col min="18" max="18" width="10" bestFit="1" customWidth="1"/>
  </cols>
  <sheetData>
    <row r="1" spans="1:18" ht="23.25" customHeight="1">
      <c r="A1" s="1" t="s">
        <v>365</v>
      </c>
      <c r="B1" s="2"/>
      <c r="C1" s="2"/>
      <c r="D1" s="3"/>
      <c r="E1" s="4">
        <v>100021363</v>
      </c>
      <c r="F1" s="130"/>
      <c r="G1" s="337" t="s">
        <v>792</v>
      </c>
      <c r="H1" s="299"/>
      <c r="I1" s="299"/>
      <c r="J1" s="299"/>
      <c r="K1" s="299"/>
      <c r="L1" s="5"/>
      <c r="M1" s="5"/>
      <c r="N1" s="5"/>
      <c r="O1" s="5"/>
      <c r="P1" s="5"/>
      <c r="Q1" s="5"/>
    </row>
    <row r="2" spans="1:18" s="5" customFormat="1">
      <c r="A2" s="130" t="s">
        <v>929</v>
      </c>
      <c r="B2" s="2"/>
      <c r="C2" s="2"/>
      <c r="E2" s="4">
        <v>100000210</v>
      </c>
      <c r="F2" s="119"/>
      <c r="G2" s="130" t="s">
        <v>930</v>
      </c>
      <c r="H2" s="2"/>
      <c r="I2" s="2"/>
      <c r="K2" s="4">
        <v>100000210</v>
      </c>
      <c r="L2" s="364"/>
    </row>
    <row r="3" spans="1:18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</row>
    <row r="4" spans="1:18" s="5" customFormat="1" ht="15.6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119"/>
    </row>
    <row r="5" spans="1:18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14171.77</v>
      </c>
      <c r="J5" s="116">
        <v>1947.18</v>
      </c>
      <c r="K5" s="117">
        <v>2596370</v>
      </c>
      <c r="L5" s="340"/>
      <c r="R5" s="401">
        <f>E5+K5+Q5</f>
        <v>2596370</v>
      </c>
    </row>
    <row r="6" spans="1:18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24866.010000000002</v>
      </c>
      <c r="J6" s="116">
        <v>3416.56</v>
      </c>
      <c r="K6" s="117">
        <v>4555641</v>
      </c>
      <c r="L6" s="240">
        <f t="shared" ref="L6:L11" si="0">K6+E6</f>
        <v>4555641</v>
      </c>
      <c r="R6" s="401">
        <f t="shared" ref="R6:R10" si="1">E6+K6+Q6</f>
        <v>4555641</v>
      </c>
    </row>
    <row r="7" spans="1:18" s="5" customFormat="1" ht="15.6">
      <c r="A7" s="114" t="s">
        <v>75</v>
      </c>
      <c r="B7" s="115" t="s">
        <v>16</v>
      </c>
      <c r="C7" s="116">
        <v>20023</v>
      </c>
      <c r="D7" s="116">
        <v>2775.84</v>
      </c>
      <c r="E7" s="117">
        <v>3659390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0">
        <f t="shared" si="0"/>
        <v>3659390</v>
      </c>
      <c r="R7" s="401">
        <f t="shared" si="1"/>
        <v>3659390</v>
      </c>
    </row>
    <row r="8" spans="1:18" s="5" customFormat="1" ht="15.6">
      <c r="A8" s="114" t="s">
        <v>75</v>
      </c>
      <c r="B8" s="114" t="s">
        <v>17</v>
      </c>
      <c r="C8" s="116">
        <v>10500</v>
      </c>
      <c r="D8" s="116">
        <v>1455.64</v>
      </c>
      <c r="E8" s="117">
        <v>1918970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0">
        <f t="shared" si="0"/>
        <v>1918970</v>
      </c>
      <c r="R8" s="401">
        <f t="shared" si="1"/>
        <v>1918970</v>
      </c>
    </row>
    <row r="9" spans="1:18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1591</v>
      </c>
      <c r="J9" s="116">
        <v>218.6</v>
      </c>
      <c r="K9" s="117">
        <v>291481</v>
      </c>
      <c r="L9" s="240">
        <f t="shared" si="0"/>
        <v>291481</v>
      </c>
      <c r="R9" s="401">
        <f t="shared" si="1"/>
        <v>291481</v>
      </c>
    </row>
    <row r="10" spans="1:18" s="5" customFormat="1" ht="15.6">
      <c r="A10" s="114" t="s">
        <v>62</v>
      </c>
      <c r="B10" s="115"/>
      <c r="C10" s="116">
        <v>56175.240000000224</v>
      </c>
      <c r="D10" s="116">
        <v>7787.72</v>
      </c>
      <c r="E10" s="117">
        <v>10266551</v>
      </c>
      <c r="F10" s="121">
        <v>51321010</v>
      </c>
      <c r="G10" s="114" t="s">
        <v>62</v>
      </c>
      <c r="H10" s="115"/>
      <c r="I10" s="116">
        <v>188670.38999999984</v>
      </c>
      <c r="J10" s="116">
        <v>25949.05</v>
      </c>
      <c r="K10" s="117">
        <v>34600463</v>
      </c>
      <c r="L10" s="240">
        <f t="shared" si="0"/>
        <v>44867014</v>
      </c>
      <c r="R10" s="401">
        <f t="shared" si="1"/>
        <v>44867014</v>
      </c>
    </row>
    <row r="11" spans="1:18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</row>
    <row r="12" spans="1:18" s="5" customFormat="1" ht="15.6">
      <c r="A12" s="2068" t="s">
        <v>299</v>
      </c>
      <c r="B12" s="2069"/>
      <c r="C12" s="421">
        <f>SUM(C4:C10)-C14</f>
        <v>86527.140000000218</v>
      </c>
      <c r="D12" s="421">
        <f>SUM(D4:D10)-D14</f>
        <v>11995.480000000001</v>
      </c>
      <c r="E12" s="422">
        <f>SUM(E4:E10)-E14</f>
        <v>15813641</v>
      </c>
      <c r="G12" s="2045" t="s">
        <v>299</v>
      </c>
      <c r="H12" s="2046"/>
      <c r="I12" s="124">
        <f>SUM(I4:I11)</f>
        <v>229299.16999999984</v>
      </c>
      <c r="J12" s="124">
        <f>SUM(J4:J11)</f>
        <v>31531.39</v>
      </c>
      <c r="K12" s="125">
        <f>SUM(K4:K11)</f>
        <v>42043955</v>
      </c>
      <c r="L12" s="119"/>
    </row>
    <row r="13" spans="1:18" s="5" customFormat="1" ht="14.25" customHeight="1">
      <c r="A13" s="126"/>
      <c r="B13" s="307"/>
      <c r="C13" s="423">
        <f>C12+I12</f>
        <v>315826.31000000006</v>
      </c>
      <c r="D13" s="423">
        <f>D12+J12</f>
        <v>43526.87</v>
      </c>
      <c r="E13" s="424">
        <f>E12+K12</f>
        <v>57857596</v>
      </c>
      <c r="F13" s="121"/>
      <c r="G13" s="130"/>
      <c r="H13" s="130"/>
      <c r="I13" s="131"/>
      <c r="J13" s="130"/>
      <c r="K13" s="280"/>
      <c r="L13" s="245">
        <v>2425.7418328151257</v>
      </c>
      <c r="M13" s="119"/>
      <c r="N13" s="245"/>
      <c r="O13" s="119"/>
    </row>
    <row r="14" spans="1:18" s="5" customFormat="1" ht="15.6">
      <c r="A14" s="2" t="s">
        <v>60</v>
      </c>
      <c r="C14" s="385">
        <v>171.1</v>
      </c>
      <c r="D14" s="385">
        <v>23.72</v>
      </c>
      <c r="E14" s="425">
        <v>31270</v>
      </c>
      <c r="F14" s="377"/>
      <c r="G14" s="310"/>
      <c r="H14" s="130"/>
      <c r="I14" s="131"/>
      <c r="J14" s="130"/>
      <c r="K14" s="280"/>
      <c r="L14" s="245"/>
      <c r="M14" s="245" t="e">
        <f>#REF!</f>
        <v>#REF!</v>
      </c>
      <c r="N14" s="245"/>
      <c r="O14" s="119"/>
    </row>
    <row r="15" spans="1:18" s="5" customFormat="1" ht="15.6">
      <c r="A15" s="126"/>
      <c r="B15" s="307"/>
      <c r="C15" s="423"/>
      <c r="D15" s="423"/>
      <c r="F15" s="377"/>
      <c r="G15" s="130"/>
      <c r="H15" s="130"/>
      <c r="I15" s="131"/>
      <c r="J15" s="130"/>
      <c r="K15" s="280"/>
      <c r="L15" s="245"/>
      <c r="N15" s="45"/>
    </row>
    <row r="16" spans="1:18" s="5" customFormat="1" ht="15.6">
      <c r="B16" s="134">
        <v>13081010</v>
      </c>
      <c r="C16" s="135"/>
      <c r="D16" s="135"/>
      <c r="G16" s="6"/>
      <c r="H16" s="137"/>
      <c r="I16" s="137" t="e">
        <f>SUBTOTAL(9,I19:I142)</f>
        <v>#REF!</v>
      </c>
      <c r="J16" s="137" t="e">
        <f>SUBTOTAL(9,J19:J140)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45169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86527.140000000218</v>
      </c>
      <c r="L19" s="233">
        <v>11995.48044713021</v>
      </c>
      <c r="M19" s="232"/>
      <c r="N19" s="45">
        <v>11995.480447130218</v>
      </c>
    </row>
    <row r="20" spans="1:14" s="5" customFormat="1" ht="13.5" customHeight="1">
      <c r="A20" s="368">
        <v>45181</v>
      </c>
      <c r="B20" s="369" t="s">
        <v>643</v>
      </c>
      <c r="C20" s="369"/>
      <c r="D20" s="370">
        <v>1</v>
      </c>
      <c r="E20" s="180"/>
      <c r="F20" s="369"/>
      <c r="G20" s="371">
        <v>550449.48</v>
      </c>
      <c r="H20" s="372">
        <v>75657</v>
      </c>
      <c r="I20" s="373"/>
      <c r="J20" s="398" t="e">
        <f>I20/'통장내역(환율표)'!#REF!</f>
        <v>#REF!</v>
      </c>
      <c r="K20" s="372">
        <f>K19+G20-I20</f>
        <v>636976.62000000023</v>
      </c>
      <c r="L20" s="372" t="e">
        <f>L19+H20-J20</f>
        <v>#REF!</v>
      </c>
      <c r="M20" s="375"/>
      <c r="N20" s="45"/>
    </row>
    <row r="21" spans="1:14" s="5" customFormat="1" ht="13.5" customHeight="1">
      <c r="A21" s="368">
        <v>45181</v>
      </c>
      <c r="B21" s="369" t="s">
        <v>250</v>
      </c>
      <c r="C21" s="369"/>
      <c r="D21" s="370">
        <v>1</v>
      </c>
      <c r="E21" s="180" t="s">
        <v>107</v>
      </c>
      <c r="F21" s="369"/>
      <c r="G21" s="374"/>
      <c r="H21" s="372"/>
      <c r="I21" s="373"/>
      <c r="J21" s="405">
        <v>26</v>
      </c>
      <c r="K21" s="372">
        <f t="shared" ref="K21:L22" si="2">K20+G21-I21</f>
        <v>636976.62000000023</v>
      </c>
      <c r="L21" s="372" t="e">
        <f t="shared" si="2"/>
        <v>#REF!</v>
      </c>
      <c r="M21" s="375"/>
      <c r="N21" s="45"/>
    </row>
    <row r="22" spans="1:14" s="5" customFormat="1" ht="13.5" customHeight="1">
      <c r="A22" s="255">
        <v>45190</v>
      </c>
      <c r="B22" s="365" t="s">
        <v>877</v>
      </c>
      <c r="C22" s="33"/>
      <c r="D22" s="37">
        <v>2</v>
      </c>
      <c r="E22" s="420" t="s">
        <v>60</v>
      </c>
      <c r="F22" s="347"/>
      <c r="G22" s="367">
        <v>171.1</v>
      </c>
      <c r="H22" s="376" t="e">
        <f>G22/'통장내역(환율표)'!#REF!</f>
        <v>#REF!</v>
      </c>
      <c r="I22" s="270"/>
      <c r="J22" s="398" t="e">
        <f>I22/'통장내역(환율표)'!#REF!</f>
        <v>#REF!</v>
      </c>
      <c r="K22" s="263">
        <f>K21+G22-I22</f>
        <v>637147.7200000002</v>
      </c>
      <c r="L22" s="263" t="e">
        <f t="shared" si="2"/>
        <v>#REF!</v>
      </c>
      <c r="M22" s="33"/>
      <c r="N22" s="45" t="e">
        <f>N19-J22+H22</f>
        <v>#REF!</v>
      </c>
    </row>
    <row r="23" spans="1:14" s="5" customFormat="1" ht="13.5" customHeight="1">
      <c r="A23" s="255">
        <v>45190</v>
      </c>
      <c r="B23" s="365" t="s">
        <v>878</v>
      </c>
      <c r="C23" s="37"/>
      <c r="D23" s="37">
        <v>3</v>
      </c>
      <c r="E23" s="37" t="s">
        <v>107</v>
      </c>
      <c r="F23" s="347"/>
      <c r="G23" s="367"/>
      <c r="H23" s="33"/>
      <c r="I23" s="270">
        <v>1010</v>
      </c>
      <c r="J23" s="398" t="e">
        <f>I23/'통장내역(환율표)'!#REF!</f>
        <v>#REF!</v>
      </c>
      <c r="K23" s="263">
        <f t="shared" ref="K23:K33" si="3">K22+G23-I23</f>
        <v>636137.7200000002</v>
      </c>
      <c r="L23" s="263" t="e">
        <f t="shared" ref="L23:L33" si="4">L22+H23-J23</f>
        <v>#REF!</v>
      </c>
      <c r="M23" s="33"/>
      <c r="N23" s="45" t="e">
        <f>N22-J23+H23</f>
        <v>#REF!</v>
      </c>
    </row>
    <row r="24" spans="1:14" s="5" customFormat="1" ht="13.5" customHeight="1">
      <c r="A24" s="255">
        <v>45190</v>
      </c>
      <c r="B24" s="365" t="s">
        <v>250</v>
      </c>
      <c r="C24" s="37"/>
      <c r="D24" s="37">
        <v>4</v>
      </c>
      <c r="E24" s="37" t="s">
        <v>107</v>
      </c>
      <c r="F24" s="347"/>
      <c r="G24" s="367"/>
      <c r="H24" s="33"/>
      <c r="I24" s="270">
        <v>3.6</v>
      </c>
      <c r="J24" s="398" t="e">
        <f>I24/'통장내역(환율표)'!#REF!</f>
        <v>#REF!</v>
      </c>
      <c r="K24" s="263">
        <f t="shared" si="3"/>
        <v>636134.12000000023</v>
      </c>
      <c r="L24" s="263" t="e">
        <f t="shared" si="4"/>
        <v>#REF!</v>
      </c>
      <c r="M24" s="33"/>
      <c r="N24" s="45" t="e">
        <f t="shared" ref="N24:N33" si="5">N23-J24+H24</f>
        <v>#REF!</v>
      </c>
    </row>
    <row r="25" spans="1:14" s="5" customFormat="1" ht="13.5" customHeight="1">
      <c r="A25" s="255">
        <v>45190</v>
      </c>
      <c r="B25" s="365" t="s">
        <v>304</v>
      </c>
      <c r="C25" s="37"/>
      <c r="D25" s="37">
        <v>5</v>
      </c>
      <c r="E25" s="37" t="s">
        <v>105</v>
      </c>
      <c r="F25" s="347" t="s">
        <v>76</v>
      </c>
      <c r="G25" s="367"/>
      <c r="H25" s="33"/>
      <c r="I25" s="270">
        <v>20023</v>
      </c>
      <c r="J25" s="398" t="e">
        <f>I25/'통장내역(환율표)'!#REF!</f>
        <v>#REF!</v>
      </c>
      <c r="K25" s="263">
        <f t="shared" si="3"/>
        <v>616111.12000000023</v>
      </c>
      <c r="L25" s="263" t="e">
        <f t="shared" si="4"/>
        <v>#REF!</v>
      </c>
      <c r="M25" s="283"/>
      <c r="N25" s="45" t="e">
        <f t="shared" si="5"/>
        <v>#REF!</v>
      </c>
    </row>
    <row r="26" spans="1:14" s="5" customFormat="1" ht="13.5" customHeight="1">
      <c r="A26" s="255">
        <v>45190</v>
      </c>
      <c r="B26" s="365" t="s">
        <v>250</v>
      </c>
      <c r="C26" s="37"/>
      <c r="D26" s="37">
        <v>6</v>
      </c>
      <c r="E26" s="37" t="s">
        <v>107</v>
      </c>
      <c r="F26" s="347"/>
      <c r="G26" s="367"/>
      <c r="H26" s="33"/>
      <c r="I26" s="270">
        <v>7.2</v>
      </c>
      <c r="J26" s="398" t="e">
        <f>I26/'통장내역(환율표)'!#REF!</f>
        <v>#REF!</v>
      </c>
      <c r="K26" s="263">
        <f t="shared" si="3"/>
        <v>616103.92000000027</v>
      </c>
      <c r="L26" s="263" t="e">
        <f t="shared" si="4"/>
        <v>#REF!</v>
      </c>
      <c r="M26" s="283"/>
      <c r="N26" s="45" t="e">
        <f t="shared" si="5"/>
        <v>#REF!</v>
      </c>
    </row>
    <row r="27" spans="1:14" s="5" customFormat="1" ht="13.5" customHeight="1">
      <c r="A27" s="255">
        <v>45190</v>
      </c>
      <c r="B27" s="365" t="s">
        <v>732</v>
      </c>
      <c r="C27" s="37"/>
      <c r="D27" s="37">
        <v>7</v>
      </c>
      <c r="E27" s="37" t="s">
        <v>107</v>
      </c>
      <c r="F27" s="347"/>
      <c r="G27" s="367"/>
      <c r="H27" s="33"/>
      <c r="I27" s="270">
        <v>1601.72</v>
      </c>
      <c r="J27" s="398" t="e">
        <f>I27/'통장내역(환율표)'!#REF!</f>
        <v>#REF!</v>
      </c>
      <c r="K27" s="263">
        <f t="shared" si="3"/>
        <v>614502.2000000003</v>
      </c>
      <c r="L27" s="263" t="e">
        <f t="shared" si="4"/>
        <v>#REF!</v>
      </c>
      <c r="M27" s="283"/>
      <c r="N27" s="45" t="e">
        <f t="shared" si="5"/>
        <v>#REF!</v>
      </c>
    </row>
    <row r="28" spans="1:14" s="5" customFormat="1" ht="13.5" customHeight="1">
      <c r="A28" s="255">
        <v>45190</v>
      </c>
      <c r="B28" s="365" t="s">
        <v>250</v>
      </c>
      <c r="C28" s="37"/>
      <c r="D28" s="37">
        <v>8</v>
      </c>
      <c r="E28" s="37" t="s">
        <v>107</v>
      </c>
      <c r="F28" s="347"/>
      <c r="G28" s="367"/>
      <c r="H28" s="33"/>
      <c r="I28" s="270">
        <v>3.6</v>
      </c>
      <c r="J28" s="398" t="e">
        <f>I28/'통장내역(환율표)'!#REF!</f>
        <v>#REF!</v>
      </c>
      <c r="K28" s="263">
        <f t="shared" si="3"/>
        <v>614498.60000000033</v>
      </c>
      <c r="L28" s="263" t="e">
        <f t="shared" si="4"/>
        <v>#REF!</v>
      </c>
      <c r="M28" s="283"/>
      <c r="N28" s="45" t="e">
        <f t="shared" si="5"/>
        <v>#REF!</v>
      </c>
    </row>
    <row r="29" spans="1:14" s="5" customFormat="1" ht="13.5" customHeight="1">
      <c r="A29" s="255">
        <v>45190</v>
      </c>
      <c r="B29" s="313" t="s">
        <v>346</v>
      </c>
      <c r="C29" s="37"/>
      <c r="D29" s="37">
        <v>9</v>
      </c>
      <c r="E29" s="347" t="s">
        <v>105</v>
      </c>
      <c r="F29" s="347" t="s">
        <v>927</v>
      </c>
      <c r="G29" s="367"/>
      <c r="H29" s="376">
        <f>I29*2</f>
        <v>21000</v>
      </c>
      <c r="I29" s="270">
        <v>10500</v>
      </c>
      <c r="J29" s="398" t="e">
        <f>I29/'통장내역(환율표)'!#REF!</f>
        <v>#REF!</v>
      </c>
      <c r="K29" s="263">
        <f t="shared" si="3"/>
        <v>603998.60000000033</v>
      </c>
      <c r="L29" s="263" t="e">
        <f t="shared" si="4"/>
        <v>#REF!</v>
      </c>
      <c r="M29" s="283"/>
      <c r="N29" s="45" t="e">
        <f t="shared" si="5"/>
        <v>#REF!</v>
      </c>
    </row>
    <row r="30" spans="1:14" s="5" customFormat="1" ht="13.5" customHeight="1">
      <c r="A30" s="255">
        <v>45190</v>
      </c>
      <c r="B30" s="313" t="s">
        <v>347</v>
      </c>
      <c r="C30" s="37"/>
      <c r="D30" s="37">
        <v>10</v>
      </c>
      <c r="E30" s="347" t="s">
        <v>107</v>
      </c>
      <c r="F30" s="347"/>
      <c r="G30" s="367"/>
      <c r="H30" s="376">
        <f>I30*2</f>
        <v>12000</v>
      </c>
      <c r="I30" s="270">
        <v>6000</v>
      </c>
      <c r="J30" s="398" t="e">
        <f>I30/'통장내역(환율표)'!#REF!</f>
        <v>#REF!</v>
      </c>
      <c r="K30" s="263">
        <f t="shared" si="3"/>
        <v>597998.60000000033</v>
      </c>
      <c r="L30" s="263" t="e">
        <f t="shared" si="4"/>
        <v>#REF!</v>
      </c>
      <c r="M30" s="283"/>
      <c r="N30" s="45" t="e">
        <f t="shared" si="5"/>
        <v>#REF!</v>
      </c>
    </row>
    <row r="31" spans="1:14" s="5" customFormat="1" ht="13.5" customHeight="1">
      <c r="A31" s="255">
        <v>45190</v>
      </c>
      <c r="B31" s="313" t="s">
        <v>351</v>
      </c>
      <c r="C31" s="37"/>
      <c r="D31" s="37">
        <v>11</v>
      </c>
      <c r="E31" s="347" t="s">
        <v>107</v>
      </c>
      <c r="F31" s="347"/>
      <c r="G31" s="367"/>
      <c r="H31" s="33"/>
      <c r="I31" s="270">
        <v>730</v>
      </c>
      <c r="J31" s="398" t="e">
        <f>I31/'통장내역(환율표)'!#REF!</f>
        <v>#REF!</v>
      </c>
      <c r="K31" s="263">
        <f t="shared" si="3"/>
        <v>597268.60000000033</v>
      </c>
      <c r="L31" s="263" t="e">
        <f t="shared" si="4"/>
        <v>#REF!</v>
      </c>
      <c r="M31" s="283"/>
      <c r="N31" s="45" t="e">
        <f t="shared" si="5"/>
        <v>#REF!</v>
      </c>
    </row>
    <row r="32" spans="1:14" s="5" customFormat="1" ht="13.5" customHeight="1">
      <c r="A32" s="255">
        <v>45190</v>
      </c>
      <c r="B32" s="313" t="s">
        <v>250</v>
      </c>
      <c r="C32" s="37"/>
      <c r="D32" s="37">
        <v>12</v>
      </c>
      <c r="E32" s="347" t="s">
        <v>107</v>
      </c>
      <c r="F32" s="347"/>
      <c r="G32" s="367"/>
      <c r="H32" s="33"/>
      <c r="I32" s="270">
        <v>7.2</v>
      </c>
      <c r="J32" s="398" t="e">
        <f>I32/'통장내역(환율표)'!#REF!</f>
        <v>#REF!</v>
      </c>
      <c r="K32" s="263">
        <f t="shared" si="3"/>
        <v>597261.40000000037</v>
      </c>
      <c r="L32" s="263" t="e">
        <f t="shared" si="4"/>
        <v>#REF!</v>
      </c>
      <c r="M32" s="283"/>
      <c r="N32" s="45" t="e">
        <f t="shared" si="5"/>
        <v>#REF!</v>
      </c>
    </row>
    <row r="33" spans="1:14" s="5" customFormat="1" ht="13.5" customHeight="1">
      <c r="A33" s="409">
        <v>45190</v>
      </c>
      <c r="B33" s="410" t="s">
        <v>925</v>
      </c>
      <c r="C33" s="218"/>
      <c r="D33" s="218">
        <v>13</v>
      </c>
      <c r="E33" s="411" t="s">
        <v>107</v>
      </c>
      <c r="F33" s="411"/>
      <c r="G33" s="412"/>
      <c r="H33" s="219"/>
      <c r="I33" s="225" t="e">
        <f>J33*'통장내역(환율표)'!#REF!</f>
        <v>#REF!</v>
      </c>
      <c r="J33" s="398">
        <v>6489.6571301515951</v>
      </c>
      <c r="K33" s="413" t="e">
        <f t="shared" si="3"/>
        <v>#REF!</v>
      </c>
      <c r="L33" s="413" t="e">
        <f t="shared" si="4"/>
        <v>#REF!</v>
      </c>
      <c r="M33" s="414"/>
      <c r="N33" s="45" t="e">
        <f t="shared" si="5"/>
        <v>#REF!</v>
      </c>
    </row>
    <row r="34" spans="1:14" s="5" customFormat="1" ht="13.5" customHeight="1">
      <c r="A34" s="409">
        <v>45190</v>
      </c>
      <c r="B34" s="410" t="s">
        <v>926</v>
      </c>
      <c r="C34" s="218"/>
      <c r="D34" s="218">
        <v>13</v>
      </c>
      <c r="E34" s="411" t="s">
        <v>107</v>
      </c>
      <c r="F34" s="411"/>
      <c r="G34" s="412"/>
      <c r="H34" s="219"/>
      <c r="I34" s="225" t="e">
        <f>67500-I33</f>
        <v>#REF!</v>
      </c>
      <c r="J34" s="405" t="e">
        <f>I34/'통장내역(환율표)'!#REF!</f>
        <v>#REF!</v>
      </c>
      <c r="K34" s="413" t="e">
        <f t="shared" ref="K34:K92" si="6">K33+G34-I34</f>
        <v>#REF!</v>
      </c>
      <c r="L34" s="413" t="e">
        <f t="shared" ref="L34:L92" si="7">L33+H34-J34</f>
        <v>#REF!</v>
      </c>
      <c r="M34" s="414"/>
      <c r="N34" s="45" t="e">
        <f>75631-J34</f>
        <v>#REF!</v>
      </c>
    </row>
    <row r="35" spans="1:14" s="5" customFormat="1" ht="13.5" customHeight="1">
      <c r="A35" s="255">
        <v>45190</v>
      </c>
      <c r="B35" s="313" t="s">
        <v>250</v>
      </c>
      <c r="C35" s="37"/>
      <c r="D35" s="37">
        <v>14</v>
      </c>
      <c r="E35" s="347" t="s">
        <v>107</v>
      </c>
      <c r="F35" s="347"/>
      <c r="G35" s="367"/>
      <c r="H35" s="33"/>
      <c r="I35" s="270">
        <v>7.2</v>
      </c>
      <c r="J35" s="405" t="e">
        <f>I35/'통장내역(환율표)'!#REF!</f>
        <v>#REF!</v>
      </c>
      <c r="K35" s="263" t="e">
        <f t="shared" si="6"/>
        <v>#REF!</v>
      </c>
      <c r="L35" s="263" t="e">
        <f t="shared" si="7"/>
        <v>#REF!</v>
      </c>
      <c r="M35" s="283"/>
      <c r="N35" s="45" t="e">
        <f>N34-J35</f>
        <v>#REF!</v>
      </c>
    </row>
    <row r="36" spans="1:14" s="5" customFormat="1" ht="13.5" customHeight="1">
      <c r="A36" s="255">
        <v>45190</v>
      </c>
      <c r="B36" s="403" t="s">
        <v>885</v>
      </c>
      <c r="C36" s="347"/>
      <c r="D36" s="37">
        <v>15</v>
      </c>
      <c r="E36" s="347" t="s">
        <v>107</v>
      </c>
      <c r="F36" s="347"/>
      <c r="G36" s="263"/>
      <c r="H36" s="263"/>
      <c r="I36" s="270">
        <v>15000</v>
      </c>
      <c r="J36" s="405" t="e">
        <f>I36/'통장내역(환율표)'!#REF!</f>
        <v>#REF!</v>
      </c>
      <c r="K36" s="263" t="e">
        <f t="shared" si="6"/>
        <v>#REF!</v>
      </c>
      <c r="L36" s="263" t="e">
        <f t="shared" si="7"/>
        <v>#REF!</v>
      </c>
      <c r="M36" s="347" t="s">
        <v>247</v>
      </c>
      <c r="N36" s="45" t="e">
        <f t="shared" ref="N36:N92" si="8">N35-J36</f>
        <v>#REF!</v>
      </c>
    </row>
    <row r="37" spans="1:14" s="5" customFormat="1" ht="13.5" customHeight="1">
      <c r="A37" s="255">
        <v>45190</v>
      </c>
      <c r="B37" s="406" t="s">
        <v>886</v>
      </c>
      <c r="C37" s="347"/>
      <c r="D37" s="37">
        <v>15</v>
      </c>
      <c r="E37" s="347" t="s">
        <v>107</v>
      </c>
      <c r="F37" s="347"/>
      <c r="G37" s="263"/>
      <c r="H37" s="263"/>
      <c r="I37" s="270">
        <v>22000</v>
      </c>
      <c r="J37" s="405" t="e">
        <f>I37/'통장내역(환율표)'!#REF!</f>
        <v>#REF!</v>
      </c>
      <c r="K37" s="263" t="e">
        <f t="shared" si="6"/>
        <v>#REF!</v>
      </c>
      <c r="L37" s="263" t="e">
        <f t="shared" si="7"/>
        <v>#REF!</v>
      </c>
      <c r="M37" s="347" t="s">
        <v>247</v>
      </c>
      <c r="N37" s="45" t="e">
        <f t="shared" si="8"/>
        <v>#REF!</v>
      </c>
    </row>
    <row r="38" spans="1:14" s="5" customFormat="1" ht="13.5" customHeight="1">
      <c r="A38" s="255">
        <v>45190</v>
      </c>
      <c r="B38" s="406" t="s">
        <v>887</v>
      </c>
      <c r="C38" s="347"/>
      <c r="D38" s="37">
        <v>15</v>
      </c>
      <c r="E38" s="347" t="s">
        <v>107</v>
      </c>
      <c r="F38" s="347"/>
      <c r="G38" s="263"/>
      <c r="H38" s="263"/>
      <c r="I38" s="270">
        <v>8453.39</v>
      </c>
      <c r="J38" s="405" t="e">
        <f>I38/'통장내역(환율표)'!#REF!</f>
        <v>#REF!</v>
      </c>
      <c r="K38" s="263" t="e">
        <f t="shared" si="6"/>
        <v>#REF!</v>
      </c>
      <c r="L38" s="263" t="e">
        <f t="shared" si="7"/>
        <v>#REF!</v>
      </c>
      <c r="M38" s="347" t="s">
        <v>247</v>
      </c>
      <c r="N38" s="45" t="e">
        <f t="shared" si="8"/>
        <v>#REF!</v>
      </c>
    </row>
    <row r="39" spans="1:14" s="5" customFormat="1" ht="13.5" customHeight="1">
      <c r="A39" s="255">
        <v>45190</v>
      </c>
      <c r="B39" s="406" t="s">
        <v>888</v>
      </c>
      <c r="C39" s="347"/>
      <c r="D39" s="37">
        <v>15</v>
      </c>
      <c r="E39" s="347" t="s">
        <v>107</v>
      </c>
      <c r="F39" s="347"/>
      <c r="G39" s="263"/>
      <c r="H39" s="263"/>
      <c r="I39" s="270">
        <v>5738.5900000000038</v>
      </c>
      <c r="J39" s="405" t="e">
        <f>I39/'통장내역(환율표)'!#REF!</f>
        <v>#REF!</v>
      </c>
      <c r="K39" s="263" t="e">
        <f t="shared" si="6"/>
        <v>#REF!</v>
      </c>
      <c r="L39" s="263" t="e">
        <f t="shared" si="7"/>
        <v>#REF!</v>
      </c>
      <c r="M39" s="347" t="s">
        <v>247</v>
      </c>
      <c r="N39" s="45" t="e">
        <f t="shared" si="8"/>
        <v>#REF!</v>
      </c>
    </row>
    <row r="40" spans="1:14" s="5" customFormat="1" ht="13.5" customHeight="1">
      <c r="A40" s="255">
        <v>45190</v>
      </c>
      <c r="B40" s="35" t="s">
        <v>889</v>
      </c>
      <c r="C40" s="347"/>
      <c r="D40" s="37">
        <v>15</v>
      </c>
      <c r="E40" s="347" t="s">
        <v>107</v>
      </c>
      <c r="F40" s="347"/>
      <c r="G40" s="263"/>
      <c r="H40" s="263"/>
      <c r="I40" s="270">
        <v>300</v>
      </c>
      <c r="J40" s="405" t="e">
        <f>I40/'통장내역(환율표)'!#REF!</f>
        <v>#REF!</v>
      </c>
      <c r="K40" s="263" t="e">
        <f t="shared" si="6"/>
        <v>#REF!</v>
      </c>
      <c r="L40" s="263" t="e">
        <f t="shared" si="7"/>
        <v>#REF!</v>
      </c>
      <c r="M40" s="347" t="s">
        <v>247</v>
      </c>
      <c r="N40" s="45" t="e">
        <f t="shared" si="8"/>
        <v>#REF!</v>
      </c>
    </row>
    <row r="41" spans="1:14" s="5" customFormat="1" ht="12.75" customHeight="1">
      <c r="A41" s="255">
        <v>45190</v>
      </c>
      <c r="B41" s="406" t="s">
        <v>885</v>
      </c>
      <c r="C41" s="347"/>
      <c r="D41" s="37">
        <v>15</v>
      </c>
      <c r="E41" s="347" t="s">
        <v>107</v>
      </c>
      <c r="F41" s="347"/>
      <c r="G41" s="263"/>
      <c r="H41" s="263"/>
      <c r="I41" s="270">
        <v>15000</v>
      </c>
      <c r="J41" s="405" t="e">
        <f>I41/'통장내역(환율표)'!#REF!</f>
        <v>#REF!</v>
      </c>
      <c r="K41" s="263" t="e">
        <f t="shared" si="6"/>
        <v>#REF!</v>
      </c>
      <c r="L41" s="263" t="e">
        <f t="shared" si="7"/>
        <v>#REF!</v>
      </c>
      <c r="M41" s="347" t="s">
        <v>211</v>
      </c>
      <c r="N41" s="45" t="e">
        <f t="shared" si="8"/>
        <v>#REF!</v>
      </c>
    </row>
    <row r="42" spans="1:14" s="5" customFormat="1" ht="13.5" customHeight="1">
      <c r="A42" s="255">
        <v>45190</v>
      </c>
      <c r="B42" s="406" t="s">
        <v>886</v>
      </c>
      <c r="C42" s="347"/>
      <c r="D42" s="37">
        <v>15</v>
      </c>
      <c r="E42" s="347" t="s">
        <v>107</v>
      </c>
      <c r="F42" s="347"/>
      <c r="G42" s="263"/>
      <c r="H42" s="263"/>
      <c r="I42" s="270">
        <v>22000</v>
      </c>
      <c r="J42" s="405" t="e">
        <f>I42/'통장내역(환율표)'!#REF!</f>
        <v>#REF!</v>
      </c>
      <c r="K42" s="263" t="e">
        <f t="shared" si="6"/>
        <v>#REF!</v>
      </c>
      <c r="L42" s="263" t="e">
        <f t="shared" si="7"/>
        <v>#REF!</v>
      </c>
      <c r="M42" s="347" t="s">
        <v>211</v>
      </c>
      <c r="N42" s="45" t="e">
        <f t="shared" si="8"/>
        <v>#REF!</v>
      </c>
    </row>
    <row r="43" spans="1:14" s="5" customFormat="1" ht="13.5" customHeight="1">
      <c r="A43" s="255">
        <v>45190</v>
      </c>
      <c r="B43" s="406" t="s">
        <v>887</v>
      </c>
      <c r="C43" s="347"/>
      <c r="D43" s="37">
        <v>15</v>
      </c>
      <c r="E43" s="347" t="s">
        <v>107</v>
      </c>
      <c r="F43" s="347"/>
      <c r="G43" s="263"/>
      <c r="H43" s="263"/>
      <c r="I43" s="270">
        <v>4703.3899999999994</v>
      </c>
      <c r="J43" s="405" t="e">
        <f>I43/'통장내역(환율표)'!#REF!</f>
        <v>#REF!</v>
      </c>
      <c r="K43" s="263" t="e">
        <f t="shared" si="6"/>
        <v>#REF!</v>
      </c>
      <c r="L43" s="263" t="e">
        <f t="shared" si="7"/>
        <v>#REF!</v>
      </c>
      <c r="M43" s="347" t="s">
        <v>211</v>
      </c>
      <c r="N43" s="45" t="e">
        <f t="shared" si="8"/>
        <v>#REF!</v>
      </c>
    </row>
    <row r="44" spans="1:14" s="5" customFormat="1" ht="13.5" customHeight="1">
      <c r="A44" s="255">
        <v>45190</v>
      </c>
      <c r="B44" s="406" t="s">
        <v>888</v>
      </c>
      <c r="C44" s="347"/>
      <c r="D44" s="37">
        <v>15</v>
      </c>
      <c r="E44" s="347" t="s">
        <v>107</v>
      </c>
      <c r="F44" s="347"/>
      <c r="G44" s="263"/>
      <c r="H44" s="263"/>
      <c r="I44" s="270">
        <v>6098.5900000000038</v>
      </c>
      <c r="J44" s="405" t="e">
        <f>I44/'통장내역(환율표)'!#REF!</f>
        <v>#REF!</v>
      </c>
      <c r="K44" s="263" t="e">
        <f t="shared" si="6"/>
        <v>#REF!</v>
      </c>
      <c r="L44" s="263" t="e">
        <f t="shared" si="7"/>
        <v>#REF!</v>
      </c>
      <c r="M44" s="347" t="s">
        <v>211</v>
      </c>
      <c r="N44" s="45" t="e">
        <f t="shared" si="8"/>
        <v>#REF!</v>
      </c>
    </row>
    <row r="45" spans="1:14" s="5" customFormat="1" ht="13.5" customHeight="1">
      <c r="A45" s="255">
        <v>45190</v>
      </c>
      <c r="B45" s="35" t="s">
        <v>889</v>
      </c>
      <c r="C45" s="347"/>
      <c r="D45" s="37">
        <v>15</v>
      </c>
      <c r="E45" s="347" t="s">
        <v>107</v>
      </c>
      <c r="F45" s="347"/>
      <c r="G45" s="263"/>
      <c r="H45" s="263"/>
      <c r="I45" s="270">
        <v>300</v>
      </c>
      <c r="J45" s="405" t="e">
        <f>I45/'통장내역(환율표)'!#REF!</f>
        <v>#REF!</v>
      </c>
      <c r="K45" s="263" t="e">
        <f t="shared" si="6"/>
        <v>#REF!</v>
      </c>
      <c r="L45" s="263" t="e">
        <f t="shared" si="7"/>
        <v>#REF!</v>
      </c>
      <c r="M45" s="347" t="s">
        <v>211</v>
      </c>
      <c r="N45" s="45" t="e">
        <f t="shared" si="8"/>
        <v>#REF!</v>
      </c>
    </row>
    <row r="46" spans="1:14" s="5" customFormat="1" ht="14.25" customHeight="1">
      <c r="A46" s="255">
        <v>45190</v>
      </c>
      <c r="B46" s="407" t="s">
        <v>891</v>
      </c>
      <c r="C46" s="347"/>
      <c r="D46" s="37">
        <v>15</v>
      </c>
      <c r="E46" s="347" t="s">
        <v>107</v>
      </c>
      <c r="F46" s="347"/>
      <c r="G46" s="263"/>
      <c r="H46" s="263"/>
      <c r="I46" s="270">
        <v>25000</v>
      </c>
      <c r="J46" s="405" t="e">
        <f>I46/'통장내역(환율표)'!#REF!</f>
        <v>#REF!</v>
      </c>
      <c r="K46" s="263" t="e">
        <f t="shared" si="6"/>
        <v>#REF!</v>
      </c>
      <c r="L46" s="263" t="e">
        <f t="shared" si="7"/>
        <v>#REF!</v>
      </c>
      <c r="M46" s="347" t="s">
        <v>453</v>
      </c>
      <c r="N46" s="45" t="e">
        <f t="shared" si="8"/>
        <v>#REF!</v>
      </c>
    </row>
    <row r="47" spans="1:14" s="5" customFormat="1" ht="13.5" customHeight="1">
      <c r="A47" s="255">
        <v>45190</v>
      </c>
      <c r="B47" s="408" t="s">
        <v>893</v>
      </c>
      <c r="C47" s="347"/>
      <c r="D47" s="37">
        <v>15</v>
      </c>
      <c r="E47" s="347" t="s">
        <v>107</v>
      </c>
      <c r="F47" s="347"/>
      <c r="G47" s="263"/>
      <c r="H47" s="263"/>
      <c r="I47" s="270">
        <v>5066.49</v>
      </c>
      <c r="J47" s="405" t="e">
        <f>I47/'통장내역(환율표)'!#REF!</f>
        <v>#REF!</v>
      </c>
      <c r="K47" s="263" t="e">
        <f t="shared" si="6"/>
        <v>#REF!</v>
      </c>
      <c r="L47" s="263" t="e">
        <f t="shared" si="7"/>
        <v>#REF!</v>
      </c>
      <c r="M47" s="347" t="s">
        <v>453</v>
      </c>
      <c r="N47" s="45" t="e">
        <f t="shared" si="8"/>
        <v>#REF!</v>
      </c>
    </row>
    <row r="48" spans="1:14" s="5" customFormat="1" ht="13.5" customHeight="1">
      <c r="A48" s="255">
        <v>45190</v>
      </c>
      <c r="B48" s="407" t="s">
        <v>892</v>
      </c>
      <c r="C48" s="347"/>
      <c r="D48" s="37">
        <v>15</v>
      </c>
      <c r="E48" s="347" t="s">
        <v>107</v>
      </c>
      <c r="F48" s="347"/>
      <c r="G48" s="263"/>
      <c r="H48" s="263"/>
      <c r="I48" s="270">
        <v>300</v>
      </c>
      <c r="J48" s="405" t="e">
        <f>I48/'통장내역(환율표)'!#REF!</f>
        <v>#REF!</v>
      </c>
      <c r="K48" s="263" t="e">
        <f t="shared" si="6"/>
        <v>#REF!</v>
      </c>
      <c r="L48" s="263" t="e">
        <f t="shared" si="7"/>
        <v>#REF!</v>
      </c>
      <c r="M48" s="347" t="s">
        <v>453</v>
      </c>
      <c r="N48" s="45" t="e">
        <f t="shared" si="8"/>
        <v>#REF!</v>
      </c>
    </row>
    <row r="49" spans="1:14" s="5" customFormat="1" ht="13.5" customHeight="1">
      <c r="A49" s="255">
        <v>45190</v>
      </c>
      <c r="B49" s="407" t="s">
        <v>861</v>
      </c>
      <c r="C49" s="347"/>
      <c r="D49" s="37">
        <v>15</v>
      </c>
      <c r="E49" s="347" t="s">
        <v>107</v>
      </c>
      <c r="F49" s="347"/>
      <c r="G49" s="263"/>
      <c r="H49" s="263"/>
      <c r="I49" s="270">
        <v>500</v>
      </c>
      <c r="J49" s="405" t="e">
        <f>I49/'통장내역(환율표)'!#REF!</f>
        <v>#REF!</v>
      </c>
      <c r="K49" s="263" t="e">
        <f t="shared" si="6"/>
        <v>#REF!</v>
      </c>
      <c r="L49" s="263" t="e">
        <f t="shared" si="7"/>
        <v>#REF!</v>
      </c>
      <c r="M49" s="347" t="s">
        <v>453</v>
      </c>
      <c r="N49" s="45" t="e">
        <f t="shared" si="8"/>
        <v>#REF!</v>
      </c>
    </row>
    <row r="50" spans="1:14" s="5" customFormat="1" ht="13.5" customHeight="1">
      <c r="A50" s="255">
        <v>45190</v>
      </c>
      <c r="B50" s="407" t="s">
        <v>891</v>
      </c>
      <c r="C50" s="347"/>
      <c r="D50" s="37">
        <v>15</v>
      </c>
      <c r="E50" s="347" t="s">
        <v>107</v>
      </c>
      <c r="F50" s="347"/>
      <c r="G50" s="263"/>
      <c r="H50" s="263"/>
      <c r="I50" s="270">
        <v>11700</v>
      </c>
      <c r="J50" s="405" t="e">
        <f>I50/'통장내역(환율표)'!#REF!</f>
        <v>#REF!</v>
      </c>
      <c r="K50" s="263" t="e">
        <f t="shared" si="6"/>
        <v>#REF!</v>
      </c>
      <c r="L50" s="263" t="e">
        <f t="shared" si="7"/>
        <v>#REF!</v>
      </c>
      <c r="M50" s="404" t="s">
        <v>894</v>
      </c>
      <c r="N50" s="45" t="e">
        <f t="shared" si="8"/>
        <v>#REF!</v>
      </c>
    </row>
    <row r="51" spans="1:14" s="5" customFormat="1" ht="13.5" customHeight="1">
      <c r="A51" s="255">
        <v>45190</v>
      </c>
      <c r="B51" s="407" t="s">
        <v>928</v>
      </c>
      <c r="C51" s="347"/>
      <c r="D51" s="37">
        <v>15</v>
      </c>
      <c r="E51" s="347" t="s">
        <v>107</v>
      </c>
      <c r="F51" s="347"/>
      <c r="G51" s="263"/>
      <c r="H51" s="263"/>
      <c r="I51" s="270">
        <v>3600</v>
      </c>
      <c r="J51" s="405" t="e">
        <f>I51/'통장내역(환율표)'!#REF!</f>
        <v>#REF!</v>
      </c>
      <c r="K51" s="263" t="e">
        <f t="shared" si="6"/>
        <v>#REF!</v>
      </c>
      <c r="L51" s="263" t="e">
        <f t="shared" si="7"/>
        <v>#REF!</v>
      </c>
      <c r="M51" s="404" t="s">
        <v>894</v>
      </c>
      <c r="N51" s="45" t="e">
        <f t="shared" si="8"/>
        <v>#REF!</v>
      </c>
    </row>
    <row r="52" spans="1:14" s="5" customFormat="1" ht="12.75" customHeight="1">
      <c r="A52" s="255">
        <v>45190</v>
      </c>
      <c r="B52" s="407" t="s">
        <v>893</v>
      </c>
      <c r="C52" s="347"/>
      <c r="D52" s="37">
        <v>15</v>
      </c>
      <c r="E52" s="347" t="s">
        <v>107</v>
      </c>
      <c r="F52" s="347"/>
      <c r="G52" s="263"/>
      <c r="H52" s="263"/>
      <c r="I52" s="270">
        <v>2699.61</v>
      </c>
      <c r="J52" s="405" t="e">
        <f>I52/'통장내역(환율표)'!#REF!</f>
        <v>#REF!</v>
      </c>
      <c r="K52" s="263" t="e">
        <f t="shared" si="6"/>
        <v>#REF!</v>
      </c>
      <c r="L52" s="263" t="e">
        <f t="shared" si="7"/>
        <v>#REF!</v>
      </c>
      <c r="M52" s="404" t="s">
        <v>894</v>
      </c>
      <c r="N52" s="45" t="e">
        <f t="shared" si="8"/>
        <v>#REF!</v>
      </c>
    </row>
    <row r="53" spans="1:14" s="5" customFormat="1" ht="13.5" customHeight="1">
      <c r="A53" s="255">
        <v>45190</v>
      </c>
      <c r="B53" s="407" t="s">
        <v>892</v>
      </c>
      <c r="C53" s="347"/>
      <c r="D53" s="37">
        <v>15</v>
      </c>
      <c r="E53" s="347" t="s">
        <v>107</v>
      </c>
      <c r="F53" s="347"/>
      <c r="G53" s="263"/>
      <c r="H53" s="263"/>
      <c r="I53" s="270">
        <v>300</v>
      </c>
      <c r="J53" s="405" t="e">
        <f>I53/'통장내역(환율표)'!#REF!</f>
        <v>#REF!</v>
      </c>
      <c r="K53" s="263" t="e">
        <f t="shared" si="6"/>
        <v>#REF!</v>
      </c>
      <c r="L53" s="263" t="e">
        <f t="shared" si="7"/>
        <v>#REF!</v>
      </c>
      <c r="M53" s="404" t="s">
        <v>894</v>
      </c>
      <c r="N53" s="45" t="e">
        <f t="shared" si="8"/>
        <v>#REF!</v>
      </c>
    </row>
    <row r="54" spans="1:14" s="5" customFormat="1" ht="13.5" customHeight="1">
      <c r="A54" s="255">
        <v>45190</v>
      </c>
      <c r="B54" s="407" t="s">
        <v>890</v>
      </c>
      <c r="C54" s="347"/>
      <c r="D54" s="37">
        <v>15</v>
      </c>
      <c r="E54" s="347" t="s">
        <v>107</v>
      </c>
      <c r="F54" s="347"/>
      <c r="G54" s="263"/>
      <c r="H54" s="263"/>
      <c r="I54" s="270">
        <v>11494.25</v>
      </c>
      <c r="J54" s="405" t="e">
        <f>I54/'통장내역(환율표)'!#REF!</f>
        <v>#REF!</v>
      </c>
      <c r="K54" s="263" t="e">
        <f t="shared" si="6"/>
        <v>#REF!</v>
      </c>
      <c r="L54" s="263" t="e">
        <f t="shared" si="7"/>
        <v>#REF!</v>
      </c>
      <c r="M54" s="347" t="s">
        <v>895</v>
      </c>
      <c r="N54" s="45" t="e">
        <f t="shared" si="8"/>
        <v>#REF!</v>
      </c>
    </row>
    <row r="55" spans="1:14" s="5" customFormat="1" ht="13.5" customHeight="1">
      <c r="A55" s="255">
        <v>45190</v>
      </c>
      <c r="B55" s="407" t="s">
        <v>928</v>
      </c>
      <c r="C55" s="347"/>
      <c r="D55" s="37">
        <v>15</v>
      </c>
      <c r="E55" s="347" t="s">
        <v>107</v>
      </c>
      <c r="F55" s="347"/>
      <c r="G55" s="263"/>
      <c r="H55" s="263"/>
      <c r="I55" s="270">
        <v>4597.7</v>
      </c>
      <c r="J55" s="405" t="e">
        <f>I55/'통장내역(환율표)'!#REF!</f>
        <v>#REF!</v>
      </c>
      <c r="K55" s="263" t="e">
        <f t="shared" si="6"/>
        <v>#REF!</v>
      </c>
      <c r="L55" s="263" t="e">
        <f t="shared" si="7"/>
        <v>#REF!</v>
      </c>
      <c r="M55" s="347" t="s">
        <v>895</v>
      </c>
      <c r="N55" s="45" t="e">
        <f t="shared" si="8"/>
        <v>#REF!</v>
      </c>
    </row>
    <row r="56" spans="1:14" s="5" customFormat="1" ht="13.5" customHeight="1">
      <c r="A56" s="255">
        <v>45190</v>
      </c>
      <c r="B56" s="407" t="s">
        <v>892</v>
      </c>
      <c r="C56" s="347"/>
      <c r="D56" s="37">
        <v>15</v>
      </c>
      <c r="E56" s="347" t="s">
        <v>107</v>
      </c>
      <c r="F56" s="347"/>
      <c r="G56" s="263"/>
      <c r="H56" s="263"/>
      <c r="I56" s="270">
        <v>300</v>
      </c>
      <c r="J56" s="405" t="e">
        <f>I56/'통장내역(환율표)'!#REF!</f>
        <v>#REF!</v>
      </c>
      <c r="K56" s="263" t="e">
        <f t="shared" si="6"/>
        <v>#REF!</v>
      </c>
      <c r="L56" s="263" t="e">
        <f t="shared" si="7"/>
        <v>#REF!</v>
      </c>
      <c r="M56" s="347"/>
      <c r="N56" s="45" t="e">
        <f t="shared" si="8"/>
        <v>#REF!</v>
      </c>
    </row>
    <row r="57" spans="1:14" s="5" customFormat="1" ht="13.5" customHeight="1">
      <c r="A57" s="255">
        <v>45190</v>
      </c>
      <c r="B57" s="407" t="s">
        <v>250</v>
      </c>
      <c r="C57" s="347"/>
      <c r="D57" s="37">
        <v>16</v>
      </c>
      <c r="E57" s="347" t="s">
        <v>107</v>
      </c>
      <c r="F57" s="347"/>
      <c r="G57" s="263"/>
      <c r="H57" s="263"/>
      <c r="I57" s="270">
        <v>12</v>
      </c>
      <c r="J57" s="405" t="e">
        <f>I57/'통장내역(환율표)'!#REF!</f>
        <v>#REF!</v>
      </c>
      <c r="K57" s="263" t="e">
        <f t="shared" si="6"/>
        <v>#REF!</v>
      </c>
      <c r="L57" s="263" t="e">
        <f t="shared" si="7"/>
        <v>#REF!</v>
      </c>
      <c r="M57" s="347"/>
      <c r="N57" s="45" t="e">
        <f t="shared" si="8"/>
        <v>#REF!</v>
      </c>
    </row>
    <row r="58" spans="1:14" s="5" customFormat="1" ht="13.5" customHeight="1">
      <c r="A58" s="255">
        <v>45190</v>
      </c>
      <c r="B58" s="407" t="s">
        <v>896</v>
      </c>
      <c r="C58" s="347"/>
      <c r="D58" s="37">
        <v>17</v>
      </c>
      <c r="E58" s="347" t="s">
        <v>107</v>
      </c>
      <c r="F58" s="347"/>
      <c r="G58" s="263"/>
      <c r="H58" s="263"/>
      <c r="I58" s="270">
        <v>183.8</v>
      </c>
      <c r="J58" s="405" t="e">
        <f>I58/'통장내역(환율표)'!#REF!</f>
        <v>#REF!</v>
      </c>
      <c r="K58" s="263" t="e">
        <f t="shared" si="6"/>
        <v>#REF!</v>
      </c>
      <c r="L58" s="263" t="e">
        <f t="shared" si="7"/>
        <v>#REF!</v>
      </c>
      <c r="M58" s="347"/>
      <c r="N58" s="45" t="e">
        <f t="shared" si="8"/>
        <v>#REF!</v>
      </c>
    </row>
    <row r="59" spans="1:14" s="5" customFormat="1" ht="13.5" customHeight="1">
      <c r="A59" s="255">
        <v>45190</v>
      </c>
      <c r="B59" s="407" t="s">
        <v>897</v>
      </c>
      <c r="C59" s="347"/>
      <c r="D59" s="37">
        <v>18</v>
      </c>
      <c r="E59" s="347" t="s">
        <v>146</v>
      </c>
      <c r="F59" s="347" t="s">
        <v>147</v>
      </c>
      <c r="G59" s="263"/>
      <c r="H59" s="263"/>
      <c r="I59" s="270">
        <v>620.79</v>
      </c>
      <c r="J59" s="405" t="e">
        <f>I59/'통장내역(환율표)'!#REF!</f>
        <v>#REF!</v>
      </c>
      <c r="K59" s="263" t="e">
        <f t="shared" si="6"/>
        <v>#REF!</v>
      </c>
      <c r="L59" s="263" t="e">
        <f t="shared" si="7"/>
        <v>#REF!</v>
      </c>
      <c r="M59" s="347"/>
      <c r="N59" s="45" t="e">
        <f t="shared" si="8"/>
        <v>#REF!</v>
      </c>
    </row>
    <row r="60" spans="1:14" s="5" customFormat="1" ht="13.5" customHeight="1">
      <c r="A60" s="255">
        <v>45190</v>
      </c>
      <c r="B60" s="407" t="s">
        <v>250</v>
      </c>
      <c r="C60" s="347"/>
      <c r="D60" s="37">
        <v>19</v>
      </c>
      <c r="E60" s="347" t="s">
        <v>107</v>
      </c>
      <c r="F60" s="347"/>
      <c r="G60" s="263"/>
      <c r="H60" s="263"/>
      <c r="I60" s="270">
        <v>3.6</v>
      </c>
      <c r="J60" s="405" t="e">
        <f>I60/'통장내역(환율표)'!#REF!</f>
        <v>#REF!</v>
      </c>
      <c r="K60" s="263" t="e">
        <f t="shared" si="6"/>
        <v>#REF!</v>
      </c>
      <c r="L60" s="263" t="e">
        <f t="shared" si="7"/>
        <v>#REF!</v>
      </c>
      <c r="M60" s="347"/>
      <c r="N60" s="45" t="e">
        <f t="shared" si="8"/>
        <v>#REF!</v>
      </c>
    </row>
    <row r="61" spans="1:14" s="5" customFormat="1" ht="13.5" customHeight="1">
      <c r="A61" s="255">
        <v>45190</v>
      </c>
      <c r="B61" s="335" t="s">
        <v>715</v>
      </c>
      <c r="C61" s="347"/>
      <c r="D61" s="37">
        <v>20</v>
      </c>
      <c r="E61" s="347" t="s">
        <v>146</v>
      </c>
      <c r="F61" s="347" t="s">
        <v>147</v>
      </c>
      <c r="G61" s="263"/>
      <c r="H61" s="263"/>
      <c r="I61" s="270">
        <v>3538</v>
      </c>
      <c r="J61" s="405" t="e">
        <f>I61/'통장내역(환율표)'!#REF!</f>
        <v>#REF!</v>
      </c>
      <c r="K61" s="263" t="e">
        <f t="shared" si="6"/>
        <v>#REF!</v>
      </c>
      <c r="L61" s="263" t="e">
        <f t="shared" si="7"/>
        <v>#REF!</v>
      </c>
      <c r="M61" s="347"/>
      <c r="N61" s="45" t="e">
        <f t="shared" si="8"/>
        <v>#REF!</v>
      </c>
    </row>
    <row r="62" spans="1:14" s="5" customFormat="1" ht="13.5" customHeight="1">
      <c r="A62" s="255">
        <v>45190</v>
      </c>
      <c r="B62" s="335" t="s">
        <v>714</v>
      </c>
      <c r="C62" s="347"/>
      <c r="D62" s="37">
        <v>21</v>
      </c>
      <c r="E62" s="347" t="s">
        <v>146</v>
      </c>
      <c r="F62" s="347" t="s">
        <v>147</v>
      </c>
      <c r="G62" s="263"/>
      <c r="H62" s="263"/>
      <c r="I62" s="270">
        <v>1009</v>
      </c>
      <c r="J62" s="405" t="e">
        <f>I62/'통장내역(환율표)'!#REF!</f>
        <v>#REF!</v>
      </c>
      <c r="K62" s="263" t="e">
        <f t="shared" si="6"/>
        <v>#REF!</v>
      </c>
      <c r="L62" s="263" t="e">
        <f t="shared" si="7"/>
        <v>#REF!</v>
      </c>
      <c r="M62" s="347"/>
      <c r="N62" s="45" t="e">
        <f t="shared" si="8"/>
        <v>#REF!</v>
      </c>
    </row>
    <row r="63" spans="1:14" s="5" customFormat="1" ht="13.5" customHeight="1">
      <c r="A63" s="255">
        <v>45190</v>
      </c>
      <c r="B63" s="335" t="s">
        <v>716</v>
      </c>
      <c r="C63" s="347"/>
      <c r="D63" s="37">
        <v>22</v>
      </c>
      <c r="E63" s="347" t="s">
        <v>146</v>
      </c>
      <c r="F63" s="347" t="s">
        <v>147</v>
      </c>
      <c r="G63" s="263"/>
      <c r="H63" s="263"/>
      <c r="I63" s="270">
        <v>268</v>
      </c>
      <c r="J63" s="405" t="e">
        <f>I63/'통장내역(환율표)'!#REF!</f>
        <v>#REF!</v>
      </c>
      <c r="K63" s="263" t="e">
        <f t="shared" si="6"/>
        <v>#REF!</v>
      </c>
      <c r="L63" s="263" t="e">
        <f t="shared" si="7"/>
        <v>#REF!</v>
      </c>
      <c r="M63" s="347"/>
      <c r="N63" s="45" t="e">
        <f t="shared" si="8"/>
        <v>#REF!</v>
      </c>
    </row>
    <row r="64" spans="1:14" s="5" customFormat="1" ht="13.5" customHeight="1">
      <c r="A64" s="255">
        <v>45190</v>
      </c>
      <c r="B64" s="313" t="s">
        <v>250</v>
      </c>
      <c r="C64" s="347"/>
      <c r="D64" s="37">
        <v>23</v>
      </c>
      <c r="E64" s="347" t="s">
        <v>107</v>
      </c>
      <c r="F64" s="347"/>
      <c r="G64" s="263"/>
      <c r="H64" s="263"/>
      <c r="I64" s="270">
        <v>3.6</v>
      </c>
      <c r="J64" s="405" t="e">
        <f>I64/'통장내역(환율표)'!#REF!</f>
        <v>#REF!</v>
      </c>
      <c r="K64" s="263" t="e">
        <f t="shared" si="6"/>
        <v>#REF!</v>
      </c>
      <c r="L64" s="263" t="e">
        <f t="shared" si="7"/>
        <v>#REF!</v>
      </c>
      <c r="M64" s="347"/>
      <c r="N64" s="45" t="e">
        <f t="shared" si="8"/>
        <v>#REF!</v>
      </c>
    </row>
    <row r="65" spans="1:14" s="5" customFormat="1" ht="13.5" customHeight="1">
      <c r="A65" s="255">
        <v>45190</v>
      </c>
      <c r="B65" s="365" t="s">
        <v>898</v>
      </c>
      <c r="C65" s="347"/>
      <c r="D65" s="37">
        <v>24</v>
      </c>
      <c r="E65" s="347" t="s">
        <v>146</v>
      </c>
      <c r="F65" s="347" t="s">
        <v>147</v>
      </c>
      <c r="G65" s="263"/>
      <c r="H65" s="263"/>
      <c r="I65" s="270">
        <v>1171</v>
      </c>
      <c r="J65" s="405" t="e">
        <f>I65/'통장내역(환율표)'!#REF!</f>
        <v>#REF!</v>
      </c>
      <c r="K65" s="263" t="e">
        <f t="shared" si="6"/>
        <v>#REF!</v>
      </c>
      <c r="L65" s="263" t="e">
        <f t="shared" si="7"/>
        <v>#REF!</v>
      </c>
      <c r="M65" s="347"/>
      <c r="N65" s="45" t="e">
        <f t="shared" si="8"/>
        <v>#REF!</v>
      </c>
    </row>
    <row r="66" spans="1:14" s="5" customFormat="1" ht="13.5" customHeight="1">
      <c r="A66" s="255">
        <v>45190</v>
      </c>
      <c r="B66" s="365" t="s">
        <v>899</v>
      </c>
      <c r="C66" s="347"/>
      <c r="D66" s="37">
        <v>25</v>
      </c>
      <c r="E66" s="347" t="s">
        <v>146</v>
      </c>
      <c r="F66" s="347" t="s">
        <v>147</v>
      </c>
      <c r="G66" s="263"/>
      <c r="H66" s="263"/>
      <c r="I66" s="270">
        <v>4754</v>
      </c>
      <c r="J66" s="405" t="e">
        <f>I66/'통장내역(환율표)'!#REF!</f>
        <v>#REF!</v>
      </c>
      <c r="K66" s="263" t="e">
        <f t="shared" si="6"/>
        <v>#REF!</v>
      </c>
      <c r="L66" s="263" t="e">
        <f t="shared" si="7"/>
        <v>#REF!</v>
      </c>
      <c r="M66" s="347"/>
      <c r="N66" s="45" t="e">
        <f t="shared" si="8"/>
        <v>#REF!</v>
      </c>
    </row>
    <row r="67" spans="1:14" s="5" customFormat="1" ht="13.5" customHeight="1">
      <c r="A67" s="255">
        <v>45190</v>
      </c>
      <c r="B67" s="365" t="s">
        <v>853</v>
      </c>
      <c r="C67" s="347"/>
      <c r="D67" s="37">
        <v>26</v>
      </c>
      <c r="E67" s="347" t="s">
        <v>146</v>
      </c>
      <c r="F67" s="347" t="s">
        <v>147</v>
      </c>
      <c r="G67" s="263"/>
      <c r="H67" s="263"/>
      <c r="I67" s="270">
        <v>3414.35</v>
      </c>
      <c r="J67" s="405" t="e">
        <f>I67/'통장내역(환율표)'!#REF!</f>
        <v>#REF!</v>
      </c>
      <c r="K67" s="263" t="e">
        <f t="shared" si="6"/>
        <v>#REF!</v>
      </c>
      <c r="L67" s="263" t="e">
        <f t="shared" si="7"/>
        <v>#REF!</v>
      </c>
      <c r="M67" s="347"/>
      <c r="N67" s="45" t="e">
        <f t="shared" si="8"/>
        <v>#REF!</v>
      </c>
    </row>
    <row r="68" spans="1:14" s="5" customFormat="1" ht="13.5" customHeight="1">
      <c r="A68" s="255">
        <v>45190</v>
      </c>
      <c r="B68" s="365" t="s">
        <v>852</v>
      </c>
      <c r="C68" s="347"/>
      <c r="D68" s="37">
        <v>27</v>
      </c>
      <c r="E68" s="347" t="s">
        <v>107</v>
      </c>
      <c r="F68" s="347"/>
      <c r="G68" s="263"/>
      <c r="H68" s="263"/>
      <c r="I68" s="270">
        <v>224.1</v>
      </c>
      <c r="J68" s="405" t="e">
        <f>I68/'통장내역(환율표)'!#REF!</f>
        <v>#REF!</v>
      </c>
      <c r="K68" s="263" t="e">
        <f t="shared" si="6"/>
        <v>#REF!</v>
      </c>
      <c r="L68" s="263" t="e">
        <f t="shared" si="7"/>
        <v>#REF!</v>
      </c>
      <c r="M68" s="347"/>
      <c r="N68" s="45" t="e">
        <f t="shared" si="8"/>
        <v>#REF!</v>
      </c>
    </row>
    <row r="69" spans="1:14" s="5" customFormat="1" ht="13.5" customHeight="1">
      <c r="A69" s="255">
        <v>45190</v>
      </c>
      <c r="B69" s="365" t="s">
        <v>851</v>
      </c>
      <c r="C69" s="347"/>
      <c r="D69" s="37">
        <v>28</v>
      </c>
      <c r="E69" s="347" t="s">
        <v>116</v>
      </c>
      <c r="F69" s="347" t="s">
        <v>140</v>
      </c>
      <c r="G69" s="263"/>
      <c r="H69" s="263"/>
      <c r="I69" s="270">
        <v>98.5</v>
      </c>
      <c r="J69" s="405" t="e">
        <f>I69/'통장내역(환율표)'!#REF!</f>
        <v>#REF!</v>
      </c>
      <c r="K69" s="263" t="e">
        <f t="shared" si="6"/>
        <v>#REF!</v>
      </c>
      <c r="L69" s="263" t="e">
        <f t="shared" si="7"/>
        <v>#REF!</v>
      </c>
      <c r="M69" s="347"/>
      <c r="N69" s="45" t="e">
        <f t="shared" si="8"/>
        <v>#REF!</v>
      </c>
    </row>
    <row r="70" spans="1:14" s="5" customFormat="1" ht="13.5" customHeight="1">
      <c r="A70" s="255">
        <v>45190</v>
      </c>
      <c r="B70" s="313" t="s">
        <v>250</v>
      </c>
      <c r="C70" s="347"/>
      <c r="D70" s="37">
        <v>29</v>
      </c>
      <c r="E70" s="347" t="s">
        <v>107</v>
      </c>
      <c r="F70" s="347"/>
      <c r="G70" s="263"/>
      <c r="H70" s="263"/>
      <c r="I70" s="270">
        <v>3.6</v>
      </c>
      <c r="J70" s="405" t="e">
        <f>I70/'통장내역(환율표)'!#REF!</f>
        <v>#REF!</v>
      </c>
      <c r="K70" s="263" t="e">
        <f t="shared" si="6"/>
        <v>#REF!</v>
      </c>
      <c r="L70" s="263" t="e">
        <f t="shared" si="7"/>
        <v>#REF!</v>
      </c>
      <c r="M70" s="347"/>
      <c r="N70" s="45" t="e">
        <f t="shared" si="8"/>
        <v>#REF!</v>
      </c>
    </row>
    <row r="71" spans="1:14" s="5" customFormat="1" ht="13.5" customHeight="1">
      <c r="A71" s="255">
        <v>45190</v>
      </c>
      <c r="B71" s="365" t="s">
        <v>879</v>
      </c>
      <c r="C71" s="347"/>
      <c r="D71" s="37">
        <v>30</v>
      </c>
      <c r="E71" s="347" t="s">
        <v>125</v>
      </c>
      <c r="F71" s="347" t="s">
        <v>145</v>
      </c>
      <c r="G71" s="263"/>
      <c r="H71" s="263"/>
      <c r="I71" s="270">
        <v>4320.2700000000004</v>
      </c>
      <c r="J71" s="405" t="e">
        <f>I71/'통장내역(환율표)'!#REF!</f>
        <v>#REF!</v>
      </c>
      <c r="K71" s="263" t="e">
        <f t="shared" si="6"/>
        <v>#REF!</v>
      </c>
      <c r="L71" s="263" t="e">
        <f t="shared" si="7"/>
        <v>#REF!</v>
      </c>
      <c r="M71" s="347"/>
      <c r="N71" s="45" t="e">
        <f t="shared" si="8"/>
        <v>#REF!</v>
      </c>
    </row>
    <row r="72" spans="1:14" s="5" customFormat="1" ht="13.5" customHeight="1">
      <c r="A72" s="255">
        <v>45190</v>
      </c>
      <c r="B72" s="313" t="s">
        <v>250</v>
      </c>
      <c r="C72" s="347"/>
      <c r="D72" s="37">
        <v>31</v>
      </c>
      <c r="E72" s="347" t="s">
        <v>107</v>
      </c>
      <c r="F72" s="347"/>
      <c r="G72" s="263"/>
      <c r="H72" s="263"/>
      <c r="I72" s="270">
        <v>3.6</v>
      </c>
      <c r="J72" s="405" t="e">
        <f>I72/'통장내역(환율표)'!#REF!</f>
        <v>#REF!</v>
      </c>
      <c r="K72" s="263" t="e">
        <f t="shared" si="6"/>
        <v>#REF!</v>
      </c>
      <c r="L72" s="263" t="e">
        <f t="shared" si="7"/>
        <v>#REF!</v>
      </c>
      <c r="M72" s="347"/>
      <c r="N72" s="45" t="e">
        <f t="shared" si="8"/>
        <v>#REF!</v>
      </c>
    </row>
    <row r="73" spans="1:14" s="5" customFormat="1" ht="13.5" customHeight="1">
      <c r="A73" s="255">
        <v>45190</v>
      </c>
      <c r="B73" s="365" t="s">
        <v>880</v>
      </c>
      <c r="C73" s="347"/>
      <c r="D73" s="37">
        <v>32</v>
      </c>
      <c r="E73" s="347" t="s">
        <v>146</v>
      </c>
      <c r="F73" s="347" t="s">
        <v>147</v>
      </c>
      <c r="G73" s="263"/>
      <c r="H73" s="263"/>
      <c r="I73" s="270">
        <v>248.17</v>
      </c>
      <c r="J73" s="405" t="e">
        <f>I73/'통장내역(환율표)'!#REF!</f>
        <v>#REF!</v>
      </c>
      <c r="K73" s="263" t="e">
        <f t="shared" si="6"/>
        <v>#REF!</v>
      </c>
      <c r="L73" s="263" t="e">
        <f t="shared" si="7"/>
        <v>#REF!</v>
      </c>
      <c r="M73" s="347"/>
      <c r="N73" s="45" t="e">
        <f t="shared" si="8"/>
        <v>#REF!</v>
      </c>
    </row>
    <row r="74" spans="1:14" s="5" customFormat="1" ht="13.5" customHeight="1">
      <c r="A74" s="255">
        <v>45190</v>
      </c>
      <c r="B74" s="313" t="s">
        <v>250</v>
      </c>
      <c r="C74" s="347"/>
      <c r="D74" s="37">
        <v>33</v>
      </c>
      <c r="E74" s="347" t="s">
        <v>107</v>
      </c>
      <c r="F74" s="347"/>
      <c r="G74" s="263"/>
      <c r="H74" s="263"/>
      <c r="I74" s="270">
        <v>3.6</v>
      </c>
      <c r="J74" s="405" t="e">
        <f>I74/'통장내역(환율표)'!#REF!</f>
        <v>#REF!</v>
      </c>
      <c r="K74" s="263" t="e">
        <f t="shared" si="6"/>
        <v>#REF!</v>
      </c>
      <c r="L74" s="263" t="e">
        <f t="shared" si="7"/>
        <v>#REF!</v>
      </c>
      <c r="M74" s="347"/>
      <c r="N74" s="45" t="e">
        <f t="shared" si="8"/>
        <v>#REF!</v>
      </c>
    </row>
    <row r="75" spans="1:14" s="5" customFormat="1" ht="13.5" customHeight="1">
      <c r="A75" s="255">
        <v>45190</v>
      </c>
      <c r="B75" s="365" t="s">
        <v>881</v>
      </c>
      <c r="C75" s="347"/>
      <c r="D75" s="37">
        <v>34</v>
      </c>
      <c r="E75" s="347" t="s">
        <v>116</v>
      </c>
      <c r="F75" s="347" t="s">
        <v>140</v>
      </c>
      <c r="G75" s="263"/>
      <c r="H75" s="263"/>
      <c r="I75" s="270">
        <v>597</v>
      </c>
      <c r="J75" s="405" t="e">
        <f>I75/'통장내역(환율표)'!#REF!</f>
        <v>#REF!</v>
      </c>
      <c r="K75" s="263" t="e">
        <f t="shared" si="6"/>
        <v>#REF!</v>
      </c>
      <c r="L75" s="263" t="e">
        <f t="shared" si="7"/>
        <v>#REF!</v>
      </c>
      <c r="M75" s="347"/>
      <c r="N75" s="45" t="e">
        <f t="shared" si="8"/>
        <v>#REF!</v>
      </c>
    </row>
    <row r="76" spans="1:14" s="5" customFormat="1" ht="13.5" customHeight="1">
      <c r="A76" s="255">
        <v>45190</v>
      </c>
      <c r="B76" s="313" t="s">
        <v>250</v>
      </c>
      <c r="C76" s="347"/>
      <c r="D76" s="37">
        <v>35</v>
      </c>
      <c r="E76" s="347" t="s">
        <v>107</v>
      </c>
      <c r="F76" s="347"/>
      <c r="G76" s="263"/>
      <c r="H76" s="263"/>
      <c r="I76" s="270">
        <v>3.6</v>
      </c>
      <c r="J76" s="405" t="e">
        <f>I76/'통장내역(환율표)'!#REF!</f>
        <v>#REF!</v>
      </c>
      <c r="K76" s="263" t="e">
        <f t="shared" si="6"/>
        <v>#REF!</v>
      </c>
      <c r="L76" s="263" t="e">
        <f t="shared" si="7"/>
        <v>#REF!</v>
      </c>
      <c r="M76" s="347"/>
      <c r="N76" s="45" t="e">
        <f t="shared" si="8"/>
        <v>#REF!</v>
      </c>
    </row>
    <row r="77" spans="1:14" s="5" customFormat="1" ht="13.5" customHeight="1">
      <c r="A77" s="255">
        <v>45190</v>
      </c>
      <c r="B77" s="365" t="s">
        <v>882</v>
      </c>
      <c r="C77" s="347"/>
      <c r="D77" s="37">
        <v>36</v>
      </c>
      <c r="E77" s="347" t="s">
        <v>146</v>
      </c>
      <c r="F77" s="347" t="s">
        <v>147</v>
      </c>
      <c r="G77" s="263"/>
      <c r="H77" s="263"/>
      <c r="I77" s="270">
        <v>6653</v>
      </c>
      <c r="J77" s="405" t="e">
        <f>I77/'통장내역(환율표)'!#REF!</f>
        <v>#REF!</v>
      </c>
      <c r="K77" s="263" t="e">
        <f t="shared" si="6"/>
        <v>#REF!</v>
      </c>
      <c r="L77" s="263" t="e">
        <f t="shared" si="7"/>
        <v>#REF!</v>
      </c>
      <c r="M77" s="347"/>
      <c r="N77" s="45" t="e">
        <f t="shared" si="8"/>
        <v>#REF!</v>
      </c>
    </row>
    <row r="78" spans="1:14" s="5" customFormat="1" ht="13.5" customHeight="1">
      <c r="A78" s="255">
        <v>45190</v>
      </c>
      <c r="B78" s="313" t="s">
        <v>250</v>
      </c>
      <c r="C78" s="347"/>
      <c r="D78" s="37">
        <v>37</v>
      </c>
      <c r="E78" s="347" t="s">
        <v>107</v>
      </c>
      <c r="F78" s="347"/>
      <c r="G78" s="263"/>
      <c r="H78" s="263"/>
      <c r="I78" s="270">
        <v>3.6</v>
      </c>
      <c r="J78" s="405" t="e">
        <f>I78/'통장내역(환율표)'!#REF!</f>
        <v>#REF!</v>
      </c>
      <c r="K78" s="263" t="e">
        <f t="shared" si="6"/>
        <v>#REF!</v>
      </c>
      <c r="L78" s="263" t="e">
        <f t="shared" si="7"/>
        <v>#REF!</v>
      </c>
      <c r="M78" s="347"/>
      <c r="N78" s="45" t="e">
        <f t="shared" si="8"/>
        <v>#REF!</v>
      </c>
    </row>
    <row r="79" spans="1:14" s="5" customFormat="1" ht="13.5" customHeight="1">
      <c r="A79" s="255">
        <v>45190</v>
      </c>
      <c r="B79" s="365" t="s">
        <v>855</v>
      </c>
      <c r="C79" s="347"/>
      <c r="D79" s="37">
        <v>38</v>
      </c>
      <c r="E79" s="347" t="s">
        <v>116</v>
      </c>
      <c r="F79" s="347" t="s">
        <v>140</v>
      </c>
      <c r="G79" s="263"/>
      <c r="H79" s="263"/>
      <c r="I79" s="270">
        <v>396.5</v>
      </c>
      <c r="J79" s="405" t="e">
        <f>I79/'통장내역(환율표)'!#REF!</f>
        <v>#REF!</v>
      </c>
      <c r="K79" s="263" t="e">
        <f t="shared" si="6"/>
        <v>#REF!</v>
      </c>
      <c r="L79" s="263" t="e">
        <f t="shared" si="7"/>
        <v>#REF!</v>
      </c>
      <c r="M79" s="347"/>
      <c r="N79" s="45" t="e">
        <f t="shared" si="8"/>
        <v>#REF!</v>
      </c>
    </row>
    <row r="80" spans="1:14" s="5" customFormat="1" ht="13.5" customHeight="1">
      <c r="A80" s="255">
        <v>45190</v>
      </c>
      <c r="B80" s="365" t="s">
        <v>854</v>
      </c>
      <c r="C80" s="347"/>
      <c r="D80" s="37">
        <v>39</v>
      </c>
      <c r="E80" s="347" t="s">
        <v>116</v>
      </c>
      <c r="F80" s="347" t="s">
        <v>140</v>
      </c>
      <c r="G80" s="263"/>
      <c r="H80" s="263"/>
      <c r="I80" s="270">
        <v>499</v>
      </c>
      <c r="J80" s="405" t="e">
        <f>I80/'통장내역(환율표)'!#REF!</f>
        <v>#REF!</v>
      </c>
      <c r="K80" s="263" t="e">
        <f t="shared" si="6"/>
        <v>#REF!</v>
      </c>
      <c r="L80" s="263" t="e">
        <f t="shared" si="7"/>
        <v>#REF!</v>
      </c>
      <c r="M80" s="347"/>
      <c r="N80" s="45" t="e">
        <f t="shared" si="8"/>
        <v>#REF!</v>
      </c>
    </row>
    <row r="81" spans="1:15" s="5" customFormat="1" ht="13.5" customHeight="1">
      <c r="A81" s="255">
        <v>45190</v>
      </c>
      <c r="B81" s="313" t="s">
        <v>250</v>
      </c>
      <c r="C81" s="347"/>
      <c r="D81" s="37">
        <v>40</v>
      </c>
      <c r="E81" s="347" t="s">
        <v>107</v>
      </c>
      <c r="F81" s="347"/>
      <c r="G81" s="263"/>
      <c r="H81" s="263"/>
      <c r="I81" s="270">
        <v>3.6</v>
      </c>
      <c r="J81" s="405" t="e">
        <f>I81/'통장내역(환율표)'!#REF!</f>
        <v>#REF!</v>
      </c>
      <c r="K81" s="263" t="e">
        <f t="shared" si="6"/>
        <v>#REF!</v>
      </c>
      <c r="L81" s="263" t="e">
        <f t="shared" si="7"/>
        <v>#REF!</v>
      </c>
      <c r="M81" s="347"/>
      <c r="N81" s="45" t="e">
        <f t="shared" si="8"/>
        <v>#REF!</v>
      </c>
    </row>
    <row r="82" spans="1:15" s="5" customFormat="1" ht="13.5" customHeight="1">
      <c r="A82" s="255">
        <v>45190</v>
      </c>
      <c r="B82" s="365" t="s">
        <v>883</v>
      </c>
      <c r="C82" s="347"/>
      <c r="D82" s="37">
        <v>41</v>
      </c>
      <c r="E82" s="347" t="s">
        <v>146</v>
      </c>
      <c r="F82" s="347" t="s">
        <v>147</v>
      </c>
      <c r="G82" s="263"/>
      <c r="H82" s="263"/>
      <c r="I82" s="270">
        <f t="array" ref="I82">[2]!'!내역_23년9월!개체 1!교통비 정산!R69C14'</f>
        <v>3189.7</v>
      </c>
      <c r="J82" s="405" t="e">
        <f>I82/'통장내역(환율표)'!#REF!</f>
        <v>#REF!</v>
      </c>
      <c r="K82" s="263" t="e">
        <f t="shared" si="6"/>
        <v>#REF!</v>
      </c>
      <c r="L82" s="263" t="e">
        <f t="shared" si="7"/>
        <v>#REF!</v>
      </c>
      <c r="M82" s="347"/>
      <c r="N82" s="45" t="e">
        <f t="shared" si="8"/>
        <v>#REF!</v>
      </c>
    </row>
    <row r="83" spans="1:15" s="5" customFormat="1" ht="13.5" customHeight="1">
      <c r="A83" s="255">
        <v>45190</v>
      </c>
      <c r="B83" s="313" t="s">
        <v>250</v>
      </c>
      <c r="C83" s="347"/>
      <c r="D83" s="37">
        <v>42</v>
      </c>
      <c r="E83" s="347" t="s">
        <v>107</v>
      </c>
      <c r="F83" s="347"/>
      <c r="G83" s="263"/>
      <c r="H83" s="263"/>
      <c r="I83" s="270">
        <v>3.6</v>
      </c>
      <c r="J83" s="405" t="e">
        <f>I83/'통장내역(환율표)'!#REF!</f>
        <v>#REF!</v>
      </c>
      <c r="K83" s="263" t="e">
        <f t="shared" si="6"/>
        <v>#REF!</v>
      </c>
      <c r="L83" s="263" t="e">
        <f t="shared" si="7"/>
        <v>#REF!</v>
      </c>
      <c r="M83" s="347"/>
      <c r="N83" s="45" t="e">
        <f t="shared" si="8"/>
        <v>#REF!</v>
      </c>
    </row>
    <row r="84" spans="1:15" s="5" customFormat="1" ht="13.5" customHeight="1">
      <c r="A84" s="255">
        <v>45190</v>
      </c>
      <c r="B84" s="365" t="s">
        <v>884</v>
      </c>
      <c r="C84" s="347"/>
      <c r="D84" s="37">
        <v>43</v>
      </c>
      <c r="E84" s="347" t="s">
        <v>125</v>
      </c>
      <c r="F84" s="347" t="s">
        <v>145</v>
      </c>
      <c r="G84" s="263"/>
      <c r="H84" s="263"/>
      <c r="I84" s="270">
        <v>9851.5</v>
      </c>
      <c r="J84" s="405" t="e">
        <f>I84/'통장내역(환율표)'!#REF!</f>
        <v>#REF!</v>
      </c>
      <c r="K84" s="263" t="e">
        <f t="shared" si="6"/>
        <v>#REF!</v>
      </c>
      <c r="L84" s="263" t="e">
        <f t="shared" si="7"/>
        <v>#REF!</v>
      </c>
      <c r="M84" s="347"/>
      <c r="N84" s="45" t="e">
        <f t="shared" si="8"/>
        <v>#REF!</v>
      </c>
    </row>
    <row r="85" spans="1:15" s="5" customFormat="1" ht="13.5" customHeight="1">
      <c r="A85" s="255">
        <v>45190</v>
      </c>
      <c r="B85" s="365" t="s">
        <v>250</v>
      </c>
      <c r="C85" s="347"/>
      <c r="D85" s="37">
        <v>44</v>
      </c>
      <c r="E85" s="347" t="s">
        <v>107</v>
      </c>
      <c r="F85" s="347"/>
      <c r="G85" s="263"/>
      <c r="H85" s="263"/>
      <c r="I85" s="270">
        <v>3.6</v>
      </c>
      <c r="J85" s="405" t="e">
        <f>I85/'통장내역(환율표)'!#REF!</f>
        <v>#REF!</v>
      </c>
      <c r="K85" s="263" t="e">
        <f t="shared" si="6"/>
        <v>#REF!</v>
      </c>
      <c r="L85" s="263" t="e">
        <f t="shared" si="7"/>
        <v>#REF!</v>
      </c>
      <c r="M85" s="347"/>
      <c r="N85" s="45" t="e">
        <f t="shared" si="8"/>
        <v>#REF!</v>
      </c>
    </row>
    <row r="86" spans="1:15" s="5" customFormat="1" ht="13.5" customHeight="1">
      <c r="A86" s="255">
        <v>45190</v>
      </c>
      <c r="B86" s="365" t="s">
        <v>858</v>
      </c>
      <c r="C86" s="347"/>
      <c r="D86" s="37">
        <v>45</v>
      </c>
      <c r="E86" s="347" t="s">
        <v>107</v>
      </c>
      <c r="F86" s="347"/>
      <c r="G86" s="263"/>
      <c r="H86" s="263"/>
      <c r="I86" s="270">
        <v>300</v>
      </c>
      <c r="J86" s="405" t="e">
        <f>I86/'통장내역(환율표)'!#REF!</f>
        <v>#REF!</v>
      </c>
      <c r="K86" s="263" t="e">
        <f t="shared" si="6"/>
        <v>#REF!</v>
      </c>
      <c r="L86" s="263" t="e">
        <f t="shared" si="7"/>
        <v>#REF!</v>
      </c>
      <c r="M86" s="347"/>
      <c r="N86" s="45" t="e">
        <f t="shared" si="8"/>
        <v>#REF!</v>
      </c>
    </row>
    <row r="87" spans="1:15" s="5" customFormat="1" ht="13.5" customHeight="1">
      <c r="A87" s="255">
        <v>45190</v>
      </c>
      <c r="B87" s="365" t="s">
        <v>857</v>
      </c>
      <c r="C87" s="347"/>
      <c r="D87" s="37">
        <v>46</v>
      </c>
      <c r="E87" s="347" t="s">
        <v>107</v>
      </c>
      <c r="F87" s="347"/>
      <c r="G87" s="263"/>
      <c r="H87" s="263"/>
      <c r="I87" s="270">
        <v>653.6</v>
      </c>
      <c r="J87" s="405" t="e">
        <f>I87/'통장내역(환율표)'!#REF!</f>
        <v>#REF!</v>
      </c>
      <c r="K87" s="263" t="e">
        <f t="shared" si="6"/>
        <v>#REF!</v>
      </c>
      <c r="L87" s="263" t="e">
        <f t="shared" si="7"/>
        <v>#REF!</v>
      </c>
      <c r="M87" s="347"/>
      <c r="N87" s="45" t="e">
        <f t="shared" si="8"/>
        <v>#REF!</v>
      </c>
    </row>
    <row r="88" spans="1:15" s="5" customFormat="1" ht="13.5" customHeight="1">
      <c r="A88" s="255">
        <v>45190</v>
      </c>
      <c r="B88" s="365" t="s">
        <v>900</v>
      </c>
      <c r="C88" s="347"/>
      <c r="D88" s="37">
        <v>47</v>
      </c>
      <c r="E88" s="347" t="s">
        <v>107</v>
      </c>
      <c r="F88" s="347"/>
      <c r="G88" s="263"/>
      <c r="H88" s="263"/>
      <c r="I88" s="270">
        <v>358</v>
      </c>
      <c r="J88" s="405" t="e">
        <f>I88/'통장내역(환율표)'!#REF!</f>
        <v>#REF!</v>
      </c>
      <c r="K88" s="263" t="e">
        <f t="shared" si="6"/>
        <v>#REF!</v>
      </c>
      <c r="L88" s="263" t="e">
        <f t="shared" si="7"/>
        <v>#REF!</v>
      </c>
      <c r="M88" s="347"/>
      <c r="N88" s="45" t="e">
        <f t="shared" si="8"/>
        <v>#REF!</v>
      </c>
    </row>
    <row r="89" spans="1:15" s="5" customFormat="1" ht="13.5" customHeight="1">
      <c r="A89" s="255">
        <v>45190</v>
      </c>
      <c r="B89" s="365" t="s">
        <v>901</v>
      </c>
      <c r="C89" s="347"/>
      <c r="D89" s="37">
        <v>48</v>
      </c>
      <c r="E89" s="347" t="s">
        <v>107</v>
      </c>
      <c r="F89" s="347"/>
      <c r="G89" s="263"/>
      <c r="H89" s="263"/>
      <c r="I89" s="270">
        <v>209</v>
      </c>
      <c r="J89" s="405" t="e">
        <f>I89/'통장내역(환율표)'!#REF!</f>
        <v>#REF!</v>
      </c>
      <c r="K89" s="263" t="e">
        <f t="shared" si="6"/>
        <v>#REF!</v>
      </c>
      <c r="L89" s="263" t="e">
        <f t="shared" si="7"/>
        <v>#REF!</v>
      </c>
      <c r="M89" s="347"/>
      <c r="N89" s="45" t="e">
        <f t="shared" si="8"/>
        <v>#REF!</v>
      </c>
    </row>
    <row r="90" spans="1:15" s="5" customFormat="1" ht="13.5" customHeight="1">
      <c r="A90" s="255">
        <v>45190</v>
      </c>
      <c r="B90" s="365" t="s">
        <v>902</v>
      </c>
      <c r="C90" s="347"/>
      <c r="D90" s="37">
        <v>49</v>
      </c>
      <c r="E90" s="347" t="s">
        <v>107</v>
      </c>
      <c r="F90" s="347"/>
      <c r="G90" s="263"/>
      <c r="H90" s="263"/>
      <c r="I90" s="270">
        <v>503</v>
      </c>
      <c r="J90" s="405" t="e">
        <f>I90/'통장내역(환율표)'!#REF!</f>
        <v>#REF!</v>
      </c>
      <c r="K90" s="263" t="e">
        <f t="shared" si="6"/>
        <v>#REF!</v>
      </c>
      <c r="L90" s="263" t="e">
        <f t="shared" si="7"/>
        <v>#REF!</v>
      </c>
      <c r="M90" s="347"/>
      <c r="N90" s="45" t="e">
        <f t="shared" si="8"/>
        <v>#REF!</v>
      </c>
    </row>
    <row r="91" spans="1:15" s="5" customFormat="1" ht="13.5" customHeight="1">
      <c r="A91" s="255">
        <v>45190</v>
      </c>
      <c r="B91" s="365" t="s">
        <v>903</v>
      </c>
      <c r="C91" s="347"/>
      <c r="D91" s="37">
        <v>50</v>
      </c>
      <c r="E91" s="347" t="s">
        <v>107</v>
      </c>
      <c r="F91" s="347"/>
      <c r="G91" s="263"/>
      <c r="H91" s="263"/>
      <c r="I91" s="270">
        <v>340</v>
      </c>
      <c r="J91" s="405" t="e">
        <f>I91/'통장내역(환율표)'!#REF!</f>
        <v>#REF!</v>
      </c>
      <c r="K91" s="263" t="e">
        <f t="shared" si="6"/>
        <v>#REF!</v>
      </c>
      <c r="L91" s="263" t="e">
        <f t="shared" si="7"/>
        <v>#REF!</v>
      </c>
      <c r="M91" s="347"/>
      <c r="N91" s="45" t="e">
        <f t="shared" si="8"/>
        <v>#REF!</v>
      </c>
    </row>
    <row r="92" spans="1:15" s="5" customFormat="1" ht="13.5" customHeight="1">
      <c r="A92" s="255">
        <v>45190</v>
      </c>
      <c r="B92" s="365" t="s">
        <v>250</v>
      </c>
      <c r="C92" s="347"/>
      <c r="D92" s="37">
        <v>51</v>
      </c>
      <c r="E92" s="347" t="s">
        <v>107</v>
      </c>
      <c r="F92" s="347"/>
      <c r="G92" s="263"/>
      <c r="H92" s="263"/>
      <c r="I92" s="270">
        <v>3.6</v>
      </c>
      <c r="J92" s="405" t="e">
        <f>I92/'통장내역(환율표)'!#REF!</f>
        <v>#REF!</v>
      </c>
      <c r="K92" s="263" t="e">
        <f t="shared" si="6"/>
        <v>#REF!</v>
      </c>
      <c r="L92" s="263" t="e">
        <f t="shared" si="7"/>
        <v>#REF!</v>
      </c>
      <c r="M92" s="347"/>
      <c r="N92" s="45" t="e">
        <f t="shared" si="8"/>
        <v>#REF!</v>
      </c>
    </row>
    <row r="93" spans="1:15" s="5" customFormat="1" ht="13.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 s="5" customFormat="1" ht="13.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 s="5" customFormat="1" ht="13.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 s="5" customFormat="1" ht="13.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 s="5" customFormat="1" ht="13.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 s="5" customFormat="1" ht="13.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 s="5" customFormat="1" ht="13.5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2.7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2.7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2.7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2.7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3.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32" spans="2:5">
      <c r="B132" s="314"/>
      <c r="C132" s="314"/>
      <c r="D132" s="314"/>
      <c r="E132" s="314"/>
    </row>
    <row r="133" spans="2:5">
      <c r="B133" s="314"/>
    </row>
  </sheetData>
  <autoFilter ref="A18:N131" xr:uid="{00000000-0009-0000-0000-000011000000}">
    <filterColumn colId="1" showButton="0"/>
  </autoFilter>
  <mergeCells count="11"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  <mergeCell ref="I17:J17"/>
  </mergeCells>
  <phoneticPr fontId="3" type="noConversion"/>
  <pageMargins left="0.25" right="0.25" top="0.75" bottom="0.75" header="0.3" footer="0.3"/>
  <pageSetup paperSize="9" scale="3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F153-6D4A-405F-B5D4-659FB742289F}">
  <sheetPr>
    <tabColor rgb="FFF8DA90"/>
    <pageSetUpPr fitToPage="1"/>
  </sheetPr>
  <dimension ref="A1:R140"/>
  <sheetViews>
    <sheetView showGridLines="0" zoomScaleNormal="100" workbookViewId="0">
      <pane ySplit="18" topLeftCell="A37" activePane="bottomLeft" state="frozen"/>
      <selection activeCell="D51" sqref="D51"/>
      <selection pane="bottomLeft" activeCell="D51" sqref="D51"/>
    </sheetView>
  </sheetViews>
  <sheetFormatPr defaultRowHeight="17.399999999999999"/>
  <cols>
    <col min="1" max="1" width="11.796875" customWidth="1"/>
    <col min="2" max="2" width="22.69921875" customWidth="1"/>
    <col min="3" max="3" width="17.296875" customWidth="1"/>
    <col min="4" max="4" width="11.796875" customWidth="1"/>
    <col min="5" max="5" width="13.5" bestFit="1" customWidth="1"/>
    <col min="6" max="6" width="9.59765625" bestFit="1" customWidth="1"/>
    <col min="7" max="7" width="10.796875" bestFit="1" customWidth="1"/>
    <col min="8" max="8" width="10" bestFit="1" customWidth="1"/>
    <col min="9" max="9" width="11.796875" bestFit="1" customWidth="1"/>
    <col min="10" max="11" width="13.5" bestFit="1" customWidth="1"/>
    <col min="12" max="12" width="11.59765625" bestFit="1" customWidth="1"/>
    <col min="13" max="13" width="27.19921875" customWidth="1"/>
    <col min="14" max="14" width="15.09765625" customWidth="1"/>
    <col min="15" max="15" width="11.59765625" bestFit="1" customWidth="1"/>
    <col min="16" max="16" width="9.59765625" bestFit="1" customWidth="1"/>
    <col min="17" max="17" width="13.1992187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37" t="s">
        <v>792</v>
      </c>
      <c r="H1" s="299"/>
      <c r="I1" s="299"/>
      <c r="J1" s="299"/>
      <c r="K1" s="299"/>
      <c r="L1" s="5"/>
      <c r="M1" s="5"/>
      <c r="N1" s="5"/>
      <c r="O1" s="5"/>
      <c r="P1" s="5"/>
      <c r="Q1" s="5"/>
    </row>
    <row r="2" spans="1:18" s="5" customFormat="1">
      <c r="A2" s="130" t="s">
        <v>976</v>
      </c>
      <c r="B2" s="2"/>
      <c r="C2" s="2"/>
      <c r="E2" s="4">
        <v>100000210</v>
      </c>
      <c r="F2" s="119"/>
      <c r="G2" s="130" t="s">
        <v>977</v>
      </c>
      <c r="H2" s="2"/>
      <c r="I2" s="2"/>
      <c r="K2" s="4">
        <v>100000210</v>
      </c>
      <c r="L2" s="364"/>
    </row>
    <row r="3" spans="1:18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5.6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0">
        <f>E4+K4</f>
        <v>0</v>
      </c>
      <c r="M4" s="130"/>
      <c r="N4" s="130"/>
      <c r="O4" s="130"/>
    </row>
    <row r="5" spans="1:18" s="5" customFormat="1" ht="15.6">
      <c r="A5" s="114" t="s">
        <v>238</v>
      </c>
      <c r="B5" s="115" t="s">
        <v>12</v>
      </c>
      <c r="C5" s="120">
        <v>1377</v>
      </c>
      <c r="D5" s="116">
        <v>189.2</v>
      </c>
      <c r="E5" s="117">
        <v>252279</v>
      </c>
      <c r="F5" s="121">
        <v>51131050</v>
      </c>
      <c r="G5" s="114" t="s">
        <v>238</v>
      </c>
      <c r="H5" s="115" t="s">
        <v>12</v>
      </c>
      <c r="I5" s="120">
        <v>5311.73</v>
      </c>
      <c r="J5" s="116">
        <v>729.94</v>
      </c>
      <c r="K5" s="117">
        <v>984178</v>
      </c>
      <c r="L5" s="240">
        <f t="shared" ref="L5:L12" si="0">E5+K5</f>
        <v>1236457</v>
      </c>
      <c r="M5" s="130"/>
      <c r="N5" s="130"/>
      <c r="O5" s="130"/>
      <c r="R5" s="401">
        <f>E5+K5+Q5</f>
        <v>1236457</v>
      </c>
    </row>
    <row r="6" spans="1:18" s="5" customFormat="1" ht="15.6">
      <c r="A6" s="114" t="s">
        <v>294</v>
      </c>
      <c r="B6" s="115" t="s">
        <v>14</v>
      </c>
      <c r="C6" s="116">
        <v>35610.730000000003</v>
      </c>
      <c r="D6" s="116">
        <v>4892.87</v>
      </c>
      <c r="E6" s="117">
        <v>6524153</v>
      </c>
      <c r="F6" s="121">
        <v>51061030</v>
      </c>
      <c r="G6" s="114" t="s">
        <v>294</v>
      </c>
      <c r="H6" s="115" t="s">
        <v>14</v>
      </c>
      <c r="I6" s="116">
        <v>8098.08</v>
      </c>
      <c r="J6" s="116">
        <v>1112.8399999999999</v>
      </c>
      <c r="K6" s="117">
        <v>1500442</v>
      </c>
      <c r="L6" s="240">
        <f t="shared" si="0"/>
        <v>8024595</v>
      </c>
      <c r="M6" s="130"/>
      <c r="N6" s="130"/>
      <c r="O6" s="130"/>
      <c r="R6" s="401">
        <f t="shared" ref="R6:R10" si="1">E6+K6+Q6</f>
        <v>8024595</v>
      </c>
    </row>
    <row r="7" spans="1:18" s="5" customFormat="1" ht="15.6">
      <c r="A7" s="114" t="s">
        <v>75</v>
      </c>
      <c r="B7" s="115" t="s">
        <v>16</v>
      </c>
      <c r="C7" s="116">
        <v>20023</v>
      </c>
      <c r="D7" s="116">
        <v>2751.13</v>
      </c>
      <c r="E7" s="117">
        <v>3668357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0">
        <f t="shared" si="0"/>
        <v>3668357</v>
      </c>
      <c r="M7" s="130"/>
      <c r="N7" s="130"/>
      <c r="O7" s="130"/>
      <c r="R7" s="401">
        <f t="shared" si="1"/>
        <v>3668357</v>
      </c>
    </row>
    <row r="8" spans="1:18" s="5" customFormat="1" ht="15.6">
      <c r="A8" s="114" t="s">
        <v>75</v>
      </c>
      <c r="B8" s="114" t="s">
        <v>17</v>
      </c>
      <c r="C8" s="116">
        <v>10500</v>
      </c>
      <c r="D8" s="116">
        <v>1442.69</v>
      </c>
      <c r="E8" s="117">
        <v>1923683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0">
        <f t="shared" si="0"/>
        <v>1923683</v>
      </c>
      <c r="M8" s="130"/>
      <c r="N8" s="130"/>
      <c r="O8" s="130"/>
      <c r="R8" s="401">
        <f t="shared" si="1"/>
        <v>1923683</v>
      </c>
    </row>
    <row r="9" spans="1:18" s="5" customFormat="1" ht="15.6">
      <c r="A9" s="114" t="s">
        <v>296</v>
      </c>
      <c r="B9" s="114" t="s">
        <v>20</v>
      </c>
      <c r="C9" s="116">
        <v>98.7</v>
      </c>
      <c r="D9" s="116">
        <v>13.56</v>
      </c>
      <c r="E9" s="117">
        <v>18081</v>
      </c>
      <c r="F9" s="121">
        <v>51071700</v>
      </c>
      <c r="G9" s="114" t="s">
        <v>296</v>
      </c>
      <c r="H9" s="114" t="s">
        <v>20</v>
      </c>
      <c r="I9" s="116">
        <v>1197.08</v>
      </c>
      <c r="J9" s="116">
        <v>164.5</v>
      </c>
      <c r="K9" s="117">
        <v>221795</v>
      </c>
      <c r="L9" s="240">
        <f t="shared" si="0"/>
        <v>239876</v>
      </c>
      <c r="M9" s="130"/>
      <c r="N9" s="130"/>
      <c r="O9" s="130"/>
      <c r="R9" s="401">
        <f t="shared" si="1"/>
        <v>239876</v>
      </c>
    </row>
    <row r="10" spans="1:18" s="5" customFormat="1" ht="15.6">
      <c r="A10" s="114" t="s">
        <v>62</v>
      </c>
      <c r="B10" s="115"/>
      <c r="C10" s="116">
        <v>253540.88000000003</v>
      </c>
      <c r="D10" s="116">
        <v>34836.160000000003</v>
      </c>
      <c r="E10" s="117">
        <v>46450536</v>
      </c>
      <c r="F10" s="121">
        <v>51321010</v>
      </c>
      <c r="G10" s="114" t="s">
        <v>62</v>
      </c>
      <c r="H10" s="115"/>
      <c r="I10" s="116">
        <v>997.7</v>
      </c>
      <c r="J10" s="116">
        <v>163.1</v>
      </c>
      <c r="K10" s="117">
        <v>219908</v>
      </c>
      <c r="L10" s="240">
        <f t="shared" si="0"/>
        <v>46670444</v>
      </c>
      <c r="M10" s="130"/>
      <c r="N10" s="130"/>
      <c r="O10" s="130"/>
      <c r="R10" s="401">
        <f t="shared" si="1"/>
        <v>46670444</v>
      </c>
    </row>
    <row r="11" spans="1:18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  <c r="M11" s="130"/>
      <c r="N11" s="130"/>
      <c r="O11" s="130"/>
    </row>
    <row r="12" spans="1:18" s="5" customFormat="1" ht="15.6">
      <c r="A12" s="2068" t="s">
        <v>299</v>
      </c>
      <c r="B12" s="2069"/>
      <c r="C12" s="421">
        <f>SUM(C4:C10)</f>
        <v>321150.31000000006</v>
      </c>
      <c r="D12" s="421">
        <f t="shared" ref="D12:E12" si="2">SUM(D4:D10)</f>
        <v>44125.61</v>
      </c>
      <c r="E12" s="422">
        <f t="shared" si="2"/>
        <v>58837089</v>
      </c>
      <c r="F12" s="119"/>
      <c r="G12" s="2045" t="s">
        <v>299</v>
      </c>
      <c r="H12" s="2046"/>
      <c r="I12" s="124">
        <f>SUM(I4:I11)</f>
        <v>15604.59</v>
      </c>
      <c r="J12" s="124">
        <f>SUM(J4:J11)</f>
        <v>2170.38</v>
      </c>
      <c r="K12" s="125">
        <f>SUM(K4:K11)</f>
        <v>2926323</v>
      </c>
      <c r="L12" s="240">
        <f t="shared" si="0"/>
        <v>61763412</v>
      </c>
      <c r="M12" s="130"/>
      <c r="N12" s="130"/>
      <c r="O12" s="130"/>
    </row>
    <row r="13" spans="1:18" s="5" customFormat="1" ht="14.25" customHeight="1">
      <c r="A13" s="126"/>
      <c r="B13" s="307"/>
      <c r="C13" s="423">
        <f>C12+I12</f>
        <v>336754.90000000008</v>
      </c>
      <c r="D13" s="423">
        <f>D12+J12</f>
        <v>46295.99</v>
      </c>
      <c r="E13" s="424">
        <f>E12+K12</f>
        <v>61763412</v>
      </c>
      <c r="F13" s="121"/>
      <c r="G13" s="130"/>
      <c r="H13" s="130"/>
      <c r="I13" s="131"/>
      <c r="J13" s="130"/>
      <c r="K13" s="280"/>
      <c r="L13" s="245">
        <v>2425.7418328151257</v>
      </c>
      <c r="M13" s="130"/>
      <c r="N13" s="433"/>
      <c r="O13" s="130"/>
    </row>
    <row r="14" spans="1:18" s="5" customFormat="1" ht="15.6">
      <c r="A14" s="2"/>
      <c r="C14" s="385"/>
      <c r="D14" s="385"/>
      <c r="E14" s="425"/>
      <c r="F14" s="377"/>
      <c r="G14" s="310"/>
      <c r="H14" s="130"/>
      <c r="I14" s="131"/>
      <c r="J14" s="130"/>
      <c r="K14" s="280"/>
      <c r="L14" s="245"/>
      <c r="M14" s="245" t="e">
        <f>#REF!</f>
        <v>#REF!</v>
      </c>
      <c r="N14" s="245"/>
      <c r="O14" s="119"/>
    </row>
    <row r="15" spans="1:18" s="5" customFormat="1" ht="15.6">
      <c r="A15" s="126"/>
      <c r="B15" s="307"/>
      <c r="C15" s="423"/>
      <c r="D15" s="423"/>
      <c r="F15" s="377"/>
      <c r="G15" s="130"/>
      <c r="H15" s="130"/>
      <c r="I15" s="131"/>
      <c r="J15" s="130"/>
      <c r="K15" s="280"/>
      <c r="L15" s="245"/>
      <c r="N15" s="45"/>
    </row>
    <row r="16" spans="1:18" s="5" customFormat="1" ht="15.6">
      <c r="B16" s="134">
        <v>13081010</v>
      </c>
      <c r="C16" s="135"/>
      <c r="D16" s="135"/>
      <c r="G16" s="6"/>
      <c r="H16" s="137"/>
      <c r="I16" s="137" t="e">
        <f>SUBTOTAL(9,I19:I149)</f>
        <v>#REF!</v>
      </c>
      <c r="J16" s="137" t="e">
        <f>SUBTOTAL(9,J19:J147)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45199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321150.3100000007</v>
      </c>
      <c r="L19" s="233">
        <v>44125.610029843265</v>
      </c>
      <c r="M19" s="232"/>
      <c r="N19" s="45">
        <v>44125.61</v>
      </c>
    </row>
    <row r="20" spans="1:14" s="5" customFormat="1" ht="13.5" customHeight="1">
      <c r="A20" s="368">
        <v>45210</v>
      </c>
      <c r="B20" s="369" t="s">
        <v>643</v>
      </c>
      <c r="C20" s="369"/>
      <c r="D20" s="370">
        <v>1</v>
      </c>
      <c r="E20" s="180"/>
      <c r="F20" s="369"/>
      <c r="G20" s="371">
        <v>319145.18</v>
      </c>
      <c r="H20" s="372">
        <v>43883</v>
      </c>
      <c r="I20" s="373"/>
      <c r="J20" s="405" t="e">
        <f>I20/'통장내역(환율표)'!#REF!</f>
        <v>#REF!</v>
      </c>
      <c r="K20" s="372">
        <f>K19+G20-I20</f>
        <v>640295.49000000069</v>
      </c>
      <c r="L20" s="372" t="e">
        <f>L19+H20-J20</f>
        <v>#REF!</v>
      </c>
      <c r="M20" s="375"/>
      <c r="N20" s="45"/>
    </row>
    <row r="21" spans="1:14" s="5" customFormat="1" ht="13.5" customHeight="1">
      <c r="A21" s="368">
        <v>45210</v>
      </c>
      <c r="B21" s="369" t="s">
        <v>250</v>
      </c>
      <c r="C21" s="369"/>
      <c r="D21" s="370">
        <v>1</v>
      </c>
      <c r="E21" s="180" t="s">
        <v>62</v>
      </c>
      <c r="F21" s="369"/>
      <c r="G21" s="374"/>
      <c r="H21" s="372"/>
      <c r="I21" s="373"/>
      <c r="J21" s="346">
        <v>26</v>
      </c>
      <c r="K21" s="372">
        <f t="shared" ref="K21:K84" si="3">K20+G21-I21</f>
        <v>640295.49000000069</v>
      </c>
      <c r="L21" s="372" t="e">
        <f t="shared" ref="L21:L84" si="4">L20+H21-J21</f>
        <v>#REF!</v>
      </c>
      <c r="M21" s="375"/>
      <c r="N21" s="45"/>
    </row>
    <row r="22" spans="1:14" s="5" customFormat="1" ht="13.5" customHeight="1">
      <c r="A22" s="255">
        <v>45216</v>
      </c>
      <c r="B22" s="365" t="s">
        <v>931</v>
      </c>
      <c r="C22" s="365"/>
      <c r="D22" s="432">
        <v>2</v>
      </c>
      <c r="E22" s="37" t="s">
        <v>62</v>
      </c>
      <c r="F22" s="347"/>
      <c r="G22" s="367"/>
      <c r="H22" s="376"/>
      <c r="I22" s="270">
        <v>52291.33</v>
      </c>
      <c r="J22" s="405" t="e">
        <f>I22/'통장내역(환율표)'!#REF!</f>
        <v>#REF!</v>
      </c>
      <c r="K22" s="263">
        <f t="shared" si="3"/>
        <v>588004.16000000073</v>
      </c>
      <c r="L22" s="263" t="e">
        <f t="shared" si="4"/>
        <v>#REF!</v>
      </c>
      <c r="M22" s="33"/>
      <c r="N22" s="45" t="e">
        <f>N19-J22+H22</f>
        <v>#REF!</v>
      </c>
    </row>
    <row r="23" spans="1:14" s="5" customFormat="1" ht="13.5" customHeight="1">
      <c r="A23" s="255">
        <v>45220</v>
      </c>
      <c r="B23" s="365" t="s">
        <v>885</v>
      </c>
      <c r="C23" s="365"/>
      <c r="D23" s="432">
        <v>3</v>
      </c>
      <c r="E23" s="37" t="s">
        <v>62</v>
      </c>
      <c r="F23" s="347"/>
      <c r="G23" s="367"/>
      <c r="H23" s="33"/>
      <c r="I23" s="270">
        <v>15000</v>
      </c>
      <c r="J23" s="405" t="e">
        <f>I23/'통장내역(환율표)'!#REF!</f>
        <v>#REF!</v>
      </c>
      <c r="K23" s="263">
        <f t="shared" si="3"/>
        <v>573004.16000000073</v>
      </c>
      <c r="L23" s="263" t="e">
        <f t="shared" si="4"/>
        <v>#REF!</v>
      </c>
      <c r="M23" s="33" t="s">
        <v>940</v>
      </c>
      <c r="N23" s="45" t="e">
        <f>N22-J23+H23</f>
        <v>#REF!</v>
      </c>
    </row>
    <row r="24" spans="1:14" s="5" customFormat="1" ht="13.5" customHeight="1">
      <c r="A24" s="255">
        <v>45220</v>
      </c>
      <c r="B24" s="365" t="s">
        <v>938</v>
      </c>
      <c r="C24" s="365"/>
      <c r="D24" s="432">
        <v>3</v>
      </c>
      <c r="E24" s="37" t="s">
        <v>62</v>
      </c>
      <c r="F24" s="347"/>
      <c r="G24" s="367"/>
      <c r="H24" s="33"/>
      <c r="I24" s="270">
        <v>22000</v>
      </c>
      <c r="J24" s="405" t="e">
        <f>I24/'통장내역(환율표)'!#REF!</f>
        <v>#REF!</v>
      </c>
      <c r="K24" s="263">
        <f t="shared" si="3"/>
        <v>551004.16000000073</v>
      </c>
      <c r="L24" s="263" t="e">
        <f t="shared" si="4"/>
        <v>#REF!</v>
      </c>
      <c r="M24" s="33" t="s">
        <v>940</v>
      </c>
      <c r="N24" s="45" t="e">
        <f t="shared" ref="N24:N80" si="5">N23-J24+H24</f>
        <v>#REF!</v>
      </c>
    </row>
    <row r="25" spans="1:14" s="5" customFormat="1" ht="13.5" customHeight="1">
      <c r="A25" s="255">
        <v>45220</v>
      </c>
      <c r="B25" s="365" t="s">
        <v>887</v>
      </c>
      <c r="C25" s="365"/>
      <c r="D25" s="432">
        <v>3</v>
      </c>
      <c r="E25" s="37" t="s">
        <v>62</v>
      </c>
      <c r="F25" s="347"/>
      <c r="G25" s="367"/>
      <c r="H25" s="33"/>
      <c r="I25" s="270">
        <v>4673.3899999999994</v>
      </c>
      <c r="J25" s="405" t="e">
        <f>I25/'통장내역(환율표)'!#REF!</f>
        <v>#REF!</v>
      </c>
      <c r="K25" s="263">
        <f t="shared" si="3"/>
        <v>546330.77000000072</v>
      </c>
      <c r="L25" s="263" t="e">
        <f t="shared" si="4"/>
        <v>#REF!</v>
      </c>
      <c r="M25" s="33" t="s">
        <v>940</v>
      </c>
      <c r="N25" s="45" t="e">
        <f t="shared" si="5"/>
        <v>#REF!</v>
      </c>
    </row>
    <row r="26" spans="1:14" s="5" customFormat="1" ht="13.5" customHeight="1">
      <c r="A26" s="255">
        <v>45220</v>
      </c>
      <c r="B26" s="365" t="s">
        <v>888</v>
      </c>
      <c r="C26" s="365"/>
      <c r="D26" s="432">
        <v>3</v>
      </c>
      <c r="E26" s="37" t="s">
        <v>62</v>
      </c>
      <c r="F26" s="347"/>
      <c r="G26" s="367"/>
      <c r="H26" s="33"/>
      <c r="I26" s="270">
        <v>6098.5799999999945</v>
      </c>
      <c r="J26" s="405" t="e">
        <f>I26/'통장내역(환율표)'!#REF!</f>
        <v>#REF!</v>
      </c>
      <c r="K26" s="263">
        <f t="shared" si="3"/>
        <v>540232.19000000076</v>
      </c>
      <c r="L26" s="263" t="e">
        <f t="shared" si="4"/>
        <v>#REF!</v>
      </c>
      <c r="M26" s="33" t="s">
        <v>940</v>
      </c>
      <c r="N26" s="45" t="e">
        <f t="shared" si="5"/>
        <v>#REF!</v>
      </c>
    </row>
    <row r="27" spans="1:14" s="5" customFormat="1" ht="13.5" customHeight="1">
      <c r="A27" s="255">
        <v>45220</v>
      </c>
      <c r="B27" s="365" t="s">
        <v>892</v>
      </c>
      <c r="C27" s="365"/>
      <c r="D27" s="432">
        <v>3</v>
      </c>
      <c r="E27" s="37" t="s">
        <v>62</v>
      </c>
      <c r="F27" s="347"/>
      <c r="G27" s="367"/>
      <c r="H27" s="33"/>
      <c r="I27" s="270">
        <v>300</v>
      </c>
      <c r="J27" s="405" t="e">
        <f>I27/'통장내역(환율표)'!#REF!</f>
        <v>#REF!</v>
      </c>
      <c r="K27" s="263">
        <f t="shared" si="3"/>
        <v>539932.19000000076</v>
      </c>
      <c r="L27" s="263" t="e">
        <f t="shared" si="4"/>
        <v>#REF!</v>
      </c>
      <c r="M27" s="33" t="s">
        <v>940</v>
      </c>
      <c r="N27" s="45" t="e">
        <f t="shared" si="5"/>
        <v>#REF!</v>
      </c>
    </row>
    <row r="28" spans="1:14" s="5" customFormat="1" ht="13.5" customHeight="1">
      <c r="A28" s="255">
        <v>45220</v>
      </c>
      <c r="B28" s="365" t="s">
        <v>885</v>
      </c>
      <c r="C28" s="365"/>
      <c r="D28" s="432">
        <v>3</v>
      </c>
      <c r="E28" s="37" t="s">
        <v>62</v>
      </c>
      <c r="F28" s="347"/>
      <c r="G28" s="367"/>
      <c r="H28" s="33"/>
      <c r="I28" s="270">
        <v>15000</v>
      </c>
      <c r="J28" s="405" t="e">
        <f>I28/'통장내역(환율표)'!#REF!</f>
        <v>#REF!</v>
      </c>
      <c r="K28" s="263">
        <f t="shared" si="3"/>
        <v>524932.19000000076</v>
      </c>
      <c r="L28" s="263" t="e">
        <f t="shared" si="4"/>
        <v>#REF!</v>
      </c>
      <c r="M28" s="33" t="s">
        <v>941</v>
      </c>
      <c r="N28" s="45" t="e">
        <f t="shared" si="5"/>
        <v>#REF!</v>
      </c>
    </row>
    <row r="29" spans="1:14" s="5" customFormat="1" ht="13.5" customHeight="1">
      <c r="A29" s="255">
        <v>45220</v>
      </c>
      <c r="B29" s="365" t="s">
        <v>938</v>
      </c>
      <c r="C29" s="365"/>
      <c r="D29" s="432">
        <v>3</v>
      </c>
      <c r="E29" s="37" t="s">
        <v>62</v>
      </c>
      <c r="F29" s="347"/>
      <c r="G29" s="367"/>
      <c r="H29" s="33"/>
      <c r="I29" s="270">
        <v>22000</v>
      </c>
      <c r="J29" s="405" t="e">
        <f>I29/'통장내역(환율표)'!#REF!</f>
        <v>#REF!</v>
      </c>
      <c r="K29" s="263">
        <f t="shared" si="3"/>
        <v>502932.19000000076</v>
      </c>
      <c r="L29" s="263" t="e">
        <f t="shared" si="4"/>
        <v>#REF!</v>
      </c>
      <c r="M29" s="33" t="s">
        <v>941</v>
      </c>
      <c r="N29" s="45" t="e">
        <f t="shared" si="5"/>
        <v>#REF!</v>
      </c>
    </row>
    <row r="30" spans="1:14" s="5" customFormat="1" ht="13.5" customHeight="1">
      <c r="A30" s="255">
        <v>45220</v>
      </c>
      <c r="B30" s="365" t="s">
        <v>887</v>
      </c>
      <c r="C30" s="365"/>
      <c r="D30" s="432">
        <v>3</v>
      </c>
      <c r="E30" s="37" t="s">
        <v>62</v>
      </c>
      <c r="F30" s="347"/>
      <c r="G30" s="367"/>
      <c r="H30" s="33"/>
      <c r="I30" s="270">
        <v>8423.39</v>
      </c>
      <c r="J30" s="405" t="e">
        <f>I30/'통장내역(환율표)'!#REF!</f>
        <v>#REF!</v>
      </c>
      <c r="K30" s="263">
        <f t="shared" si="3"/>
        <v>494508.80000000075</v>
      </c>
      <c r="L30" s="263" t="e">
        <f t="shared" si="4"/>
        <v>#REF!</v>
      </c>
      <c r="M30" s="33" t="s">
        <v>941</v>
      </c>
      <c r="N30" s="45" t="e">
        <f t="shared" si="5"/>
        <v>#REF!</v>
      </c>
    </row>
    <row r="31" spans="1:14" s="5" customFormat="1" ht="13.5" customHeight="1">
      <c r="A31" s="255">
        <v>45220</v>
      </c>
      <c r="B31" s="365" t="s">
        <v>888</v>
      </c>
      <c r="C31" s="365"/>
      <c r="D31" s="432">
        <v>3</v>
      </c>
      <c r="E31" s="37" t="s">
        <v>62</v>
      </c>
      <c r="F31" s="347"/>
      <c r="G31" s="367"/>
      <c r="H31" s="33"/>
      <c r="I31" s="270">
        <v>5738.5799999999945</v>
      </c>
      <c r="J31" s="405" t="e">
        <f>I31/'통장내역(환율표)'!#REF!</f>
        <v>#REF!</v>
      </c>
      <c r="K31" s="263">
        <f t="shared" si="3"/>
        <v>488770.22000000073</v>
      </c>
      <c r="L31" s="263" t="e">
        <f t="shared" si="4"/>
        <v>#REF!</v>
      </c>
      <c r="M31" s="33" t="s">
        <v>941</v>
      </c>
      <c r="N31" s="45" t="e">
        <f t="shared" si="5"/>
        <v>#REF!</v>
      </c>
    </row>
    <row r="32" spans="1:14" s="5" customFormat="1" ht="13.5" customHeight="1">
      <c r="A32" s="255">
        <v>45220</v>
      </c>
      <c r="B32" s="365" t="s">
        <v>892</v>
      </c>
      <c r="C32" s="365"/>
      <c r="D32" s="432">
        <v>3</v>
      </c>
      <c r="E32" s="37" t="s">
        <v>62</v>
      </c>
      <c r="F32" s="347"/>
      <c r="G32" s="367"/>
      <c r="H32" s="33"/>
      <c r="I32" s="270">
        <v>300</v>
      </c>
      <c r="J32" s="405" t="e">
        <f>I32/'통장내역(환율표)'!#REF!</f>
        <v>#REF!</v>
      </c>
      <c r="K32" s="263">
        <f t="shared" si="3"/>
        <v>488470.22000000073</v>
      </c>
      <c r="L32" s="263" t="e">
        <f t="shared" si="4"/>
        <v>#REF!</v>
      </c>
      <c r="M32" s="33" t="s">
        <v>941</v>
      </c>
      <c r="N32" s="45" t="e">
        <f t="shared" si="5"/>
        <v>#REF!</v>
      </c>
    </row>
    <row r="33" spans="1:14" s="5" customFormat="1" ht="13.5" customHeight="1">
      <c r="A33" s="255">
        <v>45220</v>
      </c>
      <c r="B33" s="365" t="s">
        <v>979</v>
      </c>
      <c r="C33" s="365"/>
      <c r="D33" s="432">
        <v>3</v>
      </c>
      <c r="E33" s="37" t="s">
        <v>62</v>
      </c>
      <c r="F33" s="347"/>
      <c r="G33" s="367"/>
      <c r="H33" s="33"/>
      <c r="I33" s="270">
        <v>25000</v>
      </c>
      <c r="J33" s="405" t="e">
        <f>I33/'통장내역(환율표)'!#REF!</f>
        <v>#REF!</v>
      </c>
      <c r="K33" s="263">
        <f t="shared" si="3"/>
        <v>463470.22000000073</v>
      </c>
      <c r="L33" s="263" t="e">
        <f t="shared" si="4"/>
        <v>#REF!</v>
      </c>
      <c r="M33" s="33" t="s">
        <v>942</v>
      </c>
      <c r="N33" s="45" t="e">
        <f t="shared" si="5"/>
        <v>#REF!</v>
      </c>
    </row>
    <row r="34" spans="1:14" s="5" customFormat="1" ht="13.5" customHeight="1">
      <c r="A34" s="255">
        <v>45220</v>
      </c>
      <c r="B34" s="365" t="s">
        <v>980</v>
      </c>
      <c r="C34" s="365"/>
      <c r="D34" s="432">
        <v>3</v>
      </c>
      <c r="E34" s="37" t="s">
        <v>62</v>
      </c>
      <c r="F34" s="347"/>
      <c r="G34" s="367"/>
      <c r="H34" s="33"/>
      <c r="I34" s="270">
        <v>12500</v>
      </c>
      <c r="J34" s="405" t="e">
        <f>I34/'통장내역(환율표)'!#REF!</f>
        <v>#REF!</v>
      </c>
      <c r="K34" s="263">
        <f t="shared" si="3"/>
        <v>450970.22000000073</v>
      </c>
      <c r="L34" s="263" t="e">
        <f t="shared" si="4"/>
        <v>#REF!</v>
      </c>
      <c r="M34" s="33" t="s">
        <v>942</v>
      </c>
      <c r="N34" s="45" t="e">
        <f t="shared" si="5"/>
        <v>#REF!</v>
      </c>
    </row>
    <row r="35" spans="1:14" s="5" customFormat="1" ht="13.5" customHeight="1">
      <c r="A35" s="255">
        <v>45220</v>
      </c>
      <c r="B35" s="365" t="s">
        <v>939</v>
      </c>
      <c r="C35" s="365"/>
      <c r="D35" s="432">
        <v>3</v>
      </c>
      <c r="E35" s="37" t="s">
        <v>62</v>
      </c>
      <c r="F35" s="347"/>
      <c r="G35" s="367"/>
      <c r="H35" s="33"/>
      <c r="I35" s="270">
        <v>5363.71</v>
      </c>
      <c r="J35" s="405" t="e">
        <f>I35/'통장내역(환율표)'!#REF!</f>
        <v>#REF!</v>
      </c>
      <c r="K35" s="263">
        <f t="shared" si="3"/>
        <v>445606.51000000071</v>
      </c>
      <c r="L35" s="263" t="e">
        <f t="shared" si="4"/>
        <v>#REF!</v>
      </c>
      <c r="M35" s="33" t="s">
        <v>942</v>
      </c>
      <c r="N35" s="45" t="e">
        <f t="shared" si="5"/>
        <v>#REF!</v>
      </c>
    </row>
    <row r="36" spans="1:14" s="5" customFormat="1" ht="13.5" customHeight="1">
      <c r="A36" s="255">
        <v>45220</v>
      </c>
      <c r="B36" s="365" t="s">
        <v>892</v>
      </c>
      <c r="C36" s="365"/>
      <c r="D36" s="432">
        <v>3</v>
      </c>
      <c r="E36" s="37" t="s">
        <v>62</v>
      </c>
      <c r="F36" s="347"/>
      <c r="G36" s="367"/>
      <c r="H36" s="33"/>
      <c r="I36" s="270">
        <v>300</v>
      </c>
      <c r="J36" s="405" t="e">
        <f>I36/'통장내역(환율표)'!#REF!</f>
        <v>#REF!</v>
      </c>
      <c r="K36" s="263">
        <f t="shared" si="3"/>
        <v>445306.51000000071</v>
      </c>
      <c r="L36" s="263" t="e">
        <f t="shared" si="4"/>
        <v>#REF!</v>
      </c>
      <c r="M36" s="33" t="s">
        <v>942</v>
      </c>
      <c r="N36" s="45" t="e">
        <f t="shared" si="5"/>
        <v>#REF!</v>
      </c>
    </row>
    <row r="37" spans="1:14" s="5" customFormat="1" ht="13.5" customHeight="1">
      <c r="A37" s="255">
        <v>45220</v>
      </c>
      <c r="B37" s="365" t="s">
        <v>981</v>
      </c>
      <c r="C37" s="365"/>
      <c r="D37" s="432">
        <v>3</v>
      </c>
      <c r="E37" s="37" t="s">
        <v>62</v>
      </c>
      <c r="F37" s="347"/>
      <c r="G37" s="367"/>
      <c r="H37" s="33"/>
      <c r="I37" s="270">
        <v>1000</v>
      </c>
      <c r="J37" s="405" t="e">
        <f>I37/'통장내역(환율표)'!#REF!</f>
        <v>#REF!</v>
      </c>
      <c r="K37" s="263">
        <f t="shared" si="3"/>
        <v>444306.51000000071</v>
      </c>
      <c r="L37" s="263" t="e">
        <f t="shared" si="4"/>
        <v>#REF!</v>
      </c>
      <c r="M37" s="33" t="s">
        <v>942</v>
      </c>
      <c r="N37" s="45" t="e">
        <f t="shared" si="5"/>
        <v>#REF!</v>
      </c>
    </row>
    <row r="38" spans="1:14" s="5" customFormat="1" ht="13.5" customHeight="1">
      <c r="A38" s="255">
        <v>45220</v>
      </c>
      <c r="B38" s="365" t="s">
        <v>891</v>
      </c>
      <c r="C38" s="365"/>
      <c r="D38" s="432">
        <v>3</v>
      </c>
      <c r="E38" s="37" t="s">
        <v>62</v>
      </c>
      <c r="F38" s="347"/>
      <c r="G38" s="367"/>
      <c r="H38" s="33"/>
      <c r="I38" s="270">
        <v>11700</v>
      </c>
      <c r="J38" s="405" t="e">
        <f>I38/'통장내역(환율표)'!#REF!</f>
        <v>#REF!</v>
      </c>
      <c r="K38" s="263">
        <f t="shared" si="3"/>
        <v>432606.51000000071</v>
      </c>
      <c r="L38" s="263" t="e">
        <f t="shared" si="4"/>
        <v>#REF!</v>
      </c>
      <c r="M38" s="33" t="s">
        <v>943</v>
      </c>
      <c r="N38" s="45" t="e">
        <f t="shared" si="5"/>
        <v>#REF!</v>
      </c>
    </row>
    <row r="39" spans="1:14" s="5" customFormat="1" ht="13.5" customHeight="1">
      <c r="A39" s="255">
        <v>45220</v>
      </c>
      <c r="B39" s="365" t="s">
        <v>939</v>
      </c>
      <c r="C39" s="365"/>
      <c r="D39" s="432">
        <v>3</v>
      </c>
      <c r="E39" s="37" t="s">
        <v>62</v>
      </c>
      <c r="F39" s="347"/>
      <c r="G39" s="367"/>
      <c r="H39" s="33"/>
      <c r="I39" s="270">
        <v>2816.83</v>
      </c>
      <c r="J39" s="405" t="e">
        <f>I39/'통장내역(환율표)'!#REF!</f>
        <v>#REF!</v>
      </c>
      <c r="K39" s="263">
        <f t="shared" si="3"/>
        <v>429789.68000000069</v>
      </c>
      <c r="L39" s="263" t="e">
        <f t="shared" si="4"/>
        <v>#REF!</v>
      </c>
      <c r="M39" s="33" t="s">
        <v>943</v>
      </c>
      <c r="N39" s="45" t="e">
        <f t="shared" si="5"/>
        <v>#REF!</v>
      </c>
    </row>
    <row r="40" spans="1:14" s="5" customFormat="1" ht="13.5" customHeight="1">
      <c r="A40" s="255">
        <v>45220</v>
      </c>
      <c r="B40" s="365" t="s">
        <v>892</v>
      </c>
      <c r="C40" s="365"/>
      <c r="D40" s="432">
        <v>3</v>
      </c>
      <c r="E40" s="37" t="s">
        <v>62</v>
      </c>
      <c r="F40" s="347"/>
      <c r="G40" s="367"/>
      <c r="H40" s="33"/>
      <c r="I40" s="270">
        <v>500</v>
      </c>
      <c r="J40" s="405" t="e">
        <f>I40/'통장내역(환율표)'!#REF!</f>
        <v>#REF!</v>
      </c>
      <c r="K40" s="263">
        <f t="shared" si="3"/>
        <v>429289.68000000069</v>
      </c>
      <c r="L40" s="263" t="e">
        <f t="shared" si="4"/>
        <v>#REF!</v>
      </c>
      <c r="M40" s="33" t="s">
        <v>943</v>
      </c>
      <c r="N40" s="45" t="e">
        <f t="shared" si="5"/>
        <v>#REF!</v>
      </c>
    </row>
    <row r="41" spans="1:14" s="5" customFormat="1" ht="13.5" customHeight="1">
      <c r="A41" s="255">
        <v>45220</v>
      </c>
      <c r="B41" s="365" t="s">
        <v>981</v>
      </c>
      <c r="C41" s="365"/>
      <c r="D41" s="432">
        <v>3</v>
      </c>
      <c r="E41" s="37" t="s">
        <v>62</v>
      </c>
      <c r="F41" s="347"/>
      <c r="G41" s="367"/>
      <c r="H41" s="33"/>
      <c r="I41" s="270">
        <v>300</v>
      </c>
      <c r="J41" s="405" t="e">
        <f>I41/'통장내역(환율표)'!#REF!</f>
        <v>#REF!</v>
      </c>
      <c r="K41" s="263">
        <f t="shared" si="3"/>
        <v>428989.68000000069</v>
      </c>
      <c r="L41" s="263" t="e">
        <f t="shared" si="4"/>
        <v>#REF!</v>
      </c>
      <c r="M41" s="33" t="s">
        <v>943</v>
      </c>
      <c r="N41" s="45" t="e">
        <f t="shared" si="5"/>
        <v>#REF!</v>
      </c>
    </row>
    <row r="42" spans="1:14" s="5" customFormat="1" ht="13.5" customHeight="1">
      <c r="A42" s="255">
        <v>45220</v>
      </c>
      <c r="B42" s="365" t="s">
        <v>891</v>
      </c>
      <c r="C42" s="365"/>
      <c r="D42" s="432">
        <v>3</v>
      </c>
      <c r="E42" s="37" t="s">
        <v>62</v>
      </c>
      <c r="F42" s="347"/>
      <c r="G42" s="367"/>
      <c r="H42" s="33"/>
      <c r="I42" s="270">
        <v>25000</v>
      </c>
      <c r="J42" s="405" t="e">
        <f>I42/'통장내역(환율표)'!#REF!</f>
        <v>#REF!</v>
      </c>
      <c r="K42" s="263">
        <f t="shared" si="3"/>
        <v>403989.68000000069</v>
      </c>
      <c r="L42" s="263" t="e">
        <f t="shared" si="4"/>
        <v>#REF!</v>
      </c>
      <c r="M42" s="33" t="s">
        <v>944</v>
      </c>
      <c r="N42" s="45" t="e">
        <f t="shared" si="5"/>
        <v>#REF!</v>
      </c>
    </row>
    <row r="43" spans="1:14" s="5" customFormat="1" ht="13.5" customHeight="1">
      <c r="A43" s="255">
        <v>45220</v>
      </c>
      <c r="B43" s="365" t="s">
        <v>939</v>
      </c>
      <c r="C43" s="365"/>
      <c r="D43" s="432">
        <v>3</v>
      </c>
      <c r="E43" s="37" t="s">
        <v>62</v>
      </c>
      <c r="F43" s="347"/>
      <c r="G43" s="367"/>
      <c r="H43" s="33"/>
      <c r="I43" s="270">
        <v>6738.71</v>
      </c>
      <c r="J43" s="405" t="e">
        <f>I43/'통장내역(환율표)'!#REF!</f>
        <v>#REF!</v>
      </c>
      <c r="K43" s="263">
        <f t="shared" si="3"/>
        <v>397250.97000000067</v>
      </c>
      <c r="L43" s="263" t="e">
        <f t="shared" si="4"/>
        <v>#REF!</v>
      </c>
      <c r="M43" s="33" t="s">
        <v>944</v>
      </c>
      <c r="N43" s="45" t="e">
        <f t="shared" si="5"/>
        <v>#REF!</v>
      </c>
    </row>
    <row r="44" spans="1:14" s="5" customFormat="1" ht="13.5" customHeight="1">
      <c r="A44" s="255">
        <v>45220</v>
      </c>
      <c r="B44" s="365" t="s">
        <v>892</v>
      </c>
      <c r="C44" s="365"/>
      <c r="D44" s="432">
        <v>3</v>
      </c>
      <c r="E44" s="37" t="s">
        <v>62</v>
      </c>
      <c r="F44" s="347"/>
      <c r="G44" s="367"/>
      <c r="H44" s="33"/>
      <c r="I44" s="270">
        <v>300</v>
      </c>
      <c r="J44" s="405" t="e">
        <f>I44/'통장내역(환율표)'!#REF!</f>
        <v>#REF!</v>
      </c>
      <c r="K44" s="263">
        <f t="shared" si="3"/>
        <v>396950.97000000067</v>
      </c>
      <c r="L44" s="263" t="e">
        <f t="shared" si="4"/>
        <v>#REF!</v>
      </c>
      <c r="M44" s="33" t="s">
        <v>944</v>
      </c>
      <c r="N44" s="45" t="e">
        <f t="shared" si="5"/>
        <v>#REF!</v>
      </c>
    </row>
    <row r="45" spans="1:14" s="5" customFormat="1" ht="13.5" customHeight="1">
      <c r="A45" s="255">
        <v>45220</v>
      </c>
      <c r="B45" s="365" t="s">
        <v>981</v>
      </c>
      <c r="C45" s="365"/>
      <c r="D45" s="432">
        <v>3</v>
      </c>
      <c r="E45" s="37" t="s">
        <v>62</v>
      </c>
      <c r="F45" s="347"/>
      <c r="G45" s="367"/>
      <c r="H45" s="33"/>
      <c r="I45" s="270">
        <v>400</v>
      </c>
      <c r="J45" s="405" t="e">
        <f>I45/'통장내역(환율표)'!#REF!</f>
        <v>#REF!</v>
      </c>
      <c r="K45" s="263">
        <f t="shared" si="3"/>
        <v>396550.97000000067</v>
      </c>
      <c r="L45" s="263" t="e">
        <f t="shared" si="4"/>
        <v>#REF!</v>
      </c>
      <c r="M45" s="33" t="s">
        <v>944</v>
      </c>
      <c r="N45" s="45" t="e">
        <f t="shared" si="5"/>
        <v>#REF!</v>
      </c>
    </row>
    <row r="46" spans="1:14" s="5" customFormat="1" ht="13.5" customHeight="1">
      <c r="A46" s="255">
        <v>45220</v>
      </c>
      <c r="B46" s="365" t="s">
        <v>250</v>
      </c>
      <c r="C46" s="365"/>
      <c r="D46" s="432">
        <v>4</v>
      </c>
      <c r="E46" s="37" t="s">
        <v>62</v>
      </c>
      <c r="F46" s="347"/>
      <c r="G46" s="367"/>
      <c r="H46" s="33"/>
      <c r="I46" s="270">
        <v>12</v>
      </c>
      <c r="J46" s="405" t="e">
        <f>I46/'통장내역(환율표)'!#REF!</f>
        <v>#REF!</v>
      </c>
      <c r="K46" s="263">
        <f t="shared" si="3"/>
        <v>396538.97000000067</v>
      </c>
      <c r="L46" s="263" t="e">
        <f t="shared" si="4"/>
        <v>#REF!</v>
      </c>
      <c r="M46" s="33"/>
      <c r="N46" s="45" t="e">
        <f t="shared" si="5"/>
        <v>#REF!</v>
      </c>
    </row>
    <row r="47" spans="1:14" s="5" customFormat="1" ht="13.5" customHeight="1">
      <c r="A47" s="255">
        <v>45220</v>
      </c>
      <c r="B47" s="365" t="s">
        <v>699</v>
      </c>
      <c r="C47" s="365"/>
      <c r="D47" s="432">
        <v>5</v>
      </c>
      <c r="E47" s="37" t="s">
        <v>62</v>
      </c>
      <c r="F47" s="347"/>
      <c r="G47" s="367"/>
      <c r="H47" s="33"/>
      <c r="I47" s="270">
        <v>1174.96</v>
      </c>
      <c r="J47" s="405" t="e">
        <f>I47/'통장내역(환율표)'!#REF!</f>
        <v>#REF!</v>
      </c>
      <c r="K47" s="263">
        <f t="shared" si="3"/>
        <v>395364.01000000065</v>
      </c>
      <c r="L47" s="263" t="e">
        <f t="shared" si="4"/>
        <v>#REF!</v>
      </c>
      <c r="M47" s="33"/>
      <c r="N47" s="45" t="e">
        <f t="shared" si="5"/>
        <v>#REF!</v>
      </c>
    </row>
    <row r="48" spans="1:14" s="5" customFormat="1" ht="13.5" customHeight="1">
      <c r="A48" s="255">
        <v>45220</v>
      </c>
      <c r="B48" s="407" t="s">
        <v>250</v>
      </c>
      <c r="C48" s="365"/>
      <c r="D48" s="432">
        <v>6</v>
      </c>
      <c r="E48" s="37" t="s">
        <v>62</v>
      </c>
      <c r="F48" s="347"/>
      <c r="G48" s="367"/>
      <c r="H48" s="33"/>
      <c r="I48" s="270">
        <v>3.6</v>
      </c>
      <c r="J48" s="405" t="e">
        <f>I48/'통장내역(환율표)'!#REF!</f>
        <v>#REF!</v>
      </c>
      <c r="K48" s="263">
        <f t="shared" si="3"/>
        <v>395360.41000000067</v>
      </c>
      <c r="L48" s="263" t="e">
        <f t="shared" si="4"/>
        <v>#REF!</v>
      </c>
      <c r="M48" s="33"/>
      <c r="N48" s="45" t="e">
        <f t="shared" si="5"/>
        <v>#REF!</v>
      </c>
    </row>
    <row r="49" spans="1:14" s="5" customFormat="1" ht="13.5" customHeight="1">
      <c r="A49" s="255">
        <v>45220</v>
      </c>
      <c r="B49" s="365" t="s">
        <v>240</v>
      </c>
      <c r="C49" s="365"/>
      <c r="D49" s="432">
        <v>7</v>
      </c>
      <c r="E49" s="37" t="s">
        <v>978</v>
      </c>
      <c r="F49" s="347" t="s">
        <v>319</v>
      </c>
      <c r="G49" s="367"/>
      <c r="H49" s="33"/>
      <c r="I49" s="270">
        <v>20023</v>
      </c>
      <c r="J49" s="405" t="e">
        <f>I49/'통장내역(환율표)'!#REF!</f>
        <v>#REF!</v>
      </c>
      <c r="K49" s="263">
        <f t="shared" si="3"/>
        <v>375337.41000000067</v>
      </c>
      <c r="L49" s="263" t="e">
        <f t="shared" si="4"/>
        <v>#REF!</v>
      </c>
      <c r="M49" s="283"/>
      <c r="N49" s="45" t="e">
        <f t="shared" si="5"/>
        <v>#REF!</v>
      </c>
    </row>
    <row r="50" spans="1:14" s="5" customFormat="1" ht="13.5" customHeight="1">
      <c r="A50" s="255">
        <v>45220</v>
      </c>
      <c r="B50" s="407" t="s">
        <v>250</v>
      </c>
      <c r="C50" s="365"/>
      <c r="D50" s="432">
        <v>8</v>
      </c>
      <c r="E50" s="37" t="s">
        <v>62</v>
      </c>
      <c r="F50" s="347"/>
      <c r="G50" s="367"/>
      <c r="H50" s="33"/>
      <c r="I50" s="270">
        <v>7.2</v>
      </c>
      <c r="J50" s="405" t="e">
        <f>I50/'통장내역(환율표)'!#REF!</f>
        <v>#REF!</v>
      </c>
      <c r="K50" s="263">
        <f t="shared" si="3"/>
        <v>375330.21000000066</v>
      </c>
      <c r="L50" s="263" t="e">
        <f t="shared" si="4"/>
        <v>#REF!</v>
      </c>
      <c r="M50" s="283"/>
      <c r="N50" s="45" t="e">
        <f t="shared" si="5"/>
        <v>#REF!</v>
      </c>
    </row>
    <row r="51" spans="1:14" s="5" customFormat="1" ht="13.5" customHeight="1">
      <c r="A51" s="255">
        <v>45220</v>
      </c>
      <c r="B51" s="313" t="s">
        <v>346</v>
      </c>
      <c r="C51" s="365"/>
      <c r="D51" s="432">
        <v>9</v>
      </c>
      <c r="E51" s="37" t="s">
        <v>978</v>
      </c>
      <c r="F51" s="347" t="s">
        <v>320</v>
      </c>
      <c r="G51" s="367"/>
      <c r="H51" s="33"/>
      <c r="I51" s="270">
        <v>10500</v>
      </c>
      <c r="J51" s="405" t="e">
        <f>I51/'통장내역(환율표)'!#REF!</f>
        <v>#REF!</v>
      </c>
      <c r="K51" s="263">
        <f t="shared" si="3"/>
        <v>364830.21000000066</v>
      </c>
      <c r="L51" s="263" t="e">
        <f t="shared" si="4"/>
        <v>#REF!</v>
      </c>
      <c r="M51" s="283"/>
      <c r="N51" s="45" t="e">
        <f t="shared" si="5"/>
        <v>#REF!</v>
      </c>
    </row>
    <row r="52" spans="1:14" s="5" customFormat="1" ht="13.5" customHeight="1">
      <c r="A52" s="255">
        <v>45220</v>
      </c>
      <c r="B52" s="313" t="s">
        <v>347</v>
      </c>
      <c r="C52" s="365"/>
      <c r="D52" s="432">
        <v>10</v>
      </c>
      <c r="E52" s="37" t="s">
        <v>62</v>
      </c>
      <c r="F52" s="347"/>
      <c r="G52" s="367"/>
      <c r="H52" s="33"/>
      <c r="I52" s="270">
        <v>6000</v>
      </c>
      <c r="J52" s="405" t="e">
        <f>I52/'통장내역(환율표)'!#REF!</f>
        <v>#REF!</v>
      </c>
      <c r="K52" s="263">
        <f t="shared" si="3"/>
        <v>358830.21000000066</v>
      </c>
      <c r="L52" s="263" t="e">
        <f t="shared" si="4"/>
        <v>#REF!</v>
      </c>
      <c r="M52" s="283"/>
      <c r="N52" s="45" t="e">
        <f t="shared" si="5"/>
        <v>#REF!</v>
      </c>
    </row>
    <row r="53" spans="1:14" s="5" customFormat="1" ht="13.5" customHeight="1">
      <c r="A53" s="255">
        <v>45220</v>
      </c>
      <c r="B53" s="313" t="s">
        <v>351</v>
      </c>
      <c r="C53" s="365"/>
      <c r="D53" s="432">
        <v>11</v>
      </c>
      <c r="E53" s="37" t="s">
        <v>62</v>
      </c>
      <c r="F53" s="347"/>
      <c r="G53" s="367"/>
      <c r="H53" s="33"/>
      <c r="I53" s="270">
        <v>650</v>
      </c>
      <c r="J53" s="405" t="e">
        <f>I53/'통장내역(환율표)'!#REF!</f>
        <v>#REF!</v>
      </c>
      <c r="K53" s="263">
        <f t="shared" si="3"/>
        <v>358180.21000000066</v>
      </c>
      <c r="L53" s="263" t="e">
        <f t="shared" si="4"/>
        <v>#REF!</v>
      </c>
      <c r="M53" s="283"/>
      <c r="N53" s="45" t="e">
        <f t="shared" si="5"/>
        <v>#REF!</v>
      </c>
    </row>
    <row r="54" spans="1:14" s="5" customFormat="1" ht="13.5" customHeight="1">
      <c r="A54" s="255">
        <v>45220</v>
      </c>
      <c r="B54" s="313" t="s">
        <v>250</v>
      </c>
      <c r="C54" s="365"/>
      <c r="D54" s="432">
        <v>12</v>
      </c>
      <c r="E54" s="37" t="s">
        <v>62</v>
      </c>
      <c r="F54" s="347"/>
      <c r="G54" s="367"/>
      <c r="H54" s="33"/>
      <c r="I54" s="270">
        <v>7.2</v>
      </c>
      <c r="J54" s="405" t="e">
        <f>I54/'통장내역(환율표)'!#REF!</f>
        <v>#REF!</v>
      </c>
      <c r="K54" s="263">
        <f t="shared" si="3"/>
        <v>358173.01000000065</v>
      </c>
      <c r="L54" s="263" t="e">
        <f t="shared" si="4"/>
        <v>#REF!</v>
      </c>
      <c r="M54" s="283"/>
      <c r="N54" s="45" t="e">
        <f t="shared" si="5"/>
        <v>#REF!</v>
      </c>
    </row>
    <row r="55" spans="1:14" s="5" customFormat="1" ht="13.5" customHeight="1">
      <c r="A55" s="255">
        <v>45220</v>
      </c>
      <c r="B55" s="365" t="s">
        <v>700</v>
      </c>
      <c r="C55" s="365"/>
      <c r="D55" s="432">
        <v>13</v>
      </c>
      <c r="E55" s="37" t="s">
        <v>62</v>
      </c>
      <c r="F55" s="347"/>
      <c r="G55" s="367"/>
      <c r="H55" s="33"/>
      <c r="I55" s="270">
        <v>1010</v>
      </c>
      <c r="J55" s="434">
        <v>138.77000000000001</v>
      </c>
      <c r="K55" s="263">
        <f t="shared" si="3"/>
        <v>357163.01000000065</v>
      </c>
      <c r="L55" s="263" t="e">
        <f t="shared" si="4"/>
        <v>#REF!</v>
      </c>
      <c r="M55" s="283"/>
      <c r="N55" s="45" t="e">
        <f t="shared" si="5"/>
        <v>#REF!</v>
      </c>
    </row>
    <row r="56" spans="1:14" s="5" customFormat="1" ht="13.5" customHeight="1">
      <c r="A56" s="255">
        <v>45220</v>
      </c>
      <c r="B56" s="313" t="s">
        <v>250</v>
      </c>
      <c r="C56" s="365"/>
      <c r="D56" s="432">
        <v>14</v>
      </c>
      <c r="E56" s="37" t="s">
        <v>62</v>
      </c>
      <c r="F56" s="347"/>
      <c r="G56" s="367"/>
      <c r="H56" s="33"/>
      <c r="I56" s="270">
        <v>3.6</v>
      </c>
      <c r="J56" s="405" t="e">
        <f>I56/'통장내역(환율표)'!#REF!</f>
        <v>#REF!</v>
      </c>
      <c r="K56" s="263">
        <f t="shared" si="3"/>
        <v>357159.41000000067</v>
      </c>
      <c r="L56" s="263" t="e">
        <f t="shared" si="4"/>
        <v>#REF!</v>
      </c>
      <c r="M56" s="283"/>
      <c r="N56" s="45" t="e">
        <f t="shared" si="5"/>
        <v>#REF!</v>
      </c>
    </row>
    <row r="57" spans="1:14" s="5" customFormat="1" ht="13.5" customHeight="1">
      <c r="A57" s="255">
        <v>45220</v>
      </c>
      <c r="B57" s="335" t="s">
        <v>715</v>
      </c>
      <c r="C57" s="365"/>
      <c r="D57" s="432">
        <v>15</v>
      </c>
      <c r="E57" s="37" t="s">
        <v>294</v>
      </c>
      <c r="F57" s="347" t="s">
        <v>322</v>
      </c>
      <c r="G57" s="367"/>
      <c r="H57" s="33"/>
      <c r="I57" s="270">
        <v>2439</v>
      </c>
      <c r="J57" s="405" t="e">
        <f>I57/'통장내역(환율표)'!#REF!</f>
        <v>#REF!</v>
      </c>
      <c r="K57" s="263">
        <f t="shared" si="3"/>
        <v>354720.41000000067</v>
      </c>
      <c r="L57" s="263" t="e">
        <f t="shared" si="4"/>
        <v>#REF!</v>
      </c>
      <c r="M57" s="283"/>
      <c r="N57" s="45" t="e">
        <f t="shared" si="5"/>
        <v>#REF!</v>
      </c>
    </row>
    <row r="58" spans="1:14" s="5" customFormat="1" ht="13.5" customHeight="1">
      <c r="A58" s="255">
        <v>45220</v>
      </c>
      <c r="B58" s="335" t="s">
        <v>714</v>
      </c>
      <c r="C58" s="365"/>
      <c r="D58" s="432">
        <v>16</v>
      </c>
      <c r="E58" s="37" t="s">
        <v>294</v>
      </c>
      <c r="F58" s="347" t="s">
        <v>322</v>
      </c>
      <c r="G58" s="367"/>
      <c r="H58" s="33"/>
      <c r="I58" s="270">
        <v>1036</v>
      </c>
      <c r="J58" s="405" t="e">
        <f>I58/'통장내역(환율표)'!#REF!</f>
        <v>#REF!</v>
      </c>
      <c r="K58" s="263">
        <f t="shared" si="3"/>
        <v>353684.41000000067</v>
      </c>
      <c r="L58" s="263" t="e">
        <f t="shared" si="4"/>
        <v>#REF!</v>
      </c>
      <c r="M58" s="283"/>
      <c r="N58" s="45" t="e">
        <f t="shared" si="5"/>
        <v>#REF!</v>
      </c>
    </row>
    <row r="59" spans="1:14" s="5" customFormat="1" ht="13.5" customHeight="1">
      <c r="A59" s="255">
        <v>45220</v>
      </c>
      <c r="B59" s="335" t="s">
        <v>716</v>
      </c>
      <c r="C59" s="365"/>
      <c r="D59" s="432">
        <v>17</v>
      </c>
      <c r="E59" s="37" t="s">
        <v>294</v>
      </c>
      <c r="F59" s="347" t="s">
        <v>322</v>
      </c>
      <c r="G59" s="367"/>
      <c r="H59" s="33"/>
      <c r="I59" s="270">
        <v>319</v>
      </c>
      <c r="J59" s="405" t="e">
        <f>I59/'통장내역(환율표)'!#REF!</f>
        <v>#REF!</v>
      </c>
      <c r="K59" s="263">
        <f t="shared" si="3"/>
        <v>353365.41000000067</v>
      </c>
      <c r="L59" s="263" t="e">
        <f t="shared" si="4"/>
        <v>#REF!</v>
      </c>
      <c r="M59" s="283"/>
      <c r="N59" s="45" t="e">
        <f t="shared" si="5"/>
        <v>#REF!</v>
      </c>
    </row>
    <row r="60" spans="1:14" s="5" customFormat="1" ht="13.5" customHeight="1">
      <c r="A60" s="255">
        <v>45220</v>
      </c>
      <c r="B60" s="313" t="s">
        <v>250</v>
      </c>
      <c r="C60" s="365"/>
      <c r="D60" s="432">
        <v>18</v>
      </c>
      <c r="E60" s="37" t="s">
        <v>62</v>
      </c>
      <c r="F60" s="347"/>
      <c r="G60" s="367"/>
      <c r="H60" s="33"/>
      <c r="I60" s="270">
        <v>3.6</v>
      </c>
      <c r="J60" s="405" t="e">
        <f>I60/'통장내역(환율표)'!#REF!</f>
        <v>#REF!</v>
      </c>
      <c r="K60" s="263">
        <f t="shared" si="3"/>
        <v>353361.8100000007</v>
      </c>
      <c r="L60" s="263" t="e">
        <f t="shared" si="4"/>
        <v>#REF!</v>
      </c>
      <c r="M60" s="283"/>
      <c r="N60" s="45" t="e">
        <f t="shared" si="5"/>
        <v>#REF!</v>
      </c>
    </row>
    <row r="61" spans="1:14" s="5" customFormat="1" ht="13.5" customHeight="1">
      <c r="A61" s="255">
        <v>45220</v>
      </c>
      <c r="B61" s="365" t="s">
        <v>899</v>
      </c>
      <c r="C61" s="365"/>
      <c r="D61" s="432">
        <v>19</v>
      </c>
      <c r="E61" s="37" t="s">
        <v>294</v>
      </c>
      <c r="F61" s="347" t="s">
        <v>322</v>
      </c>
      <c r="G61" s="367"/>
      <c r="H61" s="33"/>
      <c r="I61" s="270">
        <v>1816</v>
      </c>
      <c r="J61" s="405" t="e">
        <f>I61/'통장내역(환율표)'!#REF!</f>
        <v>#REF!</v>
      </c>
      <c r="K61" s="263">
        <f t="shared" si="3"/>
        <v>351545.8100000007</v>
      </c>
      <c r="L61" s="263" t="e">
        <f t="shared" si="4"/>
        <v>#REF!</v>
      </c>
      <c r="M61" s="283" t="s">
        <v>945</v>
      </c>
      <c r="N61" s="45" t="e">
        <f t="shared" si="5"/>
        <v>#REF!</v>
      </c>
    </row>
    <row r="62" spans="1:14" s="5" customFormat="1" ht="13.5" customHeight="1">
      <c r="A62" s="255">
        <v>45220</v>
      </c>
      <c r="B62" s="365" t="s">
        <v>898</v>
      </c>
      <c r="C62" s="365"/>
      <c r="D62" s="432">
        <v>20</v>
      </c>
      <c r="E62" s="37" t="s">
        <v>294</v>
      </c>
      <c r="F62" s="347" t="s">
        <v>322</v>
      </c>
      <c r="G62" s="367"/>
      <c r="H62" s="33"/>
      <c r="I62" s="270">
        <v>2160</v>
      </c>
      <c r="J62" s="405" t="e">
        <f>I62/'통장내역(환율표)'!#REF!</f>
        <v>#REF!</v>
      </c>
      <c r="K62" s="263">
        <f t="shared" si="3"/>
        <v>349385.8100000007</v>
      </c>
      <c r="L62" s="263" t="e">
        <f t="shared" si="4"/>
        <v>#REF!</v>
      </c>
      <c r="M62" s="283" t="s">
        <v>945</v>
      </c>
      <c r="N62" s="45" t="e">
        <f t="shared" si="5"/>
        <v>#REF!</v>
      </c>
    </row>
    <row r="63" spans="1:14" s="5" customFormat="1" ht="13.5" customHeight="1">
      <c r="A63" s="255">
        <v>45220</v>
      </c>
      <c r="B63" s="365" t="s">
        <v>899</v>
      </c>
      <c r="C63" s="365"/>
      <c r="D63" s="432">
        <v>21</v>
      </c>
      <c r="E63" s="37" t="s">
        <v>294</v>
      </c>
      <c r="F63" s="347" t="s">
        <v>322</v>
      </c>
      <c r="G63" s="367"/>
      <c r="H63" s="33"/>
      <c r="I63" s="270">
        <v>3825</v>
      </c>
      <c r="J63" s="405" t="e">
        <f>I63/'통장내역(환율표)'!#REF!</f>
        <v>#REF!</v>
      </c>
      <c r="K63" s="263">
        <f t="shared" si="3"/>
        <v>345560.8100000007</v>
      </c>
      <c r="L63" s="263" t="e">
        <f t="shared" si="4"/>
        <v>#REF!</v>
      </c>
      <c r="M63" s="283" t="s">
        <v>946</v>
      </c>
      <c r="N63" s="45" t="e">
        <f t="shared" si="5"/>
        <v>#REF!</v>
      </c>
    </row>
    <row r="64" spans="1:14" s="5" customFormat="1" ht="13.5" customHeight="1">
      <c r="A64" s="255">
        <v>45220</v>
      </c>
      <c r="B64" s="365" t="s">
        <v>898</v>
      </c>
      <c r="C64" s="365"/>
      <c r="D64" s="432">
        <v>22</v>
      </c>
      <c r="E64" s="37" t="s">
        <v>294</v>
      </c>
      <c r="F64" s="347" t="s">
        <v>322</v>
      </c>
      <c r="G64" s="367"/>
      <c r="H64" s="33"/>
      <c r="I64" s="270">
        <v>600</v>
      </c>
      <c r="J64" s="405" t="e">
        <f>I64/'통장내역(환율표)'!#REF!</f>
        <v>#REF!</v>
      </c>
      <c r="K64" s="263">
        <f t="shared" si="3"/>
        <v>344960.8100000007</v>
      </c>
      <c r="L64" s="263" t="e">
        <f t="shared" si="4"/>
        <v>#REF!</v>
      </c>
      <c r="M64" s="283" t="s">
        <v>946</v>
      </c>
      <c r="N64" s="45" t="e">
        <f t="shared" si="5"/>
        <v>#REF!</v>
      </c>
    </row>
    <row r="65" spans="1:14" s="5" customFormat="1" ht="13.5" customHeight="1">
      <c r="A65" s="255">
        <v>45220</v>
      </c>
      <c r="B65" s="365" t="s">
        <v>852</v>
      </c>
      <c r="C65" s="365"/>
      <c r="D65" s="432">
        <v>23</v>
      </c>
      <c r="E65" s="37" t="s">
        <v>62</v>
      </c>
      <c r="F65" s="347"/>
      <c r="G65" s="367"/>
      <c r="H65" s="33"/>
      <c r="I65" s="270">
        <v>43.2</v>
      </c>
      <c r="J65" s="405" t="e">
        <f>I65/'통장내역(환율표)'!#REF!</f>
        <v>#REF!</v>
      </c>
      <c r="K65" s="263">
        <f t="shared" si="3"/>
        <v>344917.61000000068</v>
      </c>
      <c r="L65" s="263" t="e">
        <f t="shared" si="4"/>
        <v>#REF!</v>
      </c>
      <c r="M65" s="283"/>
      <c r="N65" s="45" t="e">
        <f t="shared" si="5"/>
        <v>#REF!</v>
      </c>
    </row>
    <row r="66" spans="1:14" s="5" customFormat="1" ht="13.5" customHeight="1">
      <c r="A66" s="255">
        <v>45220</v>
      </c>
      <c r="B66" s="365" t="s">
        <v>851</v>
      </c>
      <c r="C66" s="365"/>
      <c r="D66" s="432">
        <v>24</v>
      </c>
      <c r="E66" s="347" t="s">
        <v>296</v>
      </c>
      <c r="F66" s="347" t="s">
        <v>327</v>
      </c>
      <c r="G66" s="367"/>
      <c r="H66" s="33"/>
      <c r="I66" s="270">
        <v>98.7</v>
      </c>
      <c r="J66" s="405" t="e">
        <f>I66/'통장내역(환율표)'!#REF!</f>
        <v>#REF!</v>
      </c>
      <c r="K66" s="263">
        <f t="shared" si="3"/>
        <v>344818.91000000067</v>
      </c>
      <c r="L66" s="263" t="e">
        <f t="shared" si="4"/>
        <v>#REF!</v>
      </c>
      <c r="M66" s="283"/>
      <c r="N66" s="45" t="e">
        <f t="shared" si="5"/>
        <v>#REF!</v>
      </c>
    </row>
    <row r="67" spans="1:14" s="5" customFormat="1" ht="13.5" customHeight="1">
      <c r="A67" s="255">
        <v>45220</v>
      </c>
      <c r="B67" s="365" t="s">
        <v>853</v>
      </c>
      <c r="C67" s="365"/>
      <c r="D67" s="432">
        <v>25</v>
      </c>
      <c r="E67" s="347" t="s">
        <v>294</v>
      </c>
      <c r="F67" s="347" t="s">
        <v>322</v>
      </c>
      <c r="G67" s="367"/>
      <c r="H67" s="33"/>
      <c r="I67" s="270">
        <v>2672.09</v>
      </c>
      <c r="J67" s="405" t="e">
        <f>I67/'통장내역(환율표)'!#REF!</f>
        <v>#REF!</v>
      </c>
      <c r="K67" s="263">
        <f t="shared" si="3"/>
        <v>342146.82000000065</v>
      </c>
      <c r="L67" s="263" t="e">
        <f t="shared" si="4"/>
        <v>#REF!</v>
      </c>
      <c r="M67" s="283"/>
      <c r="N67" s="45" t="e">
        <f t="shared" si="5"/>
        <v>#REF!</v>
      </c>
    </row>
    <row r="68" spans="1:14" s="5" customFormat="1" ht="13.5" customHeight="1">
      <c r="A68" s="255">
        <v>45220</v>
      </c>
      <c r="B68" s="313" t="s">
        <v>250</v>
      </c>
      <c r="C68" s="365"/>
      <c r="D68" s="432">
        <v>26</v>
      </c>
      <c r="E68" s="347" t="s">
        <v>62</v>
      </c>
      <c r="F68" s="347"/>
      <c r="G68" s="367"/>
      <c r="H68" s="33"/>
      <c r="I68" s="270">
        <v>7.2</v>
      </c>
      <c r="J68" s="405" t="e">
        <f>I68/'통장내역(환율표)'!#REF!</f>
        <v>#REF!</v>
      </c>
      <c r="K68" s="263">
        <f t="shared" si="3"/>
        <v>342139.62000000064</v>
      </c>
      <c r="L68" s="263" t="e">
        <f t="shared" si="4"/>
        <v>#REF!</v>
      </c>
      <c r="M68" s="283"/>
      <c r="N68" s="45" t="e">
        <f t="shared" si="5"/>
        <v>#REF!</v>
      </c>
    </row>
    <row r="69" spans="1:14" s="5" customFormat="1" ht="13.5" customHeight="1">
      <c r="A69" s="255">
        <v>45220</v>
      </c>
      <c r="B69" s="365" t="s">
        <v>947</v>
      </c>
      <c r="C69" s="365"/>
      <c r="D69" s="432">
        <v>27</v>
      </c>
      <c r="E69" s="347" t="s">
        <v>294</v>
      </c>
      <c r="F69" s="347" t="s">
        <v>322</v>
      </c>
      <c r="G69" s="367"/>
      <c r="H69" s="33"/>
      <c r="I69" s="270">
        <v>1944</v>
      </c>
      <c r="J69" s="405" t="e">
        <f>I69/'통장내역(환율표)'!#REF!</f>
        <v>#REF!</v>
      </c>
      <c r="K69" s="263">
        <f t="shared" si="3"/>
        <v>340195.62000000064</v>
      </c>
      <c r="L69" s="263" t="e">
        <f t="shared" si="4"/>
        <v>#REF!</v>
      </c>
      <c r="M69" s="283"/>
      <c r="N69" s="45" t="e">
        <f t="shared" si="5"/>
        <v>#REF!</v>
      </c>
    </row>
    <row r="70" spans="1:14" s="5" customFormat="1" ht="13.5" customHeight="1">
      <c r="A70" s="255">
        <v>45220</v>
      </c>
      <c r="B70" s="365" t="s">
        <v>948</v>
      </c>
      <c r="C70" s="365"/>
      <c r="D70" s="432">
        <v>28</v>
      </c>
      <c r="E70" s="347" t="s">
        <v>294</v>
      </c>
      <c r="F70" s="347" t="s">
        <v>322</v>
      </c>
      <c r="G70" s="367"/>
      <c r="H70" s="33"/>
      <c r="I70" s="270">
        <v>1397</v>
      </c>
      <c r="J70" s="405" t="e">
        <f>I70/'통장내역(환율표)'!#REF!</f>
        <v>#REF!</v>
      </c>
      <c r="K70" s="263">
        <f t="shared" si="3"/>
        <v>338798.62000000064</v>
      </c>
      <c r="L70" s="263" t="e">
        <f t="shared" si="4"/>
        <v>#REF!</v>
      </c>
      <c r="M70" s="283"/>
      <c r="N70" s="45" t="e">
        <f t="shared" si="5"/>
        <v>#REF!</v>
      </c>
    </row>
    <row r="71" spans="1:14" s="5" customFormat="1" ht="13.5" customHeight="1">
      <c r="A71" s="255">
        <v>45220</v>
      </c>
      <c r="B71" s="365" t="s">
        <v>949</v>
      </c>
      <c r="C71" s="365"/>
      <c r="D71" s="432">
        <v>29</v>
      </c>
      <c r="E71" s="347" t="s">
        <v>294</v>
      </c>
      <c r="F71" s="347" t="s">
        <v>322</v>
      </c>
      <c r="G71" s="367"/>
      <c r="H71" s="33"/>
      <c r="I71" s="270">
        <v>875.76</v>
      </c>
      <c r="J71" s="405" t="e">
        <f>I71/'통장내역(환율표)'!#REF!</f>
        <v>#REF!</v>
      </c>
      <c r="K71" s="263">
        <f t="shared" si="3"/>
        <v>337922.86000000063</v>
      </c>
      <c r="L71" s="263" t="e">
        <f t="shared" si="4"/>
        <v>#REF!</v>
      </c>
      <c r="M71" s="283"/>
      <c r="N71" s="45" t="e">
        <f t="shared" si="5"/>
        <v>#REF!</v>
      </c>
    </row>
    <row r="72" spans="1:14" s="5" customFormat="1" ht="13.5" customHeight="1">
      <c r="A72" s="255">
        <v>45220</v>
      </c>
      <c r="B72" s="313" t="s">
        <v>250</v>
      </c>
      <c r="C72" s="365"/>
      <c r="D72" s="432">
        <v>30</v>
      </c>
      <c r="E72" s="347" t="s">
        <v>62</v>
      </c>
      <c r="F72" s="347"/>
      <c r="G72" s="367"/>
      <c r="H72" s="33"/>
      <c r="I72" s="270">
        <v>3.6</v>
      </c>
      <c r="J72" s="405" t="e">
        <f>I72/'통장내역(환율표)'!#REF!</f>
        <v>#REF!</v>
      </c>
      <c r="K72" s="263">
        <f t="shared" si="3"/>
        <v>337919.26000000065</v>
      </c>
      <c r="L72" s="263" t="e">
        <f t="shared" si="4"/>
        <v>#REF!</v>
      </c>
      <c r="M72" s="283"/>
      <c r="N72" s="45" t="e">
        <f t="shared" si="5"/>
        <v>#REF!</v>
      </c>
    </row>
    <row r="73" spans="1:14" s="5" customFormat="1" ht="13.5" customHeight="1">
      <c r="A73" s="255">
        <v>45220</v>
      </c>
      <c r="B73" s="365" t="s">
        <v>950</v>
      </c>
      <c r="C73" s="365"/>
      <c r="D73" s="432">
        <v>31</v>
      </c>
      <c r="E73" s="347" t="s">
        <v>294</v>
      </c>
      <c r="F73" s="347" t="s">
        <v>322</v>
      </c>
      <c r="G73" s="367"/>
      <c r="H73" s="33"/>
      <c r="I73" s="270">
        <v>6124.59</v>
      </c>
      <c r="J73" s="405" t="e">
        <f>I73/'통장내역(환율표)'!#REF!</f>
        <v>#REF!</v>
      </c>
      <c r="K73" s="263">
        <f t="shared" si="3"/>
        <v>331794.67000000062</v>
      </c>
      <c r="L73" s="263" t="e">
        <f t="shared" si="4"/>
        <v>#REF!</v>
      </c>
      <c r="M73" s="283"/>
      <c r="N73" s="45" t="e">
        <f t="shared" si="5"/>
        <v>#REF!</v>
      </c>
    </row>
    <row r="74" spans="1:14" s="5" customFormat="1" ht="13.5" customHeight="1">
      <c r="A74" s="255">
        <v>45220</v>
      </c>
      <c r="B74" s="365" t="s">
        <v>951</v>
      </c>
      <c r="C74" s="365"/>
      <c r="D74" s="432">
        <v>32</v>
      </c>
      <c r="E74" s="347" t="s">
        <v>62</v>
      </c>
      <c r="F74" s="347"/>
      <c r="G74" s="367"/>
      <c r="H74" s="33"/>
      <c r="I74" s="270">
        <v>863</v>
      </c>
      <c r="J74" s="405" t="e">
        <f>I74/'통장내역(환율표)'!#REF!</f>
        <v>#REF!</v>
      </c>
      <c r="K74" s="263">
        <f t="shared" si="3"/>
        <v>330931.67000000062</v>
      </c>
      <c r="L74" s="263" t="e">
        <f t="shared" si="4"/>
        <v>#REF!</v>
      </c>
      <c r="M74" s="283"/>
      <c r="N74" s="45" t="e">
        <f t="shared" si="5"/>
        <v>#REF!</v>
      </c>
    </row>
    <row r="75" spans="1:14" s="5" customFormat="1" ht="13.5" customHeight="1">
      <c r="A75" s="255">
        <v>45220</v>
      </c>
      <c r="B75" s="365" t="s">
        <v>952</v>
      </c>
      <c r="C75" s="365"/>
      <c r="D75" s="432">
        <v>33</v>
      </c>
      <c r="E75" s="347" t="s">
        <v>238</v>
      </c>
      <c r="F75" s="347" t="s">
        <v>324</v>
      </c>
      <c r="G75" s="367"/>
      <c r="H75" s="33"/>
      <c r="I75" s="270">
        <v>1377</v>
      </c>
      <c r="J75" s="405" t="e">
        <f>I75/'통장내역(환율표)'!#REF!</f>
        <v>#REF!</v>
      </c>
      <c r="K75" s="263">
        <f t="shared" si="3"/>
        <v>329554.67000000062</v>
      </c>
      <c r="L75" s="263" t="e">
        <f t="shared" si="4"/>
        <v>#REF!</v>
      </c>
      <c r="M75" s="283"/>
      <c r="N75" s="45" t="e">
        <f t="shared" si="5"/>
        <v>#REF!</v>
      </c>
    </row>
    <row r="76" spans="1:14" s="5" customFormat="1" ht="13.5" customHeight="1">
      <c r="A76" s="255">
        <v>45220</v>
      </c>
      <c r="B76" s="365" t="s">
        <v>953</v>
      </c>
      <c r="C76" s="365"/>
      <c r="D76" s="432">
        <v>34</v>
      </c>
      <c r="E76" s="347" t="s">
        <v>294</v>
      </c>
      <c r="F76" s="347" t="s">
        <v>322</v>
      </c>
      <c r="G76" s="367"/>
      <c r="H76" s="33"/>
      <c r="I76" s="270">
        <v>662.29</v>
      </c>
      <c r="J76" s="405" t="e">
        <f>I76/'통장내역(환율표)'!#REF!</f>
        <v>#REF!</v>
      </c>
      <c r="K76" s="263">
        <f t="shared" si="3"/>
        <v>328892.38000000064</v>
      </c>
      <c r="L76" s="263" t="e">
        <f t="shared" si="4"/>
        <v>#REF!</v>
      </c>
      <c r="M76" s="283"/>
      <c r="N76" s="45" t="e">
        <f t="shared" si="5"/>
        <v>#REF!</v>
      </c>
    </row>
    <row r="77" spans="1:14" s="5" customFormat="1" ht="13.5" customHeight="1">
      <c r="A77" s="255">
        <v>45220</v>
      </c>
      <c r="B77" s="365" t="s">
        <v>250</v>
      </c>
      <c r="C77" s="365"/>
      <c r="D77" s="432">
        <v>35</v>
      </c>
      <c r="E77" s="347" t="s">
        <v>62</v>
      </c>
      <c r="F77" s="347"/>
      <c r="G77" s="367"/>
      <c r="H77" s="33"/>
      <c r="I77" s="270">
        <v>3.6</v>
      </c>
      <c r="J77" s="405" t="e">
        <f>I77/'통장내역(환율표)'!#REF!</f>
        <v>#REF!</v>
      </c>
      <c r="K77" s="263">
        <f t="shared" si="3"/>
        <v>328888.78000000067</v>
      </c>
      <c r="L77" s="263" t="e">
        <f t="shared" si="4"/>
        <v>#REF!</v>
      </c>
      <c r="M77" s="283"/>
      <c r="N77" s="45" t="e">
        <f t="shared" si="5"/>
        <v>#REF!</v>
      </c>
    </row>
    <row r="78" spans="1:14" s="5" customFormat="1" ht="13.5" customHeight="1">
      <c r="A78" s="255">
        <v>45220</v>
      </c>
      <c r="B78" s="365" t="s">
        <v>932</v>
      </c>
      <c r="C78" s="365"/>
      <c r="D78" s="432">
        <v>36</v>
      </c>
      <c r="E78" s="347" t="s">
        <v>294</v>
      </c>
      <c r="F78" s="347" t="s">
        <v>322</v>
      </c>
      <c r="G78" s="367"/>
      <c r="H78" s="33"/>
      <c r="I78" s="270">
        <v>9519</v>
      </c>
      <c r="J78" s="405" t="e">
        <f>I78/'통장내역(환율표)'!#REF!</f>
        <v>#REF!</v>
      </c>
      <c r="K78" s="263">
        <f t="shared" si="3"/>
        <v>319369.78000000067</v>
      </c>
      <c r="L78" s="263" t="e">
        <f t="shared" si="4"/>
        <v>#REF!</v>
      </c>
      <c r="M78" s="283"/>
      <c r="N78" s="45" t="e">
        <f t="shared" si="5"/>
        <v>#REF!</v>
      </c>
    </row>
    <row r="79" spans="1:14" s="5" customFormat="1" ht="13.5" customHeight="1">
      <c r="A79" s="255">
        <v>45220</v>
      </c>
      <c r="B79" s="365" t="s">
        <v>250</v>
      </c>
      <c r="C79" s="365"/>
      <c r="D79" s="432">
        <v>37</v>
      </c>
      <c r="E79" s="347" t="s">
        <v>62</v>
      </c>
      <c r="F79" s="347"/>
      <c r="G79" s="367"/>
      <c r="H79" s="33"/>
      <c r="I79" s="270">
        <v>3.6</v>
      </c>
      <c r="J79" s="405" t="e">
        <f>I79/'통장내역(환율표)'!#REF!</f>
        <v>#REF!</v>
      </c>
      <c r="K79" s="263">
        <f t="shared" si="3"/>
        <v>319366.18000000069</v>
      </c>
      <c r="L79" s="263" t="e">
        <f t="shared" si="4"/>
        <v>#REF!</v>
      </c>
      <c r="M79" s="283"/>
      <c r="N79" s="45" t="e">
        <f t="shared" si="5"/>
        <v>#REF!</v>
      </c>
    </row>
    <row r="80" spans="1:14" s="5" customFormat="1" ht="13.5" customHeight="1">
      <c r="A80" s="428">
        <v>45220</v>
      </c>
      <c r="B80" s="429" t="s">
        <v>974</v>
      </c>
      <c r="C80" s="429"/>
      <c r="D80" s="370">
        <v>38</v>
      </c>
      <c r="E80" s="375" t="s">
        <v>294</v>
      </c>
      <c r="F80" s="375" t="s">
        <v>322</v>
      </c>
      <c r="G80" s="430"/>
      <c r="H80" s="181"/>
      <c r="I80" s="188" t="e">
        <f>J80*'통장내역(환율표)'!#REF!</f>
        <v>#REF!</v>
      </c>
      <c r="J80" s="405">
        <v>30.367673765815614</v>
      </c>
      <c r="K80" s="372" t="e">
        <f t="shared" si="3"/>
        <v>#REF!</v>
      </c>
      <c r="L80" s="372" t="e">
        <f t="shared" si="4"/>
        <v>#REF!</v>
      </c>
      <c r="M80" s="431"/>
      <c r="N80" s="45" t="e">
        <f t="shared" si="5"/>
        <v>#REF!</v>
      </c>
    </row>
    <row r="81" spans="1:14" s="5" customFormat="1" ht="13.5" customHeight="1">
      <c r="A81" s="428">
        <v>45220</v>
      </c>
      <c r="B81" s="429" t="s">
        <v>975</v>
      </c>
      <c r="C81" s="429"/>
      <c r="D81" s="370">
        <v>38</v>
      </c>
      <c r="E81" s="375" t="s">
        <v>294</v>
      </c>
      <c r="F81" s="375" t="s">
        <v>322</v>
      </c>
      <c r="G81" s="430"/>
      <c r="H81" s="181"/>
      <c r="I81" s="188" t="e">
        <f>6033.81-I80</f>
        <v>#REF!</v>
      </c>
      <c r="J81" s="346" t="e">
        <f>I81/'통장내역(환율표)'!#REF!</f>
        <v>#REF!</v>
      </c>
      <c r="K81" s="372" t="e">
        <f t="shared" si="3"/>
        <v>#REF!</v>
      </c>
      <c r="L81" s="372" t="e">
        <f t="shared" si="4"/>
        <v>#REF!</v>
      </c>
      <c r="M81" s="431"/>
      <c r="N81" s="45" t="e">
        <f>43857-J81</f>
        <v>#REF!</v>
      </c>
    </row>
    <row r="82" spans="1:14" s="5" customFormat="1" ht="13.5" customHeight="1">
      <c r="A82" s="255">
        <v>45220</v>
      </c>
      <c r="B82" s="365" t="s">
        <v>250</v>
      </c>
      <c r="C82" s="365"/>
      <c r="D82" s="432">
        <v>39</v>
      </c>
      <c r="E82" s="347" t="s">
        <v>62</v>
      </c>
      <c r="F82" s="347"/>
      <c r="G82" s="367"/>
      <c r="H82" s="33"/>
      <c r="I82" s="270">
        <v>3.6</v>
      </c>
      <c r="J82" s="346" t="e">
        <f>I82/'통장내역(환율표)'!#REF!</f>
        <v>#REF!</v>
      </c>
      <c r="K82" s="263" t="e">
        <f t="shared" si="3"/>
        <v>#REF!</v>
      </c>
      <c r="L82" s="263" t="e">
        <f t="shared" si="4"/>
        <v>#REF!</v>
      </c>
      <c r="M82" s="283"/>
      <c r="N82" s="45" t="e">
        <f>N81-J82</f>
        <v>#REF!</v>
      </c>
    </row>
    <row r="83" spans="1:14" s="5" customFormat="1" ht="13.5" customHeight="1">
      <c r="A83" s="255">
        <v>45220</v>
      </c>
      <c r="B83" s="365" t="s">
        <v>933</v>
      </c>
      <c r="C83" s="365"/>
      <c r="D83" s="432">
        <v>40</v>
      </c>
      <c r="E83" s="347" t="s">
        <v>238</v>
      </c>
      <c r="F83" s="347" t="s">
        <v>324</v>
      </c>
      <c r="G83" s="367"/>
      <c r="H83" s="33"/>
      <c r="I83" s="270">
        <v>1341</v>
      </c>
      <c r="J83" s="346" t="e">
        <f>I83/'통장내역(환율표)'!#REF!</f>
        <v>#REF!</v>
      </c>
      <c r="K83" s="263" t="e">
        <f t="shared" si="3"/>
        <v>#REF!</v>
      </c>
      <c r="L83" s="263" t="e">
        <f t="shared" si="4"/>
        <v>#REF!</v>
      </c>
      <c r="M83" s="283"/>
      <c r="N83" s="45" t="e">
        <f t="shared" ref="N83:N99" si="6">N82-J83</f>
        <v>#REF!</v>
      </c>
    </row>
    <row r="84" spans="1:14" s="5" customFormat="1" ht="13.5" customHeight="1">
      <c r="A84" s="255">
        <v>45220</v>
      </c>
      <c r="B84" s="365" t="s">
        <v>250</v>
      </c>
      <c r="C84" s="365"/>
      <c r="D84" s="432">
        <v>41</v>
      </c>
      <c r="E84" s="347" t="s">
        <v>62</v>
      </c>
      <c r="F84" s="347"/>
      <c r="G84" s="367"/>
      <c r="H84" s="33"/>
      <c r="I84" s="270">
        <v>3.6</v>
      </c>
      <c r="J84" s="346" t="e">
        <f>I84/'통장내역(환율표)'!#REF!</f>
        <v>#REF!</v>
      </c>
      <c r="K84" s="263" t="e">
        <f t="shared" si="3"/>
        <v>#REF!</v>
      </c>
      <c r="L84" s="263" t="e">
        <f t="shared" si="4"/>
        <v>#REF!</v>
      </c>
      <c r="M84" s="283"/>
      <c r="N84" s="45" t="e">
        <f t="shared" si="6"/>
        <v>#REF!</v>
      </c>
    </row>
    <row r="85" spans="1:14" s="5" customFormat="1" ht="13.5" customHeight="1">
      <c r="A85" s="255">
        <v>45220</v>
      </c>
      <c r="B85" s="365" t="s">
        <v>934</v>
      </c>
      <c r="C85" s="365"/>
      <c r="D85" s="432">
        <v>42</v>
      </c>
      <c r="E85" s="347" t="s">
        <v>294</v>
      </c>
      <c r="F85" s="347" t="s">
        <v>322</v>
      </c>
      <c r="G85" s="367"/>
      <c r="H85" s="33"/>
      <c r="I85" s="270">
        <v>154.63</v>
      </c>
      <c r="J85" s="346" t="e">
        <f>I85/'통장내역(환율표)'!#REF!</f>
        <v>#REF!</v>
      </c>
      <c r="K85" s="263" t="e">
        <f t="shared" ref="K85:K99" si="7">K84+G85-I85</f>
        <v>#REF!</v>
      </c>
      <c r="L85" s="263" t="e">
        <f t="shared" ref="L85:L99" si="8">L84+H85-J85</f>
        <v>#REF!</v>
      </c>
      <c r="M85" s="283"/>
      <c r="N85" s="45" t="e">
        <f t="shared" si="6"/>
        <v>#REF!</v>
      </c>
    </row>
    <row r="86" spans="1:14" s="5" customFormat="1" ht="13.5" customHeight="1">
      <c r="A86" s="255">
        <v>45220</v>
      </c>
      <c r="B86" s="365" t="s">
        <v>250</v>
      </c>
      <c r="C86" s="365"/>
      <c r="D86" s="432">
        <v>43</v>
      </c>
      <c r="E86" s="347" t="s">
        <v>62</v>
      </c>
      <c r="F86" s="347"/>
      <c r="G86" s="367"/>
      <c r="H86" s="33"/>
      <c r="I86" s="270">
        <v>3.6</v>
      </c>
      <c r="J86" s="346" t="e">
        <f>I86/'통장내역(환율표)'!#REF!</f>
        <v>#REF!</v>
      </c>
      <c r="K86" s="263" t="e">
        <f t="shared" si="7"/>
        <v>#REF!</v>
      </c>
      <c r="L86" s="263" t="e">
        <f t="shared" si="8"/>
        <v>#REF!</v>
      </c>
      <c r="M86" s="283"/>
      <c r="N86" s="45" t="e">
        <f t="shared" si="6"/>
        <v>#REF!</v>
      </c>
    </row>
    <row r="87" spans="1:14" s="5" customFormat="1" ht="13.5" customHeight="1">
      <c r="A87" s="255">
        <v>45220</v>
      </c>
      <c r="B87" s="365" t="s">
        <v>935</v>
      </c>
      <c r="C87" s="365"/>
      <c r="D87" s="432">
        <v>44</v>
      </c>
      <c r="E87" s="347" t="s">
        <v>296</v>
      </c>
      <c r="F87" s="347" t="s">
        <v>327</v>
      </c>
      <c r="G87" s="263"/>
      <c r="H87" s="263"/>
      <c r="I87" s="270">
        <v>300</v>
      </c>
      <c r="J87" s="346" t="e">
        <f>I87/'통장내역(환율표)'!#REF!</f>
        <v>#REF!</v>
      </c>
      <c r="K87" s="263" t="e">
        <f t="shared" si="7"/>
        <v>#REF!</v>
      </c>
      <c r="L87" s="263" t="e">
        <f t="shared" si="8"/>
        <v>#REF!</v>
      </c>
      <c r="M87" s="347"/>
      <c r="N87" s="45" t="e">
        <f t="shared" si="6"/>
        <v>#REF!</v>
      </c>
    </row>
    <row r="88" spans="1:14" s="5" customFormat="1" ht="13.5" customHeight="1">
      <c r="A88" s="255">
        <v>45220</v>
      </c>
      <c r="B88" s="365" t="s">
        <v>250</v>
      </c>
      <c r="C88" s="365"/>
      <c r="D88" s="432">
        <v>45</v>
      </c>
      <c r="E88" s="347" t="s">
        <v>62</v>
      </c>
      <c r="F88" s="347"/>
      <c r="G88" s="263"/>
      <c r="H88" s="263"/>
      <c r="I88" s="270">
        <v>3.6</v>
      </c>
      <c r="J88" s="346" t="e">
        <f>I88/'통장내역(환율표)'!#REF!</f>
        <v>#REF!</v>
      </c>
      <c r="K88" s="263" t="e">
        <f t="shared" si="7"/>
        <v>#REF!</v>
      </c>
      <c r="L88" s="263" t="e">
        <f t="shared" si="8"/>
        <v>#REF!</v>
      </c>
      <c r="M88" s="347"/>
      <c r="N88" s="45" t="e">
        <f t="shared" si="6"/>
        <v>#REF!</v>
      </c>
    </row>
    <row r="89" spans="1:14" s="5" customFormat="1" ht="13.5" customHeight="1">
      <c r="A89" s="255">
        <v>45220</v>
      </c>
      <c r="B89" s="365" t="s">
        <v>708</v>
      </c>
      <c r="C89" s="365"/>
      <c r="D89" s="432">
        <v>46</v>
      </c>
      <c r="E89" s="347" t="s">
        <v>238</v>
      </c>
      <c r="F89" s="347" t="s">
        <v>324</v>
      </c>
      <c r="G89" s="263"/>
      <c r="H89" s="263"/>
      <c r="I89" s="270">
        <v>3970.73</v>
      </c>
      <c r="J89" s="346" t="e">
        <f>I89/'통장내역(환율표)'!#REF!</f>
        <v>#REF!</v>
      </c>
      <c r="K89" s="263" t="e">
        <f t="shared" si="7"/>
        <v>#REF!</v>
      </c>
      <c r="L89" s="263" t="e">
        <f t="shared" si="8"/>
        <v>#REF!</v>
      </c>
      <c r="M89" s="347" t="s">
        <v>954</v>
      </c>
      <c r="N89" s="45" t="e">
        <f t="shared" si="6"/>
        <v>#REF!</v>
      </c>
    </row>
    <row r="90" spans="1:14" s="5" customFormat="1" ht="13.5" customHeight="1">
      <c r="A90" s="255">
        <v>45220</v>
      </c>
      <c r="B90" s="365" t="s">
        <v>250</v>
      </c>
      <c r="C90" s="365"/>
      <c r="D90" s="432">
        <v>47</v>
      </c>
      <c r="E90" s="347" t="s">
        <v>62</v>
      </c>
      <c r="F90" s="347"/>
      <c r="G90" s="263"/>
      <c r="H90" s="263"/>
      <c r="I90" s="270">
        <v>3.6</v>
      </c>
      <c r="J90" s="346" t="e">
        <f>I90/'통장내역(환율표)'!#REF!</f>
        <v>#REF!</v>
      </c>
      <c r="K90" s="263" t="e">
        <f t="shared" si="7"/>
        <v>#REF!</v>
      </c>
      <c r="L90" s="263" t="e">
        <f t="shared" si="8"/>
        <v>#REF!</v>
      </c>
      <c r="M90" s="347"/>
      <c r="N90" s="45" t="e">
        <f t="shared" si="6"/>
        <v>#REF!</v>
      </c>
    </row>
    <row r="91" spans="1:14" s="5" customFormat="1" ht="13.5" customHeight="1">
      <c r="A91" s="255">
        <v>45220</v>
      </c>
      <c r="B91" s="365" t="s">
        <v>855</v>
      </c>
      <c r="C91" s="365"/>
      <c r="D91" s="432">
        <v>48</v>
      </c>
      <c r="E91" s="347" t="s">
        <v>296</v>
      </c>
      <c r="F91" s="347" t="s">
        <v>327</v>
      </c>
      <c r="G91" s="263"/>
      <c r="H91" s="263"/>
      <c r="I91" s="270">
        <v>398.08</v>
      </c>
      <c r="J91" s="346" t="e">
        <f>I91/'통장내역(환율표)'!#REF!</f>
        <v>#REF!</v>
      </c>
      <c r="K91" s="263" t="e">
        <f t="shared" si="7"/>
        <v>#REF!</v>
      </c>
      <c r="L91" s="263" t="e">
        <f t="shared" si="8"/>
        <v>#REF!</v>
      </c>
      <c r="M91" s="347"/>
      <c r="N91" s="45" t="e">
        <f t="shared" si="6"/>
        <v>#REF!</v>
      </c>
    </row>
    <row r="92" spans="1:14" s="5" customFormat="1" ht="13.5" customHeight="1">
      <c r="A92" s="255">
        <v>45220</v>
      </c>
      <c r="B92" s="365" t="s">
        <v>854</v>
      </c>
      <c r="C92" s="365"/>
      <c r="D92" s="432">
        <v>49</v>
      </c>
      <c r="E92" s="347" t="s">
        <v>296</v>
      </c>
      <c r="F92" s="347" t="s">
        <v>327</v>
      </c>
      <c r="G92" s="263"/>
      <c r="H92" s="263"/>
      <c r="I92" s="270">
        <v>499</v>
      </c>
      <c r="J92" s="346" t="e">
        <f>I92/'통장내역(환율표)'!#REF!</f>
        <v>#REF!</v>
      </c>
      <c r="K92" s="263" t="e">
        <f t="shared" si="7"/>
        <v>#REF!</v>
      </c>
      <c r="L92" s="263" t="e">
        <f t="shared" si="8"/>
        <v>#REF!</v>
      </c>
      <c r="M92" s="347"/>
      <c r="N92" s="45" t="e">
        <f t="shared" si="6"/>
        <v>#REF!</v>
      </c>
    </row>
    <row r="93" spans="1:14" s="5" customFormat="1" ht="13.5" customHeight="1">
      <c r="A93" s="255">
        <v>45220</v>
      </c>
      <c r="B93" s="313" t="s">
        <v>250</v>
      </c>
      <c r="C93" s="365"/>
      <c r="D93" s="432">
        <v>50</v>
      </c>
      <c r="E93" s="347" t="s">
        <v>62</v>
      </c>
      <c r="F93" s="347"/>
      <c r="G93" s="263"/>
      <c r="H93" s="263"/>
      <c r="I93" s="270">
        <v>3.6</v>
      </c>
      <c r="J93" s="346" t="e">
        <f>I93/'통장내역(환율표)'!#REF!</f>
        <v>#REF!</v>
      </c>
      <c r="K93" s="263" t="e">
        <f t="shared" si="7"/>
        <v>#REF!</v>
      </c>
      <c r="L93" s="263" t="e">
        <f t="shared" si="8"/>
        <v>#REF!</v>
      </c>
      <c r="M93" s="347"/>
      <c r="N93" s="45" t="e">
        <f t="shared" si="6"/>
        <v>#REF!</v>
      </c>
    </row>
    <row r="94" spans="1:14" s="5" customFormat="1" ht="13.5" customHeight="1">
      <c r="A94" s="255">
        <v>45220</v>
      </c>
      <c r="B94" s="365" t="s">
        <v>936</v>
      </c>
      <c r="C94" s="365"/>
      <c r="D94" s="432">
        <v>51</v>
      </c>
      <c r="E94" s="347" t="s">
        <v>62</v>
      </c>
      <c r="F94" s="347"/>
      <c r="G94" s="263"/>
      <c r="H94" s="263"/>
      <c r="I94" s="270">
        <v>698.9</v>
      </c>
      <c r="J94" s="346" t="e">
        <f>I94/'통장내역(환율표)'!#REF!</f>
        <v>#REF!</v>
      </c>
      <c r="K94" s="263" t="e">
        <f t="shared" si="7"/>
        <v>#REF!</v>
      </c>
      <c r="L94" s="263" t="e">
        <f t="shared" si="8"/>
        <v>#REF!</v>
      </c>
      <c r="M94" s="347"/>
      <c r="N94" s="45" t="e">
        <f t="shared" si="6"/>
        <v>#REF!</v>
      </c>
    </row>
    <row r="95" spans="1:14" s="5" customFormat="1" ht="13.5" customHeight="1">
      <c r="A95" s="255">
        <v>45220</v>
      </c>
      <c r="B95" s="313" t="s">
        <v>250</v>
      </c>
      <c r="C95" s="365"/>
      <c r="D95" s="432">
        <v>52</v>
      </c>
      <c r="E95" s="347" t="s">
        <v>62</v>
      </c>
      <c r="F95" s="347"/>
      <c r="G95" s="263"/>
      <c r="H95" s="263"/>
      <c r="I95" s="270">
        <v>3.6</v>
      </c>
      <c r="J95" s="346" t="e">
        <f>I95/'통장내역(환율표)'!#REF!</f>
        <v>#REF!</v>
      </c>
      <c r="K95" s="263" t="e">
        <f t="shared" si="7"/>
        <v>#REF!</v>
      </c>
      <c r="L95" s="263" t="e">
        <f t="shared" si="8"/>
        <v>#REF!</v>
      </c>
      <c r="M95" s="347"/>
      <c r="N95" s="45" t="e">
        <f t="shared" si="6"/>
        <v>#REF!</v>
      </c>
    </row>
    <row r="96" spans="1:14" s="5" customFormat="1" ht="13.5" customHeight="1">
      <c r="A96" s="255">
        <v>45220</v>
      </c>
      <c r="B96" s="365" t="s">
        <v>937</v>
      </c>
      <c r="C96" s="365"/>
      <c r="D96" s="432">
        <v>53</v>
      </c>
      <c r="E96" s="347" t="s">
        <v>62</v>
      </c>
      <c r="F96" s="347"/>
      <c r="G96" s="263"/>
      <c r="H96" s="263"/>
      <c r="I96" s="270">
        <v>266.39999999999998</v>
      </c>
      <c r="J96" s="346" t="e">
        <f>I96/'통장내역(환율표)'!#REF!</f>
        <v>#REF!</v>
      </c>
      <c r="K96" s="263" t="e">
        <f t="shared" si="7"/>
        <v>#REF!</v>
      </c>
      <c r="L96" s="263" t="e">
        <f t="shared" si="8"/>
        <v>#REF!</v>
      </c>
      <c r="M96" s="347"/>
      <c r="N96" s="45" t="e">
        <f t="shared" si="6"/>
        <v>#REF!</v>
      </c>
    </row>
    <row r="97" spans="1:15" s="5" customFormat="1" ht="13.5" customHeight="1">
      <c r="A97" s="255">
        <v>45220</v>
      </c>
      <c r="B97" s="313" t="s">
        <v>250</v>
      </c>
      <c r="C97" s="365"/>
      <c r="D97" s="432">
        <v>54</v>
      </c>
      <c r="E97" s="347" t="s">
        <v>62</v>
      </c>
      <c r="F97" s="347"/>
      <c r="G97" s="263"/>
      <c r="H97" s="263"/>
      <c r="I97" s="270">
        <v>3.6</v>
      </c>
      <c r="J97" s="346" t="e">
        <f>I97/'통장내역(환율표)'!#REF!</f>
        <v>#REF!</v>
      </c>
      <c r="K97" s="263" t="e">
        <f t="shared" si="7"/>
        <v>#REF!</v>
      </c>
      <c r="L97" s="263" t="e">
        <f t="shared" si="8"/>
        <v>#REF!</v>
      </c>
      <c r="M97" s="347"/>
      <c r="N97" s="45" t="e">
        <f t="shared" si="6"/>
        <v>#REF!</v>
      </c>
    </row>
    <row r="98" spans="1:15" s="5" customFormat="1" ht="12.75" customHeight="1">
      <c r="A98" s="255">
        <v>45220</v>
      </c>
      <c r="B98" s="365" t="s">
        <v>709</v>
      </c>
      <c r="C98" s="365"/>
      <c r="D98" s="432">
        <v>55</v>
      </c>
      <c r="E98" s="347" t="s">
        <v>294</v>
      </c>
      <c r="F98" s="347" t="s">
        <v>322</v>
      </c>
      <c r="G98" s="263"/>
      <c r="H98" s="263"/>
      <c r="I98" s="270">
        <v>2130.64</v>
      </c>
      <c r="J98" s="346" t="e">
        <f>I98/'통장내역(환율표)'!#REF!</f>
        <v>#REF!</v>
      </c>
      <c r="K98" s="263" t="e">
        <f t="shared" si="7"/>
        <v>#REF!</v>
      </c>
      <c r="L98" s="263" t="e">
        <f t="shared" si="8"/>
        <v>#REF!</v>
      </c>
      <c r="M98" s="347"/>
      <c r="N98" s="45" t="e">
        <f t="shared" si="6"/>
        <v>#REF!</v>
      </c>
    </row>
    <row r="99" spans="1:15" s="5" customFormat="1" ht="13.5" customHeight="1">
      <c r="A99" s="255">
        <v>45220</v>
      </c>
      <c r="B99" s="313" t="s">
        <v>250</v>
      </c>
      <c r="C99" s="365"/>
      <c r="D99" s="432">
        <v>56</v>
      </c>
      <c r="E99" s="347" t="s">
        <v>62</v>
      </c>
      <c r="F99" s="347"/>
      <c r="G99" s="263"/>
      <c r="H99" s="263"/>
      <c r="I99" s="270">
        <v>3.6</v>
      </c>
      <c r="J99" s="346" t="e">
        <f>I99/'통장내역(환율표)'!#REF!</f>
        <v>#REF!</v>
      </c>
      <c r="K99" s="263" t="e">
        <f t="shared" si="7"/>
        <v>#REF!</v>
      </c>
      <c r="L99" s="263" t="e">
        <f t="shared" si="8"/>
        <v>#REF!</v>
      </c>
      <c r="M99" s="347"/>
      <c r="N99" s="45" t="e">
        <f t="shared" si="6"/>
        <v>#REF!</v>
      </c>
    </row>
    <row r="100" spans="1:15" s="5" customFormat="1" ht="13.5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5" customFormat="1" ht="13.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5" customFormat="1" ht="13.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s="5" customFormat="1" ht="13.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s="5" customFormat="1" ht="12.7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s="5" customFormat="1" ht="12.7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s="5" customFormat="1" ht="12.7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3.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3.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3.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9" spans="1:15">
      <c r="B139" s="314"/>
      <c r="C139" s="314"/>
      <c r="D139" s="314"/>
      <c r="E139" s="314"/>
    </row>
    <row r="140" spans="1:15">
      <c r="B140" s="314"/>
    </row>
  </sheetData>
  <autoFilter ref="A18:N13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8" type="noConversion"/>
  <pageMargins left="0.25" right="0.25" top="0.75" bottom="0.75" header="0.3" footer="0.3"/>
  <pageSetup paperSize="9" scale="3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FA84-6558-4469-BAB2-E97723E55622}">
  <sheetPr>
    <tabColor rgb="FFF8DA90"/>
    <pageSetUpPr fitToPage="1"/>
  </sheetPr>
  <dimension ref="A1:R160"/>
  <sheetViews>
    <sheetView showGridLines="0" zoomScale="85" zoomScaleNormal="85" workbookViewId="0">
      <pane ySplit="18" topLeftCell="A19" activePane="bottomLeft" state="frozen"/>
      <selection activeCell="D51" sqref="D51"/>
      <selection pane="bottomLeft" activeCell="D51" sqref="D51"/>
    </sheetView>
  </sheetViews>
  <sheetFormatPr defaultRowHeight="17.399999999999999"/>
  <cols>
    <col min="1" max="1" width="11.796875" customWidth="1"/>
    <col min="2" max="2" width="22.69921875" customWidth="1"/>
    <col min="3" max="3" width="17.296875" customWidth="1"/>
    <col min="4" max="4" width="11.796875" customWidth="1"/>
    <col min="5" max="5" width="13.5" bestFit="1" customWidth="1"/>
    <col min="6" max="6" width="9.59765625" bestFit="1" customWidth="1"/>
    <col min="7" max="7" width="10.796875" bestFit="1" customWidth="1"/>
    <col min="8" max="8" width="10" bestFit="1" customWidth="1"/>
    <col min="9" max="9" width="11.796875" bestFit="1" customWidth="1"/>
    <col min="10" max="11" width="13.5" bestFit="1" customWidth="1"/>
    <col min="12" max="12" width="11.59765625" bestFit="1" customWidth="1"/>
    <col min="13" max="13" width="27.19921875" customWidth="1"/>
    <col min="14" max="14" width="15.09765625" customWidth="1"/>
    <col min="15" max="15" width="11.59765625" bestFit="1" customWidth="1"/>
    <col min="16" max="16" width="9.59765625" bestFit="1" customWidth="1"/>
    <col min="17" max="17" width="13.19921875" bestFit="1" customWidth="1"/>
    <col min="18" max="18" width="10" bestFit="1" customWidth="1"/>
  </cols>
  <sheetData>
    <row r="1" spans="1:18" ht="23.25" customHeight="1">
      <c r="A1" s="1" t="s">
        <v>383</v>
      </c>
      <c r="B1" s="2"/>
      <c r="C1" s="2"/>
      <c r="D1" s="3"/>
      <c r="E1" s="4">
        <v>100021363</v>
      </c>
      <c r="F1" s="130"/>
      <c r="G1" s="337" t="s">
        <v>792</v>
      </c>
      <c r="H1" s="299"/>
      <c r="I1" s="299"/>
      <c r="J1" s="299"/>
      <c r="K1" s="299"/>
      <c r="L1" s="5"/>
      <c r="M1" s="5"/>
      <c r="N1" s="5"/>
      <c r="O1" s="5"/>
      <c r="P1" s="5"/>
      <c r="Q1" s="5"/>
    </row>
    <row r="2" spans="1:18" s="5" customFormat="1">
      <c r="A2" s="130" t="s">
        <v>977</v>
      </c>
      <c r="B2" s="2"/>
      <c r="C2" s="2"/>
      <c r="E2" s="4">
        <v>100000210</v>
      </c>
      <c r="F2" s="119"/>
      <c r="G2" s="130" t="s">
        <v>982</v>
      </c>
      <c r="H2" s="2"/>
      <c r="I2" s="2"/>
      <c r="K2" s="4">
        <v>100000210</v>
      </c>
      <c r="L2" s="364"/>
    </row>
    <row r="3" spans="1:18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5.6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0">
        <f>E4+K4</f>
        <v>0</v>
      </c>
      <c r="M4" s="130"/>
      <c r="N4" s="130"/>
      <c r="O4" s="130"/>
    </row>
    <row r="5" spans="1:18" s="5" customFormat="1" ht="15.6">
      <c r="A5" s="114" t="s">
        <v>238</v>
      </c>
      <c r="B5" s="115" t="s">
        <v>12</v>
      </c>
      <c r="C5" s="120">
        <v>15991.13</v>
      </c>
      <c r="D5" s="116">
        <v>2197.5</v>
      </c>
      <c r="E5" s="117">
        <v>2962889</v>
      </c>
      <c r="F5" s="121">
        <v>51131050</v>
      </c>
      <c r="G5" s="114" t="s">
        <v>238</v>
      </c>
      <c r="H5" s="115" t="s">
        <v>12</v>
      </c>
      <c r="I5" s="120">
        <v>14788.4</v>
      </c>
      <c r="J5" s="116">
        <v>2032.53</v>
      </c>
      <c r="K5" s="117">
        <v>2660582</v>
      </c>
      <c r="L5" s="240">
        <f t="shared" ref="L5:L12" si="0">E5+K5</f>
        <v>5623471</v>
      </c>
      <c r="M5" s="130"/>
      <c r="N5" s="130"/>
      <c r="O5" s="130"/>
      <c r="R5" s="401">
        <f>E5+K5+Q5</f>
        <v>5623471</v>
      </c>
    </row>
    <row r="6" spans="1:18" s="5" customFormat="1" ht="15.6">
      <c r="A6" s="114" t="s">
        <v>294</v>
      </c>
      <c r="B6" s="115" t="s">
        <v>14</v>
      </c>
      <c r="C6" s="116">
        <v>46343.01</v>
      </c>
      <c r="D6" s="116">
        <v>6368.47</v>
      </c>
      <c r="E6" s="117">
        <v>8586608</v>
      </c>
      <c r="F6" s="121">
        <v>51061030</v>
      </c>
      <c r="G6" s="114" t="s">
        <v>294</v>
      </c>
      <c r="H6" s="115" t="s">
        <v>14</v>
      </c>
      <c r="I6" s="116">
        <v>12882.835251348793</v>
      </c>
      <c r="J6" s="116">
        <v>1770.63</v>
      </c>
      <c r="K6" s="117">
        <v>2317755</v>
      </c>
      <c r="L6" s="240">
        <f t="shared" si="0"/>
        <v>10904363</v>
      </c>
      <c r="M6" s="130"/>
      <c r="N6" s="130"/>
      <c r="O6" s="130"/>
      <c r="R6" s="401">
        <f t="shared" ref="R6:R10" si="1">E6+K6+Q6</f>
        <v>10904363</v>
      </c>
    </row>
    <row r="7" spans="1:18" s="5" customFormat="1" ht="15.6">
      <c r="A7" s="114" t="s">
        <v>75</v>
      </c>
      <c r="B7" s="115" t="s">
        <v>16</v>
      </c>
      <c r="C7" s="116">
        <v>20023</v>
      </c>
      <c r="D7" s="116">
        <v>2751.57</v>
      </c>
      <c r="E7" s="117">
        <v>3709942</v>
      </c>
      <c r="F7" s="121">
        <v>51201020</v>
      </c>
      <c r="G7" s="114" t="s">
        <v>75</v>
      </c>
      <c r="H7" s="115" t="s">
        <v>16</v>
      </c>
      <c r="I7" s="116"/>
      <c r="J7" s="116"/>
      <c r="K7" s="117"/>
      <c r="L7" s="240">
        <f t="shared" si="0"/>
        <v>3709942</v>
      </c>
      <c r="M7" s="130"/>
      <c r="N7" s="130"/>
      <c r="O7" s="130"/>
      <c r="R7" s="401">
        <f t="shared" si="1"/>
        <v>3709942</v>
      </c>
    </row>
    <row r="8" spans="1:18" s="5" customFormat="1" ht="15.6">
      <c r="A8" s="114" t="s">
        <v>75</v>
      </c>
      <c r="B8" s="114" t="s">
        <v>17</v>
      </c>
      <c r="C8" s="116">
        <v>21000</v>
      </c>
      <c r="D8" s="116">
        <v>2885.82</v>
      </c>
      <c r="E8" s="117">
        <v>3890951</v>
      </c>
      <c r="F8" s="121">
        <v>51201030</v>
      </c>
      <c r="G8" s="114" t="s">
        <v>75</v>
      </c>
      <c r="H8" s="114" t="s">
        <v>17</v>
      </c>
      <c r="I8" s="116"/>
      <c r="J8" s="116"/>
      <c r="K8" s="117"/>
      <c r="L8" s="240">
        <f t="shared" si="0"/>
        <v>3890951</v>
      </c>
      <c r="M8" s="130"/>
      <c r="N8" s="130"/>
      <c r="O8" s="130"/>
      <c r="R8" s="401">
        <f t="shared" si="1"/>
        <v>3890951</v>
      </c>
    </row>
    <row r="9" spans="1:18" s="5" customFormat="1" ht="15.6">
      <c r="A9" s="114" t="s">
        <v>296</v>
      </c>
      <c r="B9" s="114" t="s">
        <v>20</v>
      </c>
      <c r="C9" s="116">
        <v>408.5</v>
      </c>
      <c r="D9" s="116">
        <v>56.14</v>
      </c>
      <c r="E9" s="117">
        <v>75694</v>
      </c>
      <c r="F9" s="121">
        <v>51071700</v>
      </c>
      <c r="G9" s="114" t="s">
        <v>296</v>
      </c>
      <c r="H9" s="114" t="s">
        <v>20</v>
      </c>
      <c r="I9" s="116">
        <v>397.01</v>
      </c>
      <c r="J9" s="116">
        <v>54.57</v>
      </c>
      <c r="K9" s="117">
        <v>71432</v>
      </c>
      <c r="L9" s="240">
        <f t="shared" si="0"/>
        <v>147126</v>
      </c>
      <c r="M9" s="130"/>
      <c r="N9" s="130"/>
      <c r="O9" s="130"/>
      <c r="R9" s="401">
        <f t="shared" si="1"/>
        <v>147126</v>
      </c>
    </row>
    <row r="10" spans="1:18" s="5" customFormat="1" ht="15.6">
      <c r="A10" s="114" t="s">
        <v>62</v>
      </c>
      <c r="B10" s="115"/>
      <c r="C10" s="116">
        <v>199774.99000000008</v>
      </c>
      <c r="D10" s="116">
        <v>27453.119999999999</v>
      </c>
      <c r="E10" s="117">
        <v>37015042</v>
      </c>
      <c r="F10" s="121">
        <v>51321010</v>
      </c>
      <c r="G10" s="114" t="s">
        <v>62</v>
      </c>
      <c r="H10" s="115"/>
      <c r="I10" s="116">
        <v>1576.86</v>
      </c>
      <c r="J10" s="116">
        <v>242.72</v>
      </c>
      <c r="K10" s="117">
        <v>317720</v>
      </c>
      <c r="L10" s="240">
        <f t="shared" si="0"/>
        <v>37332762</v>
      </c>
      <c r="M10" s="130"/>
      <c r="N10" s="130"/>
      <c r="O10" s="130"/>
      <c r="R10" s="401">
        <f t="shared" si="1"/>
        <v>37332762</v>
      </c>
    </row>
    <row r="11" spans="1:18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  <c r="M11" s="130"/>
      <c r="N11" s="130"/>
      <c r="O11" s="130"/>
    </row>
    <row r="12" spans="1:18" s="5" customFormat="1" ht="15.6">
      <c r="A12" s="2068" t="s">
        <v>299</v>
      </c>
      <c r="B12" s="2069"/>
      <c r="C12" s="421">
        <f>SUM(C4:C10)</f>
        <v>303540.63000000006</v>
      </c>
      <c r="D12" s="421">
        <f t="shared" ref="D12:E12" si="2">SUM(D4:D10)</f>
        <v>41712.619999999995</v>
      </c>
      <c r="E12" s="422">
        <f t="shared" si="2"/>
        <v>56241126</v>
      </c>
      <c r="F12" s="119"/>
      <c r="G12" s="2068" t="s">
        <v>299</v>
      </c>
      <c r="H12" s="2069"/>
      <c r="I12" s="421">
        <f>SUM(I4:I11)</f>
        <v>29645.105251348792</v>
      </c>
      <c r="J12" s="421">
        <f>SUM(J4:J11)</f>
        <v>4100.45</v>
      </c>
      <c r="K12" s="125">
        <f>SUM(K4:K11)</f>
        <v>5367489</v>
      </c>
      <c r="L12" s="240">
        <f t="shared" si="0"/>
        <v>61608615</v>
      </c>
      <c r="M12" s="130"/>
      <c r="N12" s="130"/>
      <c r="O12" s="130"/>
    </row>
    <row r="13" spans="1:18" s="5" customFormat="1" ht="14.25" customHeight="1">
      <c r="A13" s="126"/>
      <c r="B13" s="307"/>
      <c r="C13" s="423">
        <f>C12+I12</f>
        <v>333185.73525134887</v>
      </c>
      <c r="D13" s="423">
        <f>D12+J12</f>
        <v>45813.069999999992</v>
      </c>
      <c r="E13" s="424">
        <f>E12+K12</f>
        <v>61608615</v>
      </c>
      <c r="F13" s="444">
        <v>50</v>
      </c>
      <c r="G13" s="126" t="s">
        <v>13</v>
      </c>
      <c r="H13" s="126" t="s">
        <v>14</v>
      </c>
      <c r="I13" s="443">
        <v>21.39</v>
      </c>
      <c r="J13" s="443">
        <v>2.94</v>
      </c>
      <c r="K13" s="445">
        <v>3848</v>
      </c>
      <c r="L13" s="245">
        <v>2425.7418328151257</v>
      </c>
      <c r="M13" s="130"/>
      <c r="N13" s="433"/>
      <c r="O13" s="130"/>
    </row>
    <row r="14" spans="1:18" s="5" customFormat="1" ht="15.6">
      <c r="A14" s="2"/>
      <c r="C14" s="446">
        <f>C13-I13-I14</f>
        <v>332695.34525134886</v>
      </c>
      <c r="D14" s="446">
        <f>D13-J13-J14</f>
        <v>45745.669999999991</v>
      </c>
      <c r="E14" s="424">
        <f>E13-K13-K14</f>
        <v>61520389</v>
      </c>
      <c r="F14" s="444"/>
      <c r="G14" s="310" t="s">
        <v>15</v>
      </c>
      <c r="H14" s="126" t="s">
        <v>226</v>
      </c>
      <c r="I14" s="308">
        <v>469</v>
      </c>
      <c r="J14" s="308">
        <v>64.459999999999994</v>
      </c>
      <c r="K14" s="309">
        <v>84378</v>
      </c>
      <c r="L14" s="245"/>
      <c r="M14" s="245" t="e">
        <f>#REF!</f>
        <v>#REF!</v>
      </c>
      <c r="N14" s="245"/>
      <c r="O14" s="119"/>
    </row>
    <row r="15" spans="1:18" s="5" customFormat="1" ht="15.6">
      <c r="A15" s="126"/>
      <c r="B15" s="307"/>
      <c r="C15" s="423"/>
      <c r="D15" s="423"/>
      <c r="F15" s="377"/>
      <c r="G15" s="130"/>
      <c r="H15" s="130"/>
      <c r="I15" s="131"/>
      <c r="J15" s="131"/>
      <c r="K15" s="280"/>
      <c r="L15" s="245"/>
      <c r="N15" s="45"/>
    </row>
    <row r="16" spans="1:18" s="5" customFormat="1" ht="15.6">
      <c r="B16" s="134">
        <v>13081010</v>
      </c>
      <c r="C16" s="135"/>
      <c r="D16" s="135"/>
      <c r="G16" s="6"/>
      <c r="H16" s="137"/>
      <c r="I16" s="137" t="e">
        <f>SUBTOTAL(9,I19:I149)</f>
        <v>#REF!</v>
      </c>
      <c r="J16" s="137" t="e">
        <f>SUBTOTAL(9,J19:J147)</f>
        <v>#REF!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63" t="s">
        <v>26</v>
      </c>
      <c r="E17" s="2063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63"/>
      <c r="E18" s="2063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45199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303540.59000000084</v>
      </c>
      <c r="L19" s="233">
        <v>41712.616459195997</v>
      </c>
      <c r="M19" s="232"/>
      <c r="N19" s="45">
        <v>41712.620000000003</v>
      </c>
    </row>
    <row r="20" spans="1:14" s="5" customFormat="1" ht="13.5" customHeight="1">
      <c r="A20" s="368">
        <v>45243</v>
      </c>
      <c r="B20" s="369" t="s">
        <v>643</v>
      </c>
      <c r="C20" s="369"/>
      <c r="D20" s="370">
        <v>1</v>
      </c>
      <c r="E20" s="180"/>
      <c r="F20" s="369"/>
      <c r="G20" s="371">
        <v>312731.26</v>
      </c>
      <c r="H20" s="372">
        <v>43008</v>
      </c>
      <c r="I20" s="373"/>
      <c r="J20" s="405" t="e">
        <f>I20/'통장내역(환율표)'!#REF!</f>
        <v>#REF!</v>
      </c>
      <c r="K20" s="372">
        <f>K19+G20-I20</f>
        <v>616271.85000000079</v>
      </c>
      <c r="L20" s="372" t="e">
        <f>L19+H20-J20</f>
        <v>#REF!</v>
      </c>
      <c r="M20" s="375"/>
      <c r="N20" s="45"/>
    </row>
    <row r="21" spans="1:14" s="5" customFormat="1" ht="13.5" customHeight="1">
      <c r="A21" s="368">
        <v>45243</v>
      </c>
      <c r="B21" s="369" t="s">
        <v>250</v>
      </c>
      <c r="C21" s="369"/>
      <c r="D21" s="180">
        <v>1</v>
      </c>
      <c r="E21" s="180" t="s">
        <v>62</v>
      </c>
      <c r="F21" s="369"/>
      <c r="G21" s="374"/>
      <c r="H21" s="372"/>
      <c r="I21" s="373"/>
      <c r="J21" s="346">
        <v>26</v>
      </c>
      <c r="K21" s="372">
        <f t="shared" ref="K21:K84" si="3">K20+G21-I21</f>
        <v>616271.85000000079</v>
      </c>
      <c r="L21" s="372" t="e">
        <f t="shared" ref="L21:L84" si="4">L20+H21-J21</f>
        <v>#REF!</v>
      </c>
      <c r="M21" s="375"/>
      <c r="N21" s="45"/>
    </row>
    <row r="22" spans="1:14" s="5" customFormat="1" ht="13.5" customHeight="1">
      <c r="A22" s="255">
        <v>45255</v>
      </c>
      <c r="B22" s="365" t="s">
        <v>885</v>
      </c>
      <c r="C22" s="365"/>
      <c r="D22" s="37">
        <v>2</v>
      </c>
      <c r="E22" s="37" t="s">
        <v>62</v>
      </c>
      <c r="F22" s="347"/>
      <c r="G22" s="367"/>
      <c r="H22" s="376"/>
      <c r="I22" s="270">
        <v>15000</v>
      </c>
      <c r="J22" s="405" t="e">
        <f>I22/'통장내역(환율표)'!#REF!</f>
        <v>#REF!</v>
      </c>
      <c r="K22" s="263">
        <f t="shared" si="3"/>
        <v>601271.85000000079</v>
      </c>
      <c r="L22" s="263" t="e">
        <f t="shared" si="4"/>
        <v>#REF!</v>
      </c>
      <c r="M22" s="33" t="s">
        <v>984</v>
      </c>
      <c r="N22" s="45" t="e">
        <f>N19-J22+H22</f>
        <v>#REF!</v>
      </c>
    </row>
    <row r="23" spans="1:14" s="5" customFormat="1" ht="13.5" customHeight="1">
      <c r="A23" s="255">
        <v>45255</v>
      </c>
      <c r="B23" s="365" t="s">
        <v>938</v>
      </c>
      <c r="C23" s="365"/>
      <c r="D23" s="37">
        <v>2</v>
      </c>
      <c r="E23" s="37" t="s">
        <v>62</v>
      </c>
      <c r="F23" s="347"/>
      <c r="G23" s="367"/>
      <c r="H23" s="33"/>
      <c r="I23" s="270">
        <v>22000</v>
      </c>
      <c r="J23" s="405" t="e">
        <f>I23/'통장내역(환율표)'!#REF!</f>
        <v>#REF!</v>
      </c>
      <c r="K23" s="263">
        <f t="shared" si="3"/>
        <v>579271.85000000079</v>
      </c>
      <c r="L23" s="263" t="e">
        <f t="shared" si="4"/>
        <v>#REF!</v>
      </c>
      <c r="M23" s="33" t="s">
        <v>984</v>
      </c>
      <c r="N23" s="45" t="e">
        <f>N22-J23+H23</f>
        <v>#REF!</v>
      </c>
    </row>
    <row r="24" spans="1:14" s="5" customFormat="1" ht="13.5" customHeight="1">
      <c r="A24" s="255">
        <v>45255</v>
      </c>
      <c r="B24" s="365" t="s">
        <v>887</v>
      </c>
      <c r="C24" s="365"/>
      <c r="D24" s="37">
        <v>2</v>
      </c>
      <c r="E24" s="37" t="s">
        <v>62</v>
      </c>
      <c r="F24" s="347"/>
      <c r="G24" s="367"/>
      <c r="H24" s="33"/>
      <c r="I24" s="270">
        <v>4673.3899999999994</v>
      </c>
      <c r="J24" s="405" t="e">
        <f>I24/'통장내역(환율표)'!#REF!</f>
        <v>#REF!</v>
      </c>
      <c r="K24" s="263">
        <f t="shared" si="3"/>
        <v>574598.46000000078</v>
      </c>
      <c r="L24" s="263" t="e">
        <f t="shared" si="4"/>
        <v>#REF!</v>
      </c>
      <c r="M24" s="33" t="s">
        <v>984</v>
      </c>
      <c r="N24" s="45" t="e">
        <f t="shared" ref="N24:N87" si="5">N23-J24+H24</f>
        <v>#REF!</v>
      </c>
    </row>
    <row r="25" spans="1:14" s="5" customFormat="1" ht="13.5" customHeight="1">
      <c r="A25" s="255">
        <v>45255</v>
      </c>
      <c r="B25" s="365" t="s">
        <v>888</v>
      </c>
      <c r="C25" s="365"/>
      <c r="D25" s="37">
        <v>2</v>
      </c>
      <c r="E25" s="37" t="s">
        <v>62</v>
      </c>
      <c r="F25" s="347"/>
      <c r="G25" s="367"/>
      <c r="H25" s="33"/>
      <c r="I25" s="270">
        <v>6767.1900000000023</v>
      </c>
      <c r="J25" s="405" t="e">
        <f>I25/'통장내역(환율표)'!#REF!</f>
        <v>#REF!</v>
      </c>
      <c r="K25" s="263">
        <f t="shared" si="3"/>
        <v>567831.27000000072</v>
      </c>
      <c r="L25" s="263" t="e">
        <f t="shared" si="4"/>
        <v>#REF!</v>
      </c>
      <c r="M25" s="33" t="s">
        <v>984</v>
      </c>
      <c r="N25" s="45" t="e">
        <f t="shared" si="5"/>
        <v>#REF!</v>
      </c>
    </row>
    <row r="26" spans="1:14" s="5" customFormat="1" ht="13.5" customHeight="1">
      <c r="A26" s="255">
        <v>45255</v>
      </c>
      <c r="B26" s="365" t="s">
        <v>892</v>
      </c>
      <c r="C26" s="365"/>
      <c r="D26" s="37">
        <v>2</v>
      </c>
      <c r="E26" s="37" t="s">
        <v>62</v>
      </c>
      <c r="F26" s="347"/>
      <c r="G26" s="367"/>
      <c r="H26" s="33"/>
      <c r="I26" s="270">
        <v>300</v>
      </c>
      <c r="J26" s="405" t="e">
        <f>I26/'통장내역(환율표)'!#REF!</f>
        <v>#REF!</v>
      </c>
      <c r="K26" s="263">
        <f t="shared" si="3"/>
        <v>567531.27000000072</v>
      </c>
      <c r="L26" s="263" t="e">
        <f t="shared" si="4"/>
        <v>#REF!</v>
      </c>
      <c r="M26" s="33" t="s">
        <v>984</v>
      </c>
      <c r="N26" s="45" t="e">
        <f t="shared" si="5"/>
        <v>#REF!</v>
      </c>
    </row>
    <row r="27" spans="1:14" s="5" customFormat="1" ht="13.5" customHeight="1">
      <c r="A27" s="255">
        <v>45255</v>
      </c>
      <c r="B27" s="365" t="s">
        <v>885</v>
      </c>
      <c r="C27" s="365"/>
      <c r="D27" s="37">
        <v>2</v>
      </c>
      <c r="E27" s="37" t="s">
        <v>62</v>
      </c>
      <c r="F27" s="347"/>
      <c r="G27" s="367"/>
      <c r="H27" s="33"/>
      <c r="I27" s="270">
        <v>15000</v>
      </c>
      <c r="J27" s="405" t="e">
        <f>I27/'통장내역(환율표)'!#REF!</f>
        <v>#REF!</v>
      </c>
      <c r="K27" s="263">
        <f t="shared" si="3"/>
        <v>552531.27000000072</v>
      </c>
      <c r="L27" s="263" t="e">
        <f t="shared" si="4"/>
        <v>#REF!</v>
      </c>
      <c r="M27" s="33" t="s">
        <v>985</v>
      </c>
      <c r="N27" s="45" t="e">
        <f t="shared" si="5"/>
        <v>#REF!</v>
      </c>
    </row>
    <row r="28" spans="1:14" s="5" customFormat="1" ht="13.5" customHeight="1">
      <c r="A28" s="255">
        <v>45255</v>
      </c>
      <c r="B28" s="365" t="s">
        <v>938</v>
      </c>
      <c r="C28" s="365"/>
      <c r="D28" s="37">
        <v>2</v>
      </c>
      <c r="E28" s="37" t="s">
        <v>62</v>
      </c>
      <c r="F28" s="347"/>
      <c r="G28" s="367"/>
      <c r="H28" s="33"/>
      <c r="I28" s="270">
        <v>22000</v>
      </c>
      <c r="J28" s="405" t="e">
        <f>I28/'통장내역(환율표)'!#REF!</f>
        <v>#REF!</v>
      </c>
      <c r="K28" s="263">
        <f t="shared" si="3"/>
        <v>530531.27000000072</v>
      </c>
      <c r="L28" s="263" t="e">
        <f t="shared" si="4"/>
        <v>#REF!</v>
      </c>
      <c r="M28" s="33" t="s">
        <v>985</v>
      </c>
      <c r="N28" s="45" t="e">
        <f t="shared" si="5"/>
        <v>#REF!</v>
      </c>
    </row>
    <row r="29" spans="1:14" s="5" customFormat="1" ht="13.5" customHeight="1">
      <c r="A29" s="255">
        <v>45255</v>
      </c>
      <c r="B29" s="365" t="s">
        <v>887</v>
      </c>
      <c r="C29" s="365"/>
      <c r="D29" s="37">
        <v>2</v>
      </c>
      <c r="E29" s="37" t="s">
        <v>62</v>
      </c>
      <c r="F29" s="347"/>
      <c r="G29" s="367"/>
      <c r="H29" s="33"/>
      <c r="I29" s="270">
        <v>8423.39</v>
      </c>
      <c r="J29" s="405" t="e">
        <f>I29/'통장내역(환율표)'!#REF!</f>
        <v>#REF!</v>
      </c>
      <c r="K29" s="263">
        <f t="shared" si="3"/>
        <v>522107.8800000007</v>
      </c>
      <c r="L29" s="263" t="e">
        <f t="shared" si="4"/>
        <v>#REF!</v>
      </c>
      <c r="M29" s="33" t="s">
        <v>985</v>
      </c>
      <c r="N29" s="45" t="e">
        <f t="shared" si="5"/>
        <v>#REF!</v>
      </c>
    </row>
    <row r="30" spans="1:14" s="5" customFormat="1" ht="13.5" customHeight="1">
      <c r="A30" s="255">
        <v>45255</v>
      </c>
      <c r="B30" s="365" t="s">
        <v>888</v>
      </c>
      <c r="C30" s="365"/>
      <c r="D30" s="37">
        <v>2</v>
      </c>
      <c r="E30" s="37" t="s">
        <v>62</v>
      </c>
      <c r="F30" s="347"/>
      <c r="G30" s="367"/>
      <c r="H30" s="33"/>
      <c r="I30" s="270">
        <v>6071.1900000000023</v>
      </c>
      <c r="J30" s="405" t="e">
        <f>I30/'통장내역(환율표)'!#REF!</f>
        <v>#REF!</v>
      </c>
      <c r="K30" s="263">
        <f t="shared" si="3"/>
        <v>516036.6900000007</v>
      </c>
      <c r="L30" s="263" t="e">
        <f t="shared" si="4"/>
        <v>#REF!</v>
      </c>
      <c r="M30" s="33" t="s">
        <v>985</v>
      </c>
      <c r="N30" s="45" t="e">
        <f t="shared" si="5"/>
        <v>#REF!</v>
      </c>
    </row>
    <row r="31" spans="1:14" s="5" customFormat="1" ht="13.5" customHeight="1">
      <c r="A31" s="255">
        <v>45255</v>
      </c>
      <c r="B31" s="365" t="s">
        <v>892</v>
      </c>
      <c r="C31" s="365"/>
      <c r="D31" s="37">
        <v>2</v>
      </c>
      <c r="E31" s="37" t="s">
        <v>62</v>
      </c>
      <c r="F31" s="347"/>
      <c r="G31" s="367"/>
      <c r="H31" s="33"/>
      <c r="I31" s="270">
        <v>300</v>
      </c>
      <c r="J31" s="405" t="e">
        <f>I31/'통장내역(환율표)'!#REF!</f>
        <v>#REF!</v>
      </c>
      <c r="K31" s="263">
        <f t="shared" si="3"/>
        <v>515736.6900000007</v>
      </c>
      <c r="L31" s="263" t="e">
        <f t="shared" si="4"/>
        <v>#REF!</v>
      </c>
      <c r="M31" s="33" t="s">
        <v>985</v>
      </c>
      <c r="N31" s="45" t="e">
        <f t="shared" si="5"/>
        <v>#REF!</v>
      </c>
    </row>
    <row r="32" spans="1:14" s="5" customFormat="1" ht="13.5" customHeight="1">
      <c r="A32" s="255">
        <v>45255</v>
      </c>
      <c r="B32" s="365" t="s">
        <v>891</v>
      </c>
      <c r="C32" s="365"/>
      <c r="D32" s="37">
        <v>2</v>
      </c>
      <c r="E32" s="37" t="s">
        <v>62</v>
      </c>
      <c r="F32" s="347"/>
      <c r="G32" s="367"/>
      <c r="H32" s="33"/>
      <c r="I32" s="270">
        <v>25000</v>
      </c>
      <c r="J32" s="405" t="e">
        <f>I32/'통장내역(환율표)'!#REF!</f>
        <v>#REF!</v>
      </c>
      <c r="K32" s="263">
        <f t="shared" si="3"/>
        <v>490736.6900000007</v>
      </c>
      <c r="L32" s="263" t="e">
        <f t="shared" si="4"/>
        <v>#REF!</v>
      </c>
      <c r="M32" s="33" t="s">
        <v>986</v>
      </c>
      <c r="N32" s="45" t="e">
        <f t="shared" si="5"/>
        <v>#REF!</v>
      </c>
    </row>
    <row r="33" spans="1:14" s="5" customFormat="1" ht="13.5" customHeight="1">
      <c r="A33" s="255">
        <v>45255</v>
      </c>
      <c r="B33" s="365" t="s">
        <v>939</v>
      </c>
      <c r="C33" s="365"/>
      <c r="D33" s="37">
        <v>2</v>
      </c>
      <c r="E33" s="37" t="s">
        <v>62</v>
      </c>
      <c r="F33" s="347"/>
      <c r="G33" s="367"/>
      <c r="H33" s="33"/>
      <c r="I33" s="270">
        <v>5363.71</v>
      </c>
      <c r="J33" s="405" t="e">
        <f>I33/'통장내역(환율표)'!#REF!</f>
        <v>#REF!</v>
      </c>
      <c r="K33" s="263">
        <f t="shared" si="3"/>
        <v>485372.98000000068</v>
      </c>
      <c r="L33" s="263" t="e">
        <f t="shared" si="4"/>
        <v>#REF!</v>
      </c>
      <c r="M33" s="33" t="s">
        <v>986</v>
      </c>
      <c r="N33" s="45" t="e">
        <f t="shared" si="5"/>
        <v>#REF!</v>
      </c>
    </row>
    <row r="34" spans="1:14" s="5" customFormat="1" ht="13.5" customHeight="1">
      <c r="A34" s="255">
        <v>45255</v>
      </c>
      <c r="B34" s="365" t="s">
        <v>892</v>
      </c>
      <c r="C34" s="365"/>
      <c r="D34" s="37">
        <v>2</v>
      </c>
      <c r="E34" s="37" t="s">
        <v>62</v>
      </c>
      <c r="F34" s="347"/>
      <c r="G34" s="367"/>
      <c r="H34" s="33"/>
      <c r="I34" s="270">
        <v>300</v>
      </c>
      <c r="J34" s="405" t="e">
        <f>I34/'통장내역(환율표)'!#REF!</f>
        <v>#REF!</v>
      </c>
      <c r="K34" s="263">
        <f t="shared" si="3"/>
        <v>485072.98000000068</v>
      </c>
      <c r="L34" s="263" t="e">
        <f t="shared" si="4"/>
        <v>#REF!</v>
      </c>
      <c r="M34" s="33" t="s">
        <v>986</v>
      </c>
      <c r="N34" s="45" t="e">
        <f t="shared" si="5"/>
        <v>#REF!</v>
      </c>
    </row>
    <row r="35" spans="1:14" s="5" customFormat="1" ht="13.5" customHeight="1">
      <c r="A35" s="255">
        <v>45255</v>
      </c>
      <c r="B35" s="365" t="s">
        <v>983</v>
      </c>
      <c r="C35" s="365"/>
      <c r="D35" s="37">
        <v>2</v>
      </c>
      <c r="E35" s="37" t="s">
        <v>62</v>
      </c>
      <c r="F35" s="347"/>
      <c r="G35" s="367"/>
      <c r="H35" s="33"/>
      <c r="I35" s="270">
        <v>1000</v>
      </c>
      <c r="J35" s="405" t="e">
        <f>I35/'통장내역(환율표)'!#REF!</f>
        <v>#REF!</v>
      </c>
      <c r="K35" s="263">
        <f t="shared" si="3"/>
        <v>484072.98000000068</v>
      </c>
      <c r="L35" s="263" t="e">
        <f t="shared" si="4"/>
        <v>#REF!</v>
      </c>
      <c r="M35" s="33" t="s">
        <v>986</v>
      </c>
      <c r="N35" s="45" t="e">
        <f t="shared" si="5"/>
        <v>#REF!</v>
      </c>
    </row>
    <row r="36" spans="1:14" s="5" customFormat="1" ht="13.5" customHeight="1">
      <c r="A36" s="255">
        <v>45255</v>
      </c>
      <c r="B36" s="365" t="s">
        <v>891</v>
      </c>
      <c r="C36" s="365"/>
      <c r="D36" s="37">
        <v>2</v>
      </c>
      <c r="E36" s="37" t="s">
        <v>62</v>
      </c>
      <c r="F36" s="347"/>
      <c r="G36" s="367"/>
      <c r="H36" s="33"/>
      <c r="I36" s="270">
        <v>13000</v>
      </c>
      <c r="J36" s="405" t="e">
        <f>I36/'통장내역(환율표)'!#REF!</f>
        <v>#REF!</v>
      </c>
      <c r="K36" s="263">
        <f t="shared" si="3"/>
        <v>471072.98000000068</v>
      </c>
      <c r="L36" s="263" t="e">
        <f t="shared" si="4"/>
        <v>#REF!</v>
      </c>
      <c r="M36" s="435" t="s">
        <v>987</v>
      </c>
      <c r="N36" s="45" t="e">
        <f t="shared" si="5"/>
        <v>#REF!</v>
      </c>
    </row>
    <row r="37" spans="1:14" s="5" customFormat="1" ht="13.5" customHeight="1">
      <c r="A37" s="255">
        <v>45255</v>
      </c>
      <c r="B37" s="365" t="s">
        <v>939</v>
      </c>
      <c r="C37" s="365"/>
      <c r="D37" s="37">
        <v>2</v>
      </c>
      <c r="E37" s="37" t="s">
        <v>62</v>
      </c>
      <c r="F37" s="347"/>
      <c r="G37" s="367"/>
      <c r="H37" s="33"/>
      <c r="I37" s="270">
        <v>2816.83</v>
      </c>
      <c r="J37" s="405" t="e">
        <f>I37/'통장내역(환율표)'!#REF!</f>
        <v>#REF!</v>
      </c>
      <c r="K37" s="263">
        <f t="shared" si="3"/>
        <v>468256.15000000066</v>
      </c>
      <c r="L37" s="263" t="e">
        <f t="shared" si="4"/>
        <v>#REF!</v>
      </c>
      <c r="M37" s="435" t="s">
        <v>987</v>
      </c>
      <c r="N37" s="45" t="e">
        <f t="shared" si="5"/>
        <v>#REF!</v>
      </c>
    </row>
    <row r="38" spans="1:14" s="5" customFormat="1" ht="13.5" customHeight="1">
      <c r="A38" s="255">
        <v>45255</v>
      </c>
      <c r="B38" s="365" t="s">
        <v>892</v>
      </c>
      <c r="C38" s="365"/>
      <c r="D38" s="37">
        <v>2</v>
      </c>
      <c r="E38" s="37" t="s">
        <v>62</v>
      </c>
      <c r="F38" s="347"/>
      <c r="G38" s="367"/>
      <c r="H38" s="33"/>
      <c r="I38" s="270">
        <v>300</v>
      </c>
      <c r="J38" s="405" t="e">
        <f>I38/'통장내역(환율표)'!#REF!</f>
        <v>#REF!</v>
      </c>
      <c r="K38" s="263">
        <f t="shared" si="3"/>
        <v>467956.15000000066</v>
      </c>
      <c r="L38" s="263" t="e">
        <f t="shared" si="4"/>
        <v>#REF!</v>
      </c>
      <c r="M38" s="435" t="s">
        <v>987</v>
      </c>
      <c r="N38" s="45" t="e">
        <f t="shared" si="5"/>
        <v>#REF!</v>
      </c>
    </row>
    <row r="39" spans="1:14" s="5" customFormat="1" ht="13.5" customHeight="1">
      <c r="A39" s="255">
        <v>45255</v>
      </c>
      <c r="B39" s="365" t="s">
        <v>983</v>
      </c>
      <c r="C39" s="365"/>
      <c r="D39" s="37">
        <v>2</v>
      </c>
      <c r="E39" s="37" t="s">
        <v>62</v>
      </c>
      <c r="F39" s="347"/>
      <c r="G39" s="367"/>
      <c r="H39" s="33"/>
      <c r="I39" s="270">
        <v>1500</v>
      </c>
      <c r="J39" s="405" t="e">
        <f>I39/'통장내역(환율표)'!#REF!</f>
        <v>#REF!</v>
      </c>
      <c r="K39" s="263">
        <f t="shared" si="3"/>
        <v>466456.15000000066</v>
      </c>
      <c r="L39" s="263" t="e">
        <f t="shared" si="4"/>
        <v>#REF!</v>
      </c>
      <c r="M39" s="435" t="s">
        <v>987</v>
      </c>
      <c r="N39" s="45" t="e">
        <f t="shared" si="5"/>
        <v>#REF!</v>
      </c>
    </row>
    <row r="40" spans="1:14" s="5" customFormat="1" ht="13.5" customHeight="1">
      <c r="A40" s="255">
        <v>45255</v>
      </c>
      <c r="B40" s="365" t="s">
        <v>891</v>
      </c>
      <c r="C40" s="365"/>
      <c r="D40" s="37">
        <v>2</v>
      </c>
      <c r="E40" s="37" t="s">
        <v>62</v>
      </c>
      <c r="F40" s="347"/>
      <c r="G40" s="367"/>
      <c r="H40" s="33"/>
      <c r="I40" s="270">
        <v>25000</v>
      </c>
      <c r="J40" s="405" t="e">
        <f>I40/'통장내역(환율표)'!#REF!</f>
        <v>#REF!</v>
      </c>
      <c r="K40" s="263">
        <f t="shared" si="3"/>
        <v>441456.15000000066</v>
      </c>
      <c r="L40" s="263" t="e">
        <f t="shared" si="4"/>
        <v>#REF!</v>
      </c>
      <c r="M40" s="33" t="s">
        <v>895</v>
      </c>
      <c r="N40" s="45" t="e">
        <f t="shared" si="5"/>
        <v>#REF!</v>
      </c>
    </row>
    <row r="41" spans="1:14" s="5" customFormat="1" ht="13.5" customHeight="1">
      <c r="A41" s="255">
        <v>45255</v>
      </c>
      <c r="B41" s="365" t="s">
        <v>939</v>
      </c>
      <c r="C41" s="365"/>
      <c r="D41" s="37">
        <v>2</v>
      </c>
      <c r="E41" s="37" t="s">
        <v>62</v>
      </c>
      <c r="F41" s="347"/>
      <c r="G41" s="367"/>
      <c r="H41" s="33"/>
      <c r="I41" s="270">
        <v>6738.71</v>
      </c>
      <c r="J41" s="405" t="e">
        <f>I41/'통장내역(환율표)'!#REF!</f>
        <v>#REF!</v>
      </c>
      <c r="K41" s="263">
        <f t="shared" si="3"/>
        <v>434717.44000000064</v>
      </c>
      <c r="L41" s="263" t="e">
        <f t="shared" si="4"/>
        <v>#REF!</v>
      </c>
      <c r="M41" s="33" t="s">
        <v>895</v>
      </c>
      <c r="N41" s="45" t="e">
        <f t="shared" si="5"/>
        <v>#REF!</v>
      </c>
    </row>
    <row r="42" spans="1:14" s="5" customFormat="1" ht="13.5" customHeight="1">
      <c r="A42" s="255">
        <v>45255</v>
      </c>
      <c r="B42" s="365" t="s">
        <v>892</v>
      </c>
      <c r="C42" s="365"/>
      <c r="D42" s="37">
        <v>2</v>
      </c>
      <c r="E42" s="37" t="s">
        <v>62</v>
      </c>
      <c r="F42" s="347"/>
      <c r="G42" s="367"/>
      <c r="H42" s="33"/>
      <c r="I42" s="270">
        <v>300</v>
      </c>
      <c r="J42" s="405" t="e">
        <f>I42/'통장내역(환율표)'!#REF!</f>
        <v>#REF!</v>
      </c>
      <c r="K42" s="263">
        <f t="shared" si="3"/>
        <v>434417.44000000064</v>
      </c>
      <c r="L42" s="263" t="e">
        <f t="shared" si="4"/>
        <v>#REF!</v>
      </c>
      <c r="M42" s="33" t="s">
        <v>895</v>
      </c>
      <c r="N42" s="45" t="e">
        <f t="shared" si="5"/>
        <v>#REF!</v>
      </c>
    </row>
    <row r="43" spans="1:14" s="5" customFormat="1" ht="13.5" customHeight="1">
      <c r="A43" s="255">
        <v>45255</v>
      </c>
      <c r="B43" s="365" t="s">
        <v>983</v>
      </c>
      <c r="C43" s="365"/>
      <c r="D43" s="37">
        <v>2</v>
      </c>
      <c r="E43" s="37" t="s">
        <v>62</v>
      </c>
      <c r="F43" s="347"/>
      <c r="G43" s="367"/>
      <c r="H43" s="33"/>
      <c r="I43" s="270">
        <v>200</v>
      </c>
      <c r="J43" s="405" t="e">
        <f>I43/'통장내역(환율표)'!#REF!</f>
        <v>#REF!</v>
      </c>
      <c r="K43" s="263">
        <f t="shared" si="3"/>
        <v>434217.44000000064</v>
      </c>
      <c r="L43" s="263" t="e">
        <f t="shared" si="4"/>
        <v>#REF!</v>
      </c>
      <c r="M43" s="33" t="s">
        <v>895</v>
      </c>
      <c r="N43" s="45" t="e">
        <f t="shared" si="5"/>
        <v>#REF!</v>
      </c>
    </row>
    <row r="44" spans="1:14" s="5" customFormat="1" ht="13.5" customHeight="1">
      <c r="A44" s="255">
        <v>45255</v>
      </c>
      <c r="B44" s="407" t="s">
        <v>250</v>
      </c>
      <c r="C44" s="365"/>
      <c r="D44" s="37">
        <v>3</v>
      </c>
      <c r="E44" s="37" t="s">
        <v>62</v>
      </c>
      <c r="F44" s="347"/>
      <c r="G44" s="367"/>
      <c r="H44" s="33"/>
      <c r="I44" s="270">
        <v>12</v>
      </c>
      <c r="J44" s="405" t="e">
        <f>I44/'통장내역(환율표)'!#REF!</f>
        <v>#REF!</v>
      </c>
      <c r="K44" s="263">
        <f t="shared" si="3"/>
        <v>434205.44000000064</v>
      </c>
      <c r="L44" s="263" t="e">
        <f t="shared" si="4"/>
        <v>#REF!</v>
      </c>
      <c r="M44" s="33"/>
      <c r="N44" s="45" t="e">
        <f t="shared" si="5"/>
        <v>#REF!</v>
      </c>
    </row>
    <row r="45" spans="1:14" s="5" customFormat="1" ht="13.5" customHeight="1">
      <c r="A45" s="255">
        <v>45255</v>
      </c>
      <c r="B45" s="365" t="s">
        <v>304</v>
      </c>
      <c r="C45" s="365"/>
      <c r="D45" s="37">
        <v>4</v>
      </c>
      <c r="E45" s="37" t="s">
        <v>105</v>
      </c>
      <c r="F45" s="347" t="s">
        <v>106</v>
      </c>
      <c r="G45" s="367"/>
      <c r="H45" s="33"/>
      <c r="I45" s="270">
        <v>20023</v>
      </c>
      <c r="J45" s="405" t="e">
        <f>I45/'통장내역(환율표)'!#REF!</f>
        <v>#REF!</v>
      </c>
      <c r="K45" s="263">
        <f t="shared" si="3"/>
        <v>414182.44000000064</v>
      </c>
      <c r="L45" s="263" t="e">
        <f t="shared" si="4"/>
        <v>#REF!</v>
      </c>
      <c r="M45" s="33"/>
      <c r="N45" s="45" t="e">
        <f t="shared" si="5"/>
        <v>#REF!</v>
      </c>
    </row>
    <row r="46" spans="1:14" s="5" customFormat="1" ht="13.5" customHeight="1">
      <c r="A46" s="255">
        <v>45255</v>
      </c>
      <c r="B46" s="407" t="s">
        <v>250</v>
      </c>
      <c r="C46" s="365"/>
      <c r="D46" s="37">
        <v>5</v>
      </c>
      <c r="E46" s="37" t="s">
        <v>62</v>
      </c>
      <c r="F46" s="347"/>
      <c r="G46" s="367"/>
      <c r="H46" s="33"/>
      <c r="I46" s="38">
        <v>7.2</v>
      </c>
      <c r="J46" s="405" t="e">
        <f>I46/'통장내역(환율표)'!#REF!</f>
        <v>#REF!</v>
      </c>
      <c r="K46" s="263">
        <f t="shared" si="3"/>
        <v>414175.24000000063</v>
      </c>
      <c r="L46" s="263" t="e">
        <f t="shared" si="4"/>
        <v>#REF!</v>
      </c>
      <c r="M46" s="33"/>
      <c r="N46" s="45" t="e">
        <f t="shared" si="5"/>
        <v>#REF!</v>
      </c>
    </row>
    <row r="47" spans="1:14" s="5" customFormat="1" ht="13.5" customHeight="1">
      <c r="A47" s="255">
        <v>45255</v>
      </c>
      <c r="B47" s="365" t="s">
        <v>732</v>
      </c>
      <c r="C47" s="365"/>
      <c r="D47" s="37">
        <v>6</v>
      </c>
      <c r="E47" s="37" t="s">
        <v>62</v>
      </c>
      <c r="F47" s="347"/>
      <c r="G47" s="367"/>
      <c r="H47" s="33"/>
      <c r="I47" s="38">
        <v>1391.63</v>
      </c>
      <c r="J47" s="405" t="e">
        <f>I47/'통장내역(환율표)'!#REF!</f>
        <v>#REF!</v>
      </c>
      <c r="K47" s="263">
        <f t="shared" si="3"/>
        <v>412783.61000000063</v>
      </c>
      <c r="L47" s="263" t="e">
        <f t="shared" si="4"/>
        <v>#REF!</v>
      </c>
      <c r="M47" s="33"/>
      <c r="N47" s="45" t="e">
        <f t="shared" si="5"/>
        <v>#REF!</v>
      </c>
    </row>
    <row r="48" spans="1:14" s="5" customFormat="1" ht="13.5" customHeight="1">
      <c r="A48" s="255">
        <v>45255</v>
      </c>
      <c r="B48" s="407" t="s">
        <v>250</v>
      </c>
      <c r="C48" s="365"/>
      <c r="D48" s="37">
        <v>7</v>
      </c>
      <c r="E48" s="37" t="s">
        <v>62</v>
      </c>
      <c r="F48" s="347"/>
      <c r="G48" s="367"/>
      <c r="H48" s="33"/>
      <c r="I48" s="38">
        <v>3.6</v>
      </c>
      <c r="J48" s="405" t="e">
        <f>I48/'통장내역(환율표)'!#REF!</f>
        <v>#REF!</v>
      </c>
      <c r="K48" s="263">
        <f t="shared" si="3"/>
        <v>412780.01000000065</v>
      </c>
      <c r="L48" s="263" t="e">
        <f t="shared" si="4"/>
        <v>#REF!</v>
      </c>
      <c r="M48" s="33"/>
      <c r="N48" s="45" t="e">
        <f t="shared" si="5"/>
        <v>#REF!</v>
      </c>
    </row>
    <row r="49" spans="1:14" s="5" customFormat="1" ht="13.5" customHeight="1">
      <c r="A49" s="255">
        <v>45255</v>
      </c>
      <c r="B49" s="313" t="s">
        <v>346</v>
      </c>
      <c r="C49" s="365"/>
      <c r="D49" s="37">
        <v>8</v>
      </c>
      <c r="E49" s="37" t="s">
        <v>105</v>
      </c>
      <c r="F49" s="347" t="s">
        <v>227</v>
      </c>
      <c r="G49" s="367"/>
      <c r="H49" s="33"/>
      <c r="I49" s="38">
        <v>10500</v>
      </c>
      <c r="J49" s="405" t="e">
        <f>I49/'통장내역(환율표)'!#REF!</f>
        <v>#REF!</v>
      </c>
      <c r="K49" s="263">
        <f t="shared" si="3"/>
        <v>402280.01000000065</v>
      </c>
      <c r="L49" s="263" t="e">
        <f t="shared" si="4"/>
        <v>#REF!</v>
      </c>
      <c r="M49" s="33"/>
      <c r="N49" s="45" t="e">
        <f t="shared" si="5"/>
        <v>#REF!</v>
      </c>
    </row>
    <row r="50" spans="1:14" s="5" customFormat="1" ht="13.5" customHeight="1">
      <c r="A50" s="255">
        <v>45255</v>
      </c>
      <c r="B50" s="313" t="s">
        <v>347</v>
      </c>
      <c r="C50" s="365"/>
      <c r="D50" s="37">
        <v>8</v>
      </c>
      <c r="E50" s="37" t="s">
        <v>62</v>
      </c>
      <c r="F50" s="347"/>
      <c r="G50" s="367"/>
      <c r="H50" s="33"/>
      <c r="I50" s="38">
        <v>6000</v>
      </c>
      <c r="J50" s="405" t="e">
        <f>I50/'통장내역(환율표)'!#REF!</f>
        <v>#REF!</v>
      </c>
      <c r="K50" s="263">
        <f t="shared" si="3"/>
        <v>396280.01000000065</v>
      </c>
      <c r="L50" s="263" t="e">
        <f t="shared" si="4"/>
        <v>#REF!</v>
      </c>
      <c r="M50" s="33"/>
      <c r="N50" s="45" t="e">
        <f t="shared" si="5"/>
        <v>#REF!</v>
      </c>
    </row>
    <row r="51" spans="1:14" s="5" customFormat="1" ht="13.5" customHeight="1">
      <c r="A51" s="255">
        <v>45255</v>
      </c>
      <c r="B51" s="313" t="s">
        <v>351</v>
      </c>
      <c r="C51" s="365"/>
      <c r="D51" s="37">
        <v>8</v>
      </c>
      <c r="E51" s="37" t="s">
        <v>62</v>
      </c>
      <c r="F51" s="347"/>
      <c r="G51" s="367"/>
      <c r="H51" s="33"/>
      <c r="I51" s="38">
        <v>950</v>
      </c>
      <c r="J51" s="405" t="e">
        <f>I51/'통장내역(환율표)'!#REF!</f>
        <v>#REF!</v>
      </c>
      <c r="K51" s="263">
        <f t="shared" si="3"/>
        <v>395330.01000000065</v>
      </c>
      <c r="L51" s="263" t="e">
        <f t="shared" si="4"/>
        <v>#REF!</v>
      </c>
      <c r="M51" s="33"/>
      <c r="N51" s="45" t="e">
        <f t="shared" si="5"/>
        <v>#REF!</v>
      </c>
    </row>
    <row r="52" spans="1:14" s="5" customFormat="1" ht="13.5" customHeight="1">
      <c r="A52" s="255">
        <v>45255</v>
      </c>
      <c r="B52" s="313" t="s">
        <v>346</v>
      </c>
      <c r="C52" s="365"/>
      <c r="D52" s="37">
        <v>9</v>
      </c>
      <c r="E52" s="37" t="s">
        <v>105</v>
      </c>
      <c r="F52" s="347" t="s">
        <v>227</v>
      </c>
      <c r="G52" s="367"/>
      <c r="H52" s="33"/>
      <c r="I52" s="38">
        <f>7000+3031+469</f>
        <v>10500</v>
      </c>
      <c r="J52" s="405" t="e">
        <f>I52/'통장내역(환율표)'!#REF!</f>
        <v>#REF!</v>
      </c>
      <c r="K52" s="263">
        <f t="shared" si="3"/>
        <v>384830.01000000065</v>
      </c>
      <c r="L52" s="263" t="e">
        <f t="shared" si="4"/>
        <v>#REF!</v>
      </c>
      <c r="M52" s="33" t="s">
        <v>1023</v>
      </c>
      <c r="N52" s="45" t="e">
        <f t="shared" si="5"/>
        <v>#REF!</v>
      </c>
    </row>
    <row r="53" spans="1:14" s="5" customFormat="1" ht="13.5" customHeight="1">
      <c r="A53" s="255">
        <v>45255</v>
      </c>
      <c r="B53" s="313" t="s">
        <v>347</v>
      </c>
      <c r="C53" s="365"/>
      <c r="D53" s="37">
        <v>9</v>
      </c>
      <c r="E53" s="37" t="s">
        <v>62</v>
      </c>
      <c r="F53" s="347"/>
      <c r="G53" s="367"/>
      <c r="H53" s="33"/>
      <c r="I53" s="38">
        <v>6000</v>
      </c>
      <c r="J53" s="405" t="e">
        <f>I53/'통장내역(환율표)'!#REF!</f>
        <v>#REF!</v>
      </c>
      <c r="K53" s="263">
        <f t="shared" si="3"/>
        <v>378830.01000000065</v>
      </c>
      <c r="L53" s="263" t="e">
        <f t="shared" si="4"/>
        <v>#REF!</v>
      </c>
      <c r="M53" s="33"/>
      <c r="N53" s="45" t="e">
        <f t="shared" si="5"/>
        <v>#REF!</v>
      </c>
    </row>
    <row r="54" spans="1:14" s="5" customFormat="1" ht="13.5" customHeight="1">
      <c r="A54" s="255">
        <v>45255</v>
      </c>
      <c r="B54" s="313" t="s">
        <v>351</v>
      </c>
      <c r="C54" s="365"/>
      <c r="D54" s="37">
        <v>9</v>
      </c>
      <c r="E54" s="37" t="s">
        <v>62</v>
      </c>
      <c r="F54" s="347"/>
      <c r="G54" s="367"/>
      <c r="H54" s="33"/>
      <c r="I54" s="38">
        <v>1320</v>
      </c>
      <c r="J54" s="405" t="e">
        <f>I54/'통장내역(환율표)'!#REF!</f>
        <v>#REF!</v>
      </c>
      <c r="K54" s="263">
        <f t="shared" si="3"/>
        <v>377510.01000000065</v>
      </c>
      <c r="L54" s="263" t="e">
        <f t="shared" si="4"/>
        <v>#REF!</v>
      </c>
      <c r="M54" s="33"/>
      <c r="N54" s="45" t="e">
        <f t="shared" si="5"/>
        <v>#REF!</v>
      </c>
    </row>
    <row r="55" spans="1:14" s="5" customFormat="1" ht="13.5" customHeight="1">
      <c r="A55" s="255">
        <v>45255</v>
      </c>
      <c r="B55" s="313" t="s">
        <v>250</v>
      </c>
      <c r="C55" s="365"/>
      <c r="D55" s="37">
        <v>10</v>
      </c>
      <c r="E55" s="37" t="s">
        <v>62</v>
      </c>
      <c r="F55" s="347"/>
      <c r="G55" s="367"/>
      <c r="H55" s="33"/>
      <c r="I55" s="38">
        <v>7.2</v>
      </c>
      <c r="J55" s="405" t="e">
        <f>I55/'통장내역(환율표)'!#REF!</f>
        <v>#REF!</v>
      </c>
      <c r="K55" s="263">
        <f t="shared" si="3"/>
        <v>377502.81000000064</v>
      </c>
      <c r="L55" s="263" t="e">
        <f t="shared" si="4"/>
        <v>#REF!</v>
      </c>
      <c r="M55" s="33"/>
      <c r="N55" s="45" t="e">
        <f t="shared" si="5"/>
        <v>#REF!</v>
      </c>
    </row>
    <row r="56" spans="1:14" s="5" customFormat="1" ht="13.5" customHeight="1">
      <c r="A56" s="255">
        <v>45255</v>
      </c>
      <c r="B56" s="407" t="s">
        <v>878</v>
      </c>
      <c r="C56" s="365"/>
      <c r="D56" s="37">
        <v>11</v>
      </c>
      <c r="E56" s="37" t="s">
        <v>62</v>
      </c>
      <c r="F56" s="347"/>
      <c r="G56" s="367"/>
      <c r="H56" s="33"/>
      <c r="I56" s="38">
        <v>1010</v>
      </c>
      <c r="J56" s="405" t="e">
        <f>I56/'통장내역(환율표)'!#REF!</f>
        <v>#REF!</v>
      </c>
      <c r="K56" s="263">
        <f t="shared" si="3"/>
        <v>376492.81000000064</v>
      </c>
      <c r="L56" s="263" t="e">
        <f t="shared" si="4"/>
        <v>#REF!</v>
      </c>
      <c r="M56" s="33"/>
      <c r="N56" s="45" t="e">
        <f t="shared" si="5"/>
        <v>#REF!</v>
      </c>
    </row>
    <row r="57" spans="1:14" s="5" customFormat="1" ht="13.5" customHeight="1">
      <c r="A57" s="255">
        <v>45255</v>
      </c>
      <c r="B57" s="313" t="s">
        <v>250</v>
      </c>
      <c r="C57" s="365"/>
      <c r="D57" s="37">
        <v>12</v>
      </c>
      <c r="E57" s="37" t="s">
        <v>62</v>
      </c>
      <c r="F57" s="347"/>
      <c r="G57" s="367"/>
      <c r="H57" s="33"/>
      <c r="I57" s="38">
        <v>3.6</v>
      </c>
      <c r="J57" s="405" t="e">
        <f>I57/'통장내역(환율표)'!#REF!</f>
        <v>#REF!</v>
      </c>
      <c r="K57" s="263">
        <f t="shared" si="3"/>
        <v>376489.21000000066</v>
      </c>
      <c r="L57" s="263" t="e">
        <f t="shared" si="4"/>
        <v>#REF!</v>
      </c>
      <c r="M57" s="33"/>
      <c r="N57" s="45" t="e">
        <f t="shared" si="5"/>
        <v>#REF!</v>
      </c>
    </row>
    <row r="58" spans="1:14" s="5" customFormat="1" ht="13.5" customHeight="1">
      <c r="A58" s="255">
        <v>45255</v>
      </c>
      <c r="B58" s="365" t="s">
        <v>996</v>
      </c>
      <c r="C58" s="365"/>
      <c r="D58" s="37">
        <v>13</v>
      </c>
      <c r="E58" s="37" t="s">
        <v>13</v>
      </c>
      <c r="F58" s="347" t="s">
        <v>14</v>
      </c>
      <c r="G58" s="367"/>
      <c r="H58" s="33"/>
      <c r="I58" s="270">
        <v>2992</v>
      </c>
      <c r="J58" s="405" t="e">
        <f>I58/'통장내역(환율표)'!#REF!</f>
        <v>#REF!</v>
      </c>
      <c r="K58" s="263">
        <f t="shared" si="3"/>
        <v>373497.21000000066</v>
      </c>
      <c r="L58" s="263" t="e">
        <f t="shared" si="4"/>
        <v>#REF!</v>
      </c>
      <c r="M58" s="283"/>
      <c r="N58" s="45" t="e">
        <f t="shared" si="5"/>
        <v>#REF!</v>
      </c>
    </row>
    <row r="59" spans="1:14" s="5" customFormat="1" ht="13.5" customHeight="1">
      <c r="A59" s="255">
        <v>45255</v>
      </c>
      <c r="B59" s="365" t="s">
        <v>994</v>
      </c>
      <c r="C59" s="365"/>
      <c r="D59" s="37">
        <v>14</v>
      </c>
      <c r="E59" s="37" t="s">
        <v>13</v>
      </c>
      <c r="F59" s="347" t="s">
        <v>14</v>
      </c>
      <c r="G59" s="367"/>
      <c r="H59" s="33"/>
      <c r="I59" s="270">
        <v>1023</v>
      </c>
      <c r="J59" s="405" t="e">
        <f>I59/'통장내역(환율표)'!#REF!</f>
        <v>#REF!</v>
      </c>
      <c r="K59" s="263">
        <f t="shared" si="3"/>
        <v>372474.21000000066</v>
      </c>
      <c r="L59" s="263" t="e">
        <f t="shared" si="4"/>
        <v>#REF!</v>
      </c>
      <c r="M59" s="283"/>
      <c r="N59" s="45" t="e">
        <f t="shared" si="5"/>
        <v>#REF!</v>
      </c>
    </row>
    <row r="60" spans="1:14" s="5" customFormat="1" ht="13.5" customHeight="1">
      <c r="A60" s="255">
        <v>45255</v>
      </c>
      <c r="B60" s="365" t="s">
        <v>995</v>
      </c>
      <c r="C60" s="365"/>
      <c r="D60" s="37">
        <v>15</v>
      </c>
      <c r="E60" s="37" t="s">
        <v>13</v>
      </c>
      <c r="F60" s="347" t="s">
        <v>14</v>
      </c>
      <c r="G60" s="367"/>
      <c r="H60" s="33"/>
      <c r="I60" s="270">
        <v>658</v>
      </c>
      <c r="J60" s="405" t="e">
        <f>I60/'통장내역(환율표)'!#REF!</f>
        <v>#REF!</v>
      </c>
      <c r="K60" s="263">
        <f t="shared" si="3"/>
        <v>371816.21000000066</v>
      </c>
      <c r="L60" s="263" t="e">
        <f t="shared" si="4"/>
        <v>#REF!</v>
      </c>
      <c r="M60" s="283"/>
      <c r="N60" s="45" t="e">
        <f t="shared" si="5"/>
        <v>#REF!</v>
      </c>
    </row>
    <row r="61" spans="1:14" s="5" customFormat="1" ht="13.5" customHeight="1">
      <c r="A61" s="255">
        <v>45255</v>
      </c>
      <c r="B61" s="313" t="s">
        <v>250</v>
      </c>
      <c r="C61" s="365"/>
      <c r="D61" s="37">
        <v>16</v>
      </c>
      <c r="E61" s="37" t="s">
        <v>62</v>
      </c>
      <c r="F61" s="347"/>
      <c r="G61" s="367"/>
      <c r="H61" s="33"/>
      <c r="I61" s="270">
        <v>3.6</v>
      </c>
      <c r="J61" s="405" t="e">
        <f>I61/'통장내역(환율표)'!#REF!</f>
        <v>#REF!</v>
      </c>
      <c r="K61" s="263">
        <f t="shared" si="3"/>
        <v>371812.61000000068</v>
      </c>
      <c r="L61" s="263" t="e">
        <f t="shared" si="4"/>
        <v>#REF!</v>
      </c>
      <c r="M61" s="283"/>
      <c r="N61" s="45" t="e">
        <f t="shared" si="5"/>
        <v>#REF!</v>
      </c>
    </row>
    <row r="62" spans="1:14" s="5" customFormat="1" ht="13.5" customHeight="1">
      <c r="A62" s="255">
        <v>45255</v>
      </c>
      <c r="B62" s="407" t="s">
        <v>999</v>
      </c>
      <c r="C62" s="365"/>
      <c r="D62" s="37">
        <v>17</v>
      </c>
      <c r="E62" s="37" t="s">
        <v>13</v>
      </c>
      <c r="F62" s="347" t="s">
        <v>14</v>
      </c>
      <c r="G62" s="367"/>
      <c r="H62" s="33"/>
      <c r="I62" s="270">
        <v>3808.7</v>
      </c>
      <c r="J62" s="405" t="e">
        <f>I62/'통장내역(환율표)'!#REF!</f>
        <v>#REF!</v>
      </c>
      <c r="K62" s="263">
        <f t="shared" si="3"/>
        <v>368003.91000000067</v>
      </c>
      <c r="L62" s="263" t="e">
        <f t="shared" si="4"/>
        <v>#REF!</v>
      </c>
      <c r="M62" s="283"/>
      <c r="N62" s="45" t="e">
        <f t="shared" si="5"/>
        <v>#REF!</v>
      </c>
    </row>
    <row r="63" spans="1:14" s="5" customFormat="1" ht="13.5" customHeight="1">
      <c r="A63" s="255">
        <v>45255</v>
      </c>
      <c r="B63" s="407" t="s">
        <v>997</v>
      </c>
      <c r="C63" s="365"/>
      <c r="D63" s="37">
        <v>18</v>
      </c>
      <c r="E63" s="37" t="s">
        <v>13</v>
      </c>
      <c r="F63" s="347" t="s">
        <v>14</v>
      </c>
      <c r="G63" s="367"/>
      <c r="H63" s="33"/>
      <c r="I63" s="270">
        <v>1339.23</v>
      </c>
      <c r="J63" s="405" t="e">
        <f>I63/'통장내역(환율표)'!#REF!</f>
        <v>#REF!</v>
      </c>
      <c r="K63" s="263">
        <f t="shared" si="3"/>
        <v>366664.68000000069</v>
      </c>
      <c r="L63" s="263" t="e">
        <f t="shared" si="4"/>
        <v>#REF!</v>
      </c>
      <c r="M63" s="283"/>
      <c r="N63" s="45" t="e">
        <f t="shared" si="5"/>
        <v>#REF!</v>
      </c>
    </row>
    <row r="64" spans="1:14" s="5" customFormat="1" ht="13.5" customHeight="1">
      <c r="A64" s="255">
        <v>45255</v>
      </c>
      <c r="B64" s="407" t="s">
        <v>998</v>
      </c>
      <c r="C64" s="365"/>
      <c r="D64" s="37">
        <v>19</v>
      </c>
      <c r="E64" s="37" t="s">
        <v>13</v>
      </c>
      <c r="F64" s="347" t="s">
        <v>14</v>
      </c>
      <c r="G64" s="367"/>
      <c r="H64" s="33"/>
      <c r="I64" s="270">
        <v>484</v>
      </c>
      <c r="J64" s="405" t="e">
        <f>I64/'통장내역(환율표)'!#REF!</f>
        <v>#REF!</v>
      </c>
      <c r="K64" s="263">
        <f t="shared" si="3"/>
        <v>366180.68000000069</v>
      </c>
      <c r="L64" s="263" t="e">
        <f t="shared" si="4"/>
        <v>#REF!</v>
      </c>
      <c r="M64" s="283"/>
      <c r="N64" s="45" t="e">
        <f t="shared" si="5"/>
        <v>#REF!</v>
      </c>
    </row>
    <row r="65" spans="1:14" s="5" customFormat="1" ht="13.5" customHeight="1">
      <c r="A65" s="255">
        <v>45255</v>
      </c>
      <c r="B65" s="313" t="s">
        <v>250</v>
      </c>
      <c r="C65" s="365"/>
      <c r="D65" s="37">
        <v>20</v>
      </c>
      <c r="E65" s="37" t="s">
        <v>62</v>
      </c>
      <c r="F65" s="347"/>
      <c r="G65" s="367"/>
      <c r="H65" s="33"/>
      <c r="I65" s="270">
        <v>3.6</v>
      </c>
      <c r="J65" s="405" t="e">
        <f>I65/'통장내역(환율표)'!#REF!</f>
        <v>#REF!</v>
      </c>
      <c r="K65" s="263">
        <f t="shared" si="3"/>
        <v>366177.08000000071</v>
      </c>
      <c r="L65" s="263" t="e">
        <f t="shared" si="4"/>
        <v>#REF!</v>
      </c>
      <c r="M65" s="283"/>
      <c r="N65" s="45" t="e">
        <f t="shared" si="5"/>
        <v>#REF!</v>
      </c>
    </row>
    <row r="66" spans="1:14" s="5" customFormat="1" ht="13.5" customHeight="1">
      <c r="A66" s="255">
        <v>45255</v>
      </c>
      <c r="B66" s="313" t="s">
        <v>1000</v>
      </c>
      <c r="C66" s="365"/>
      <c r="D66" s="37">
        <v>21</v>
      </c>
      <c r="E66" s="37" t="s">
        <v>13</v>
      </c>
      <c r="F66" s="347" t="s">
        <v>14</v>
      </c>
      <c r="G66" s="367"/>
      <c r="H66" s="33"/>
      <c r="I66" s="270">
        <v>777</v>
      </c>
      <c r="J66" s="405" t="e">
        <f>I66/'통장내역(환율표)'!#REF!</f>
        <v>#REF!</v>
      </c>
      <c r="K66" s="263">
        <f t="shared" si="3"/>
        <v>365400.08000000071</v>
      </c>
      <c r="L66" s="263" t="e">
        <f t="shared" si="4"/>
        <v>#REF!</v>
      </c>
      <c r="M66" s="283"/>
      <c r="N66" s="45" t="e">
        <f t="shared" si="5"/>
        <v>#REF!</v>
      </c>
    </row>
    <row r="67" spans="1:14" s="5" customFormat="1" ht="13.5" customHeight="1">
      <c r="A67" s="255">
        <v>45255</v>
      </c>
      <c r="B67" s="313" t="s">
        <v>1001</v>
      </c>
      <c r="C67" s="365"/>
      <c r="D67" s="37">
        <v>21</v>
      </c>
      <c r="E67" s="37" t="s">
        <v>13</v>
      </c>
      <c r="F67" s="347" t="s">
        <v>14</v>
      </c>
      <c r="G67" s="367"/>
      <c r="H67" s="33"/>
      <c r="I67" s="270">
        <v>35</v>
      </c>
      <c r="J67" s="405" t="e">
        <f>I67/'통장내역(환율표)'!#REF!</f>
        <v>#REF!</v>
      </c>
      <c r="K67" s="263">
        <f t="shared" si="3"/>
        <v>365365.08000000071</v>
      </c>
      <c r="L67" s="263" t="e">
        <f t="shared" si="4"/>
        <v>#REF!</v>
      </c>
      <c r="M67" s="283"/>
      <c r="N67" s="45" t="e">
        <f t="shared" si="5"/>
        <v>#REF!</v>
      </c>
    </row>
    <row r="68" spans="1:14" s="5" customFormat="1" ht="13.5" customHeight="1">
      <c r="A68" s="255">
        <v>45255</v>
      </c>
      <c r="B68" s="313" t="s">
        <v>1002</v>
      </c>
      <c r="C68" s="365"/>
      <c r="D68" s="37">
        <v>22</v>
      </c>
      <c r="E68" s="37" t="s">
        <v>13</v>
      </c>
      <c r="F68" s="347" t="s">
        <v>14</v>
      </c>
      <c r="G68" s="367"/>
      <c r="H68" s="33"/>
      <c r="I68" s="270">
        <v>1564</v>
      </c>
      <c r="J68" s="405" t="e">
        <f>I68/'통장내역(환율표)'!#REF!</f>
        <v>#REF!</v>
      </c>
      <c r="K68" s="263">
        <f t="shared" si="3"/>
        <v>363801.08000000071</v>
      </c>
      <c r="L68" s="263" t="e">
        <f t="shared" si="4"/>
        <v>#REF!</v>
      </c>
      <c r="M68" s="283"/>
      <c r="N68" s="45" t="e">
        <f t="shared" si="5"/>
        <v>#REF!</v>
      </c>
    </row>
    <row r="69" spans="1:14" s="5" customFormat="1" ht="13.5" customHeight="1">
      <c r="A69" s="255">
        <v>45255</v>
      </c>
      <c r="B69" s="313" t="s">
        <v>1003</v>
      </c>
      <c r="C69" s="365"/>
      <c r="D69" s="37">
        <v>23</v>
      </c>
      <c r="E69" s="37" t="s">
        <v>13</v>
      </c>
      <c r="F69" s="347" t="s">
        <v>14</v>
      </c>
      <c r="G69" s="367"/>
      <c r="H69" s="33"/>
      <c r="I69" s="270">
        <v>1997</v>
      </c>
      <c r="J69" s="405" t="e">
        <f>I69/'통장내역(환율표)'!#REF!</f>
        <v>#REF!</v>
      </c>
      <c r="K69" s="263">
        <f t="shared" si="3"/>
        <v>361804.08000000071</v>
      </c>
      <c r="L69" s="263" t="e">
        <f t="shared" si="4"/>
        <v>#REF!</v>
      </c>
      <c r="M69" s="283"/>
      <c r="N69" s="45" t="e">
        <f t="shared" si="5"/>
        <v>#REF!</v>
      </c>
    </row>
    <row r="70" spans="1:14" s="5" customFormat="1" ht="13.5" customHeight="1">
      <c r="A70" s="255">
        <v>45255</v>
      </c>
      <c r="B70" s="313" t="s">
        <v>1004</v>
      </c>
      <c r="C70" s="365"/>
      <c r="D70" s="37">
        <v>24</v>
      </c>
      <c r="E70" s="37" t="s">
        <v>13</v>
      </c>
      <c r="F70" s="347" t="s">
        <v>14</v>
      </c>
      <c r="G70" s="367"/>
      <c r="H70" s="33"/>
      <c r="I70" s="270">
        <v>1255</v>
      </c>
      <c r="J70" s="405" t="e">
        <f>I70/'통장내역(환율표)'!#REF!</f>
        <v>#REF!</v>
      </c>
      <c r="K70" s="263">
        <f t="shared" si="3"/>
        <v>360549.08000000071</v>
      </c>
      <c r="L70" s="263" t="e">
        <f t="shared" si="4"/>
        <v>#REF!</v>
      </c>
      <c r="M70" s="283"/>
      <c r="N70" s="45" t="e">
        <f t="shared" si="5"/>
        <v>#REF!</v>
      </c>
    </row>
    <row r="71" spans="1:14" s="5" customFormat="1" ht="13.5" customHeight="1">
      <c r="A71" s="255">
        <v>45255</v>
      </c>
      <c r="B71" s="313" t="s">
        <v>1005</v>
      </c>
      <c r="C71" s="365"/>
      <c r="D71" s="37">
        <v>25</v>
      </c>
      <c r="E71" s="37" t="s">
        <v>13</v>
      </c>
      <c r="F71" s="347" t="s">
        <v>14</v>
      </c>
      <c r="G71" s="367"/>
      <c r="H71" s="33"/>
      <c r="I71" s="270">
        <v>2580</v>
      </c>
      <c r="J71" s="405" t="e">
        <f>I71/'통장내역(환율표)'!#REF!</f>
        <v>#REF!</v>
      </c>
      <c r="K71" s="263">
        <f t="shared" si="3"/>
        <v>357969.08000000071</v>
      </c>
      <c r="L71" s="263" t="e">
        <f t="shared" si="4"/>
        <v>#REF!</v>
      </c>
      <c r="M71" s="283"/>
      <c r="N71" s="45" t="e">
        <f t="shared" si="5"/>
        <v>#REF!</v>
      </c>
    </row>
    <row r="72" spans="1:14" s="5" customFormat="1" ht="13.5" customHeight="1">
      <c r="A72" s="255">
        <v>45255</v>
      </c>
      <c r="B72" s="313" t="s">
        <v>1006</v>
      </c>
      <c r="C72" s="365"/>
      <c r="D72" s="37">
        <v>26</v>
      </c>
      <c r="E72" s="37" t="s">
        <v>13</v>
      </c>
      <c r="F72" s="347" t="s">
        <v>14</v>
      </c>
      <c r="G72" s="367"/>
      <c r="H72" s="33"/>
      <c r="I72" s="270">
        <v>3411</v>
      </c>
      <c r="J72" s="405" t="e">
        <f>I72/'통장내역(환율표)'!#REF!</f>
        <v>#REF!</v>
      </c>
      <c r="K72" s="263">
        <f t="shared" si="3"/>
        <v>354558.08000000071</v>
      </c>
      <c r="L72" s="263" t="e">
        <f t="shared" si="4"/>
        <v>#REF!</v>
      </c>
      <c r="M72" s="283"/>
      <c r="N72" s="45" t="e">
        <f t="shared" si="5"/>
        <v>#REF!</v>
      </c>
    </row>
    <row r="73" spans="1:14" s="5" customFormat="1" ht="13.5" customHeight="1">
      <c r="A73" s="255">
        <v>45255</v>
      </c>
      <c r="B73" s="313" t="s">
        <v>1007</v>
      </c>
      <c r="C73" s="365"/>
      <c r="D73" s="37">
        <v>27</v>
      </c>
      <c r="E73" s="37" t="s">
        <v>62</v>
      </c>
      <c r="F73" s="347"/>
      <c r="G73" s="367"/>
      <c r="H73" s="33"/>
      <c r="I73" s="270">
        <v>459.85</v>
      </c>
      <c r="J73" s="405" t="e">
        <f>I73/'통장내역(환율표)'!#REF!</f>
        <v>#REF!</v>
      </c>
      <c r="K73" s="263">
        <f t="shared" si="3"/>
        <v>354098.23000000074</v>
      </c>
      <c r="L73" s="263" t="e">
        <f t="shared" si="4"/>
        <v>#REF!</v>
      </c>
      <c r="M73" s="283"/>
      <c r="N73" s="45" t="e">
        <f t="shared" si="5"/>
        <v>#REF!</v>
      </c>
    </row>
    <row r="74" spans="1:14" s="5" customFormat="1" ht="13.5" customHeight="1">
      <c r="A74" s="255">
        <v>45255</v>
      </c>
      <c r="B74" s="313" t="s">
        <v>1008</v>
      </c>
      <c r="C74" s="365"/>
      <c r="D74" s="37">
        <v>28</v>
      </c>
      <c r="E74" s="37" t="s">
        <v>13</v>
      </c>
      <c r="F74" s="347" t="s">
        <v>14</v>
      </c>
      <c r="G74" s="367"/>
      <c r="H74" s="33"/>
      <c r="I74" s="270">
        <v>2191.5</v>
      </c>
      <c r="J74" s="405" t="e">
        <f>I74/'통장내역(환율표)'!#REF!</f>
        <v>#REF!</v>
      </c>
      <c r="K74" s="263">
        <f t="shared" si="3"/>
        <v>351906.73000000074</v>
      </c>
      <c r="L74" s="263" t="e">
        <f t="shared" si="4"/>
        <v>#REF!</v>
      </c>
      <c r="M74" s="283"/>
      <c r="N74" s="45" t="e">
        <f t="shared" si="5"/>
        <v>#REF!</v>
      </c>
    </row>
    <row r="75" spans="1:14" s="5" customFormat="1" ht="13.5" customHeight="1">
      <c r="A75" s="255">
        <v>45255</v>
      </c>
      <c r="B75" s="313" t="s">
        <v>250</v>
      </c>
      <c r="C75" s="365"/>
      <c r="D75" s="432">
        <v>29</v>
      </c>
      <c r="E75" s="37" t="s">
        <v>62</v>
      </c>
      <c r="F75" s="347"/>
      <c r="G75" s="367"/>
      <c r="H75" s="33"/>
      <c r="I75" s="270">
        <v>7.2</v>
      </c>
      <c r="J75" s="405" t="e">
        <f>I75/'통장내역(환율표)'!#REF!</f>
        <v>#REF!</v>
      </c>
      <c r="K75" s="263">
        <f t="shared" si="3"/>
        <v>351899.53000000073</v>
      </c>
      <c r="L75" s="263" t="e">
        <f t="shared" si="4"/>
        <v>#REF!</v>
      </c>
      <c r="M75" s="283"/>
      <c r="N75" s="45" t="e">
        <f t="shared" si="5"/>
        <v>#REF!</v>
      </c>
    </row>
    <row r="76" spans="1:14" s="5" customFormat="1" ht="13.5" customHeight="1">
      <c r="A76" s="255">
        <v>45255</v>
      </c>
      <c r="B76" s="313" t="s">
        <v>1009</v>
      </c>
      <c r="C76" s="365"/>
      <c r="D76" s="432">
        <v>30</v>
      </c>
      <c r="E76" s="37" t="s">
        <v>13</v>
      </c>
      <c r="F76" s="347" t="s">
        <v>14</v>
      </c>
      <c r="G76" s="367"/>
      <c r="H76" s="33"/>
      <c r="I76" s="270">
        <v>3970</v>
      </c>
      <c r="J76" s="405" t="e">
        <f>I76/'통장내역(환율표)'!#REF!</f>
        <v>#REF!</v>
      </c>
      <c r="K76" s="263">
        <f t="shared" si="3"/>
        <v>347929.53000000073</v>
      </c>
      <c r="L76" s="263" t="e">
        <f t="shared" si="4"/>
        <v>#REF!</v>
      </c>
      <c r="M76" s="283"/>
      <c r="N76" s="45" t="e">
        <f t="shared" si="5"/>
        <v>#REF!</v>
      </c>
    </row>
    <row r="77" spans="1:14" s="5" customFormat="1" ht="13.5" customHeight="1">
      <c r="A77" s="255">
        <v>45255</v>
      </c>
      <c r="B77" s="313" t="s">
        <v>1010</v>
      </c>
      <c r="C77" s="365"/>
      <c r="D77" s="432">
        <v>31</v>
      </c>
      <c r="E77" s="37" t="s">
        <v>13</v>
      </c>
      <c r="F77" s="347" t="s">
        <v>14</v>
      </c>
      <c r="G77" s="367"/>
      <c r="H77" s="33"/>
      <c r="I77" s="270">
        <v>1625</v>
      </c>
      <c r="J77" s="405" t="e">
        <f>I77/'통장내역(환율표)'!#REF!</f>
        <v>#REF!</v>
      </c>
      <c r="K77" s="263">
        <f t="shared" si="3"/>
        <v>346304.53000000073</v>
      </c>
      <c r="L77" s="263" t="e">
        <f t="shared" si="4"/>
        <v>#REF!</v>
      </c>
      <c r="M77" s="283"/>
      <c r="N77" s="45" t="e">
        <f t="shared" si="5"/>
        <v>#REF!</v>
      </c>
    </row>
    <row r="78" spans="1:14" s="5" customFormat="1" ht="13.5" customHeight="1">
      <c r="A78" s="255">
        <v>45255</v>
      </c>
      <c r="B78" s="313" t="s">
        <v>1009</v>
      </c>
      <c r="C78" s="365"/>
      <c r="D78" s="432">
        <v>32</v>
      </c>
      <c r="E78" s="37" t="s">
        <v>13</v>
      </c>
      <c r="F78" s="347" t="s">
        <v>14</v>
      </c>
      <c r="G78" s="367"/>
      <c r="H78" s="33"/>
      <c r="I78" s="270">
        <v>2650</v>
      </c>
      <c r="J78" s="405" t="e">
        <f>I78/'통장내역(환율표)'!#REF!</f>
        <v>#REF!</v>
      </c>
      <c r="K78" s="263">
        <f t="shared" si="3"/>
        <v>343654.53000000073</v>
      </c>
      <c r="L78" s="263" t="e">
        <f t="shared" si="4"/>
        <v>#REF!</v>
      </c>
      <c r="M78" s="283"/>
      <c r="N78" s="45" t="e">
        <f t="shared" si="5"/>
        <v>#REF!</v>
      </c>
    </row>
    <row r="79" spans="1:14" s="5" customFormat="1" ht="13.5" customHeight="1">
      <c r="A79" s="255">
        <v>45255</v>
      </c>
      <c r="B79" s="313" t="s">
        <v>1010</v>
      </c>
      <c r="C79" s="365"/>
      <c r="D79" s="432">
        <v>33</v>
      </c>
      <c r="E79" s="37" t="s">
        <v>13</v>
      </c>
      <c r="F79" s="347" t="s">
        <v>14</v>
      </c>
      <c r="G79" s="367"/>
      <c r="H79" s="33"/>
      <c r="I79" s="270">
        <v>1789</v>
      </c>
      <c r="J79" s="405" t="e">
        <f>I79/'통장내역(환율표)'!#REF!</f>
        <v>#REF!</v>
      </c>
      <c r="K79" s="263">
        <f t="shared" si="3"/>
        <v>341865.53000000073</v>
      </c>
      <c r="L79" s="263" t="e">
        <f t="shared" si="4"/>
        <v>#REF!</v>
      </c>
      <c r="M79" s="283"/>
      <c r="N79" s="45" t="e">
        <f t="shared" si="5"/>
        <v>#REF!</v>
      </c>
    </row>
    <row r="80" spans="1:14" s="5" customFormat="1" ht="13.5" customHeight="1">
      <c r="A80" s="255">
        <v>45255</v>
      </c>
      <c r="B80" s="313" t="s">
        <v>1008</v>
      </c>
      <c r="C80" s="365"/>
      <c r="D80" s="432">
        <v>34</v>
      </c>
      <c r="E80" s="37" t="s">
        <v>13</v>
      </c>
      <c r="F80" s="347" t="s">
        <v>14</v>
      </c>
      <c r="G80" s="367"/>
      <c r="H80" s="33"/>
      <c r="I80" s="270">
        <v>2582.08</v>
      </c>
      <c r="J80" s="405" t="e">
        <f>I80/'통장내역(환율표)'!#REF!</f>
        <v>#REF!</v>
      </c>
      <c r="K80" s="263">
        <f t="shared" si="3"/>
        <v>339283.45000000071</v>
      </c>
      <c r="L80" s="263" t="e">
        <f t="shared" si="4"/>
        <v>#REF!</v>
      </c>
      <c r="M80" s="283"/>
      <c r="N80" s="45" t="e">
        <f t="shared" si="5"/>
        <v>#REF!</v>
      </c>
    </row>
    <row r="81" spans="1:14" s="5" customFormat="1" ht="13.5" customHeight="1">
      <c r="A81" s="255">
        <v>45255</v>
      </c>
      <c r="B81" s="313" t="s">
        <v>1007</v>
      </c>
      <c r="C81" s="365"/>
      <c r="D81" s="432">
        <v>35</v>
      </c>
      <c r="E81" s="37" t="s">
        <v>62</v>
      </c>
      <c r="F81" s="347"/>
      <c r="G81" s="367"/>
      <c r="H81" s="33"/>
      <c r="I81" s="270">
        <v>512.29999999999995</v>
      </c>
      <c r="J81" s="405" t="e">
        <f>I81/'통장내역(환율표)'!#REF!</f>
        <v>#REF!</v>
      </c>
      <c r="K81" s="263">
        <f t="shared" si="3"/>
        <v>338771.15000000072</v>
      </c>
      <c r="L81" s="263" t="e">
        <f t="shared" si="4"/>
        <v>#REF!</v>
      </c>
      <c r="M81" s="283"/>
      <c r="N81" s="45" t="e">
        <f t="shared" si="5"/>
        <v>#REF!</v>
      </c>
    </row>
    <row r="82" spans="1:14" s="5" customFormat="1" ht="13.5" customHeight="1">
      <c r="A82" s="255">
        <v>45255</v>
      </c>
      <c r="B82" s="313" t="s">
        <v>1011</v>
      </c>
      <c r="C82" s="365"/>
      <c r="D82" s="432">
        <v>36</v>
      </c>
      <c r="E82" s="37" t="s">
        <v>116</v>
      </c>
      <c r="F82" s="347" t="s">
        <v>140</v>
      </c>
      <c r="G82" s="367"/>
      <c r="H82" s="33"/>
      <c r="I82" s="270">
        <v>108.5</v>
      </c>
      <c r="J82" s="405" t="e">
        <f>I82/'통장내역(환율표)'!#REF!</f>
        <v>#REF!</v>
      </c>
      <c r="K82" s="263">
        <f t="shared" si="3"/>
        <v>338662.65000000072</v>
      </c>
      <c r="L82" s="263" t="e">
        <f t="shared" si="4"/>
        <v>#REF!</v>
      </c>
      <c r="M82" s="283"/>
      <c r="N82" s="45" t="e">
        <f t="shared" si="5"/>
        <v>#REF!</v>
      </c>
    </row>
    <row r="83" spans="1:14" s="5" customFormat="1" ht="13.5" customHeight="1">
      <c r="A83" s="255">
        <v>45255</v>
      </c>
      <c r="B83" s="313" t="s">
        <v>250</v>
      </c>
      <c r="C83" s="365"/>
      <c r="D83" s="432">
        <v>37</v>
      </c>
      <c r="E83" s="37" t="s">
        <v>62</v>
      </c>
      <c r="F83" s="347"/>
      <c r="G83" s="367"/>
      <c r="H83" s="33"/>
      <c r="I83" s="270">
        <v>7.2</v>
      </c>
      <c r="J83" s="405" t="e">
        <f>I83/'통장내역(환율표)'!#REF!</f>
        <v>#REF!</v>
      </c>
      <c r="K83" s="263">
        <f t="shared" si="3"/>
        <v>338655.45000000071</v>
      </c>
      <c r="L83" s="263" t="e">
        <f t="shared" si="4"/>
        <v>#REF!</v>
      </c>
      <c r="M83" s="283"/>
      <c r="N83" s="45" t="e">
        <f t="shared" si="5"/>
        <v>#REF!</v>
      </c>
    </row>
    <row r="84" spans="1:14" s="5" customFormat="1" ht="13.5" customHeight="1">
      <c r="A84" s="255">
        <v>45255</v>
      </c>
      <c r="B84" s="313" t="s">
        <v>1012</v>
      </c>
      <c r="C84" s="365"/>
      <c r="D84" s="432">
        <v>38</v>
      </c>
      <c r="E84" s="37" t="s">
        <v>13</v>
      </c>
      <c r="F84" s="347" t="s">
        <v>14</v>
      </c>
      <c r="G84" s="367"/>
      <c r="H84" s="33"/>
      <c r="I84" s="270">
        <v>2715</v>
      </c>
      <c r="J84" s="405" t="e">
        <f>I84/'통장내역(환율표)'!#REF!</f>
        <v>#REF!</v>
      </c>
      <c r="K84" s="263">
        <f t="shared" si="3"/>
        <v>335940.45000000071</v>
      </c>
      <c r="L84" s="263" t="e">
        <f t="shared" si="4"/>
        <v>#REF!</v>
      </c>
      <c r="M84" s="283"/>
      <c r="N84" s="45" t="e">
        <f t="shared" si="5"/>
        <v>#REF!</v>
      </c>
    </row>
    <row r="85" spans="1:14" s="5" customFormat="1" ht="13.5" customHeight="1">
      <c r="A85" s="255">
        <v>45255</v>
      </c>
      <c r="B85" s="313" t="s">
        <v>1013</v>
      </c>
      <c r="C85" s="365"/>
      <c r="D85" s="432">
        <v>39</v>
      </c>
      <c r="E85" s="37" t="s">
        <v>13</v>
      </c>
      <c r="F85" s="347" t="s">
        <v>14</v>
      </c>
      <c r="G85" s="367"/>
      <c r="H85" s="33"/>
      <c r="I85" s="270">
        <v>919.99</v>
      </c>
      <c r="J85" s="405" t="e">
        <f>I85/'통장내역(환율표)'!#REF!</f>
        <v>#REF!</v>
      </c>
      <c r="K85" s="263">
        <f t="shared" ref="K85:K98" si="6">K84+G85-I85</f>
        <v>335020.46000000072</v>
      </c>
      <c r="L85" s="263" t="e">
        <f t="shared" ref="L85:L98" si="7">L84+H85-J85</f>
        <v>#REF!</v>
      </c>
      <c r="M85" s="283"/>
      <c r="N85" s="45" t="e">
        <f t="shared" si="5"/>
        <v>#REF!</v>
      </c>
    </row>
    <row r="86" spans="1:14" s="5" customFormat="1" ht="13.5" customHeight="1">
      <c r="A86" s="255">
        <v>45255</v>
      </c>
      <c r="B86" s="313" t="s">
        <v>1014</v>
      </c>
      <c r="C86" s="365"/>
      <c r="D86" s="432">
        <v>40</v>
      </c>
      <c r="E86" s="37" t="s">
        <v>13</v>
      </c>
      <c r="F86" s="347" t="s">
        <v>14</v>
      </c>
      <c r="G86" s="367"/>
      <c r="H86" s="33"/>
      <c r="I86" s="270">
        <v>651.15</v>
      </c>
      <c r="J86" s="405" t="e">
        <f>I86/'통장내역(환율표)'!#REF!</f>
        <v>#REF!</v>
      </c>
      <c r="K86" s="263">
        <f t="shared" si="6"/>
        <v>334369.3100000007</v>
      </c>
      <c r="L86" s="263" t="e">
        <f t="shared" si="7"/>
        <v>#REF!</v>
      </c>
      <c r="M86" s="283"/>
      <c r="N86" s="45" t="e">
        <f t="shared" si="5"/>
        <v>#REF!</v>
      </c>
    </row>
    <row r="87" spans="1:14" s="5" customFormat="1" ht="13.5" customHeight="1">
      <c r="A87" s="255">
        <v>45255</v>
      </c>
      <c r="B87" s="313" t="s">
        <v>1015</v>
      </c>
      <c r="C87" s="365"/>
      <c r="D87" s="432">
        <v>41</v>
      </c>
      <c r="E87" s="37" t="s">
        <v>125</v>
      </c>
      <c r="F87" s="347" t="s">
        <v>145</v>
      </c>
      <c r="G87" s="367"/>
      <c r="H87" s="33"/>
      <c r="I87" s="270">
        <f>4942.4-201.6</f>
        <v>4740.7999999999993</v>
      </c>
      <c r="J87" s="405" t="e">
        <f>I87/'통장내역(환율표)'!#REF!</f>
        <v>#REF!</v>
      </c>
      <c r="K87" s="263">
        <f t="shared" si="6"/>
        <v>329628.51000000071</v>
      </c>
      <c r="L87" s="263" t="e">
        <f t="shared" si="7"/>
        <v>#REF!</v>
      </c>
      <c r="M87" s="283" t="s">
        <v>1024</v>
      </c>
      <c r="N87" s="45" t="e">
        <f t="shared" si="5"/>
        <v>#REF!</v>
      </c>
    </row>
    <row r="88" spans="1:14" s="5" customFormat="1" ht="13.5" customHeight="1">
      <c r="A88" s="255">
        <v>45255</v>
      </c>
      <c r="B88" s="313" t="s">
        <v>250</v>
      </c>
      <c r="C88" s="365"/>
      <c r="D88" s="432">
        <v>42</v>
      </c>
      <c r="E88" s="37" t="s">
        <v>62</v>
      </c>
      <c r="F88" s="347"/>
      <c r="G88" s="367"/>
      <c r="H88" s="33"/>
      <c r="I88" s="270">
        <v>3.6</v>
      </c>
      <c r="J88" s="405" t="e">
        <f>I88/'통장내역(환율표)'!#REF!</f>
        <v>#REF!</v>
      </c>
      <c r="K88" s="263">
        <f t="shared" si="6"/>
        <v>329624.91000000073</v>
      </c>
      <c r="L88" s="263" t="e">
        <f t="shared" si="7"/>
        <v>#REF!</v>
      </c>
      <c r="M88" s="283"/>
      <c r="N88" s="45" t="e">
        <f t="shared" ref="N88:N98" si="8">N87-J88+H88</f>
        <v>#REF!</v>
      </c>
    </row>
    <row r="89" spans="1:14" s="5" customFormat="1" ht="13.5" customHeight="1">
      <c r="A89" s="255">
        <v>45255</v>
      </c>
      <c r="B89" s="313" t="s">
        <v>1017</v>
      </c>
      <c r="C89" s="365"/>
      <c r="D89" s="432">
        <v>43</v>
      </c>
      <c r="E89" s="37" t="s">
        <v>13</v>
      </c>
      <c r="F89" s="347" t="s">
        <v>14</v>
      </c>
      <c r="G89" s="367"/>
      <c r="H89" s="33"/>
      <c r="I89" s="270">
        <v>2804</v>
      </c>
      <c r="J89" s="405" t="e">
        <f>I89/'통장내역(환율표)'!#REF!</f>
        <v>#REF!</v>
      </c>
      <c r="K89" s="263">
        <f t="shared" si="6"/>
        <v>326820.91000000073</v>
      </c>
      <c r="L89" s="263" t="e">
        <f t="shared" si="7"/>
        <v>#REF!</v>
      </c>
      <c r="M89" s="283"/>
      <c r="N89" s="45" t="e">
        <f t="shared" si="8"/>
        <v>#REF!</v>
      </c>
    </row>
    <row r="90" spans="1:14" s="5" customFormat="1" ht="13.5" customHeight="1">
      <c r="A90" s="255">
        <v>45255</v>
      </c>
      <c r="B90" s="313" t="s">
        <v>1016</v>
      </c>
      <c r="C90" s="365"/>
      <c r="D90" s="432">
        <v>44</v>
      </c>
      <c r="E90" s="37" t="s">
        <v>13</v>
      </c>
      <c r="F90" s="347" t="s">
        <v>14</v>
      </c>
      <c r="G90" s="367"/>
      <c r="H90" s="33"/>
      <c r="I90" s="270">
        <v>888.72</v>
      </c>
      <c r="J90" s="405" t="e">
        <f>I90/'통장내역(환율표)'!#REF!</f>
        <v>#REF!</v>
      </c>
      <c r="K90" s="263">
        <f t="shared" si="6"/>
        <v>325932.19000000076</v>
      </c>
      <c r="L90" s="263" t="e">
        <f t="shared" si="7"/>
        <v>#REF!</v>
      </c>
      <c r="M90" s="283"/>
      <c r="N90" s="45" t="e">
        <f t="shared" si="8"/>
        <v>#REF!</v>
      </c>
    </row>
    <row r="91" spans="1:14" s="5" customFormat="1" ht="13.5" customHeight="1">
      <c r="A91" s="255">
        <v>45255</v>
      </c>
      <c r="B91" s="313" t="s">
        <v>250</v>
      </c>
      <c r="C91" s="365"/>
      <c r="D91" s="432">
        <v>45</v>
      </c>
      <c r="E91" s="37" t="s">
        <v>62</v>
      </c>
      <c r="F91" s="347"/>
      <c r="G91" s="367"/>
      <c r="H91" s="33"/>
      <c r="I91" s="270">
        <v>3.6</v>
      </c>
      <c r="J91" s="405" t="e">
        <f>I91/'통장내역(환율표)'!#REF!</f>
        <v>#REF!</v>
      </c>
      <c r="K91" s="263">
        <f t="shared" si="6"/>
        <v>325928.59000000078</v>
      </c>
      <c r="L91" s="263" t="e">
        <f t="shared" si="7"/>
        <v>#REF!</v>
      </c>
      <c r="M91" s="283"/>
      <c r="N91" s="45" t="e">
        <f t="shared" si="8"/>
        <v>#REF!</v>
      </c>
    </row>
    <row r="92" spans="1:14" s="5" customFormat="1" ht="13.5" customHeight="1">
      <c r="A92" s="255">
        <v>45255</v>
      </c>
      <c r="B92" s="365" t="s">
        <v>738</v>
      </c>
      <c r="C92" s="365"/>
      <c r="D92" s="432">
        <v>46</v>
      </c>
      <c r="E92" s="37" t="s">
        <v>125</v>
      </c>
      <c r="F92" s="347" t="s">
        <v>145</v>
      </c>
      <c r="G92" s="367"/>
      <c r="H92" s="33"/>
      <c r="I92" s="270">
        <v>11250.33</v>
      </c>
      <c r="J92" s="405" t="e">
        <f>I92/'통장내역(환율표)'!#REF!</f>
        <v>#REF!</v>
      </c>
      <c r="K92" s="263">
        <f t="shared" si="6"/>
        <v>314678.26000000077</v>
      </c>
      <c r="L92" s="263" t="e">
        <f t="shared" si="7"/>
        <v>#REF!</v>
      </c>
      <c r="M92" s="283"/>
      <c r="N92" s="45" t="e">
        <f t="shared" si="8"/>
        <v>#REF!</v>
      </c>
    </row>
    <row r="93" spans="1:14" s="5" customFormat="1" ht="13.5" customHeight="1">
      <c r="A93" s="255">
        <v>45255</v>
      </c>
      <c r="B93" s="313" t="s">
        <v>250</v>
      </c>
      <c r="C93" s="365"/>
      <c r="D93" s="432">
        <v>47</v>
      </c>
      <c r="E93" s="37" t="s">
        <v>62</v>
      </c>
      <c r="F93" s="347"/>
      <c r="G93" s="367"/>
      <c r="H93" s="33"/>
      <c r="I93" s="270">
        <v>7.2</v>
      </c>
      <c r="J93" s="405" t="e">
        <f>I93/'통장내역(환율표)'!#REF!</f>
        <v>#REF!</v>
      </c>
      <c r="K93" s="263">
        <f t="shared" si="6"/>
        <v>314671.06000000075</v>
      </c>
      <c r="L93" s="263" t="e">
        <f t="shared" si="7"/>
        <v>#REF!</v>
      </c>
      <c r="M93" s="283"/>
      <c r="N93" s="45" t="e">
        <f t="shared" si="8"/>
        <v>#REF!</v>
      </c>
    </row>
    <row r="94" spans="1:14" s="5" customFormat="1" ht="13.5" customHeight="1">
      <c r="A94" s="255">
        <v>45255</v>
      </c>
      <c r="B94" s="313" t="s">
        <v>988</v>
      </c>
      <c r="C94" s="365"/>
      <c r="D94" s="432">
        <v>48</v>
      </c>
      <c r="E94" s="37" t="s">
        <v>116</v>
      </c>
      <c r="F94" s="347" t="s">
        <v>140</v>
      </c>
      <c r="G94" s="367"/>
      <c r="H94" s="33"/>
      <c r="I94" s="270">
        <v>300</v>
      </c>
      <c r="J94" s="405" t="e">
        <f>I94/'통장내역(환율표)'!#REF!</f>
        <v>#REF!</v>
      </c>
      <c r="K94" s="263">
        <f t="shared" si="6"/>
        <v>314371.06000000075</v>
      </c>
      <c r="L94" s="263" t="e">
        <f t="shared" si="7"/>
        <v>#REF!</v>
      </c>
      <c r="M94" s="283"/>
      <c r="N94" s="45" t="e">
        <f t="shared" si="8"/>
        <v>#REF!</v>
      </c>
    </row>
    <row r="95" spans="1:14" s="5" customFormat="1" ht="13.5" customHeight="1">
      <c r="A95" s="255">
        <v>45255</v>
      </c>
      <c r="B95" s="313" t="s">
        <v>250</v>
      </c>
      <c r="C95" s="365"/>
      <c r="D95" s="432">
        <v>49</v>
      </c>
      <c r="E95" s="37" t="s">
        <v>62</v>
      </c>
      <c r="F95" s="347"/>
      <c r="G95" s="367"/>
      <c r="H95" s="33"/>
      <c r="I95" s="270">
        <v>3.6</v>
      </c>
      <c r="J95" s="405" t="e">
        <f>I95/'통장내역(환율표)'!#REF!</f>
        <v>#REF!</v>
      </c>
      <c r="K95" s="263">
        <f t="shared" si="6"/>
        <v>314367.46000000078</v>
      </c>
      <c r="L95" s="263" t="e">
        <f t="shared" si="7"/>
        <v>#REF!</v>
      </c>
      <c r="M95" s="283"/>
      <c r="N95" s="45" t="e">
        <f t="shared" si="8"/>
        <v>#REF!</v>
      </c>
    </row>
    <row r="96" spans="1:14" s="5" customFormat="1" ht="13.5" customHeight="1">
      <c r="A96" s="255">
        <v>45255</v>
      </c>
      <c r="B96" s="335" t="s">
        <v>733</v>
      </c>
      <c r="C96" s="365"/>
      <c r="D96" s="432">
        <v>50</v>
      </c>
      <c r="E96" s="37" t="s">
        <v>13</v>
      </c>
      <c r="F96" s="347" t="s">
        <v>14</v>
      </c>
      <c r="G96" s="367"/>
      <c r="H96" s="33"/>
      <c r="I96" s="270">
        <v>211.39</v>
      </c>
      <c r="J96" s="405" t="e">
        <f>I96/'통장내역(환율표)'!#REF!</f>
        <v>#REF!</v>
      </c>
      <c r="K96" s="263">
        <f t="shared" si="6"/>
        <v>314156.07000000076</v>
      </c>
      <c r="L96" s="263" t="e">
        <f t="shared" si="7"/>
        <v>#REF!</v>
      </c>
      <c r="M96" s="367" t="s">
        <v>1025</v>
      </c>
      <c r="N96" s="45" t="e">
        <f t="shared" si="8"/>
        <v>#REF!</v>
      </c>
    </row>
    <row r="97" spans="1:14" s="5" customFormat="1" ht="13.5" customHeight="1">
      <c r="A97" s="255">
        <v>45255</v>
      </c>
      <c r="B97" s="313" t="s">
        <v>250</v>
      </c>
      <c r="C97" s="365"/>
      <c r="D97" s="432">
        <v>51</v>
      </c>
      <c r="E97" s="37" t="s">
        <v>62</v>
      </c>
      <c r="F97" s="347"/>
      <c r="G97" s="367"/>
      <c r="H97" s="33"/>
      <c r="I97" s="270">
        <v>3.6</v>
      </c>
      <c r="J97" s="405" t="e">
        <f>I97/'통장내역(환율표)'!#REF!</f>
        <v>#REF!</v>
      </c>
      <c r="K97" s="263">
        <f t="shared" si="6"/>
        <v>314152.47000000079</v>
      </c>
      <c r="L97" s="263" t="e">
        <f t="shared" si="7"/>
        <v>#REF!</v>
      </c>
      <c r="M97" s="283"/>
      <c r="N97" s="45" t="e">
        <f t="shared" si="8"/>
        <v>#REF!</v>
      </c>
    </row>
    <row r="98" spans="1:14" s="5" customFormat="1" ht="13.5" customHeight="1">
      <c r="A98" s="436">
        <v>45255</v>
      </c>
      <c r="B98" s="437" t="s">
        <v>1029</v>
      </c>
      <c r="C98" s="438"/>
      <c r="D98" s="439">
        <v>52</v>
      </c>
      <c r="E98" s="287" t="s">
        <v>13</v>
      </c>
      <c r="F98" s="440" t="s">
        <v>14</v>
      </c>
      <c r="G98" s="441"/>
      <c r="H98" s="288"/>
      <c r="I98" s="289" t="e">
        <f>J98*'통장내역(환율표)'!#REF!</f>
        <v>#REF!</v>
      </c>
      <c r="J98" s="405">
        <v>195.30913646133075</v>
      </c>
      <c r="K98" s="291" t="e">
        <f t="shared" si="6"/>
        <v>#REF!</v>
      </c>
      <c r="L98" s="291" t="e">
        <f t="shared" si="7"/>
        <v>#REF!</v>
      </c>
      <c r="M98" s="442"/>
      <c r="N98" s="45" t="e">
        <f t="shared" si="8"/>
        <v>#REF!</v>
      </c>
    </row>
    <row r="99" spans="1:14" s="5" customFormat="1" ht="13.5" customHeight="1">
      <c r="A99" s="436">
        <v>45255</v>
      </c>
      <c r="B99" s="437" t="s">
        <v>1028</v>
      </c>
      <c r="C99" s="438"/>
      <c r="D99" s="439">
        <v>52</v>
      </c>
      <c r="E99" s="287" t="s">
        <v>146</v>
      </c>
      <c r="F99" s="440" t="s">
        <v>147</v>
      </c>
      <c r="G99" s="441"/>
      <c r="H99" s="288"/>
      <c r="I99" s="289" t="e">
        <f>2246-I98</f>
        <v>#REF!</v>
      </c>
      <c r="J99" s="346" t="e">
        <f>I99/'통장내역(환율표)'!#REF!</f>
        <v>#REF!</v>
      </c>
      <c r="K99" s="291" t="e">
        <f t="shared" ref="K99:K119" si="9">K98+G99-I99</f>
        <v>#REF!</v>
      </c>
      <c r="L99" s="291" t="e">
        <f t="shared" ref="L99:L119" si="10">L98+H99-J99</f>
        <v>#REF!</v>
      </c>
      <c r="M99" s="442"/>
      <c r="N99" s="45" t="e">
        <f>42982-'내역_23.11'!J99</f>
        <v>#REF!</v>
      </c>
    </row>
    <row r="100" spans="1:14" s="5" customFormat="1" ht="13.5" customHeight="1">
      <c r="A100" s="255">
        <v>45255</v>
      </c>
      <c r="B100" s="335" t="s">
        <v>1018</v>
      </c>
      <c r="C100" s="365"/>
      <c r="D100" s="432">
        <v>53</v>
      </c>
      <c r="E100" s="37" t="s">
        <v>146</v>
      </c>
      <c r="F100" s="347" t="s">
        <v>147</v>
      </c>
      <c r="G100" s="367"/>
      <c r="H100" s="33"/>
      <c r="I100" s="270">
        <v>3799.5</v>
      </c>
      <c r="J100" s="346" t="e">
        <f>I100/'통장내역(환율표)'!#REF!</f>
        <v>#REF!</v>
      </c>
      <c r="K100" s="263" t="e">
        <f t="shared" si="9"/>
        <v>#REF!</v>
      </c>
      <c r="L100" s="263" t="e">
        <f t="shared" si="10"/>
        <v>#REF!</v>
      </c>
      <c r="M100" s="283"/>
      <c r="N100" s="45" t="e">
        <f>N99-J100+H100</f>
        <v>#REF!</v>
      </c>
    </row>
    <row r="101" spans="1:14" s="5" customFormat="1" ht="13.5" customHeight="1">
      <c r="A101" s="255">
        <v>45255</v>
      </c>
      <c r="B101" s="313" t="s">
        <v>250</v>
      </c>
      <c r="C101" s="365"/>
      <c r="D101" s="432">
        <v>54</v>
      </c>
      <c r="E101" s="37" t="s">
        <v>62</v>
      </c>
      <c r="F101" s="347"/>
      <c r="G101" s="367"/>
      <c r="H101" s="33"/>
      <c r="I101" s="270">
        <v>3.6</v>
      </c>
      <c r="J101" s="346" t="e">
        <f>I101/'통장내역(환율표)'!#REF!</f>
        <v>#REF!</v>
      </c>
      <c r="K101" s="263" t="e">
        <f t="shared" si="9"/>
        <v>#REF!</v>
      </c>
      <c r="L101" s="263" t="e">
        <f t="shared" si="10"/>
        <v>#REF!</v>
      </c>
      <c r="M101" s="283"/>
      <c r="N101" s="45" t="e">
        <f t="shared" ref="N101:N119" si="11">N100-J101+H101</f>
        <v>#REF!</v>
      </c>
    </row>
    <row r="102" spans="1:14" s="5" customFormat="1" ht="13.5" customHeight="1">
      <c r="A102" s="255">
        <v>45255</v>
      </c>
      <c r="B102" s="335" t="s">
        <v>1019</v>
      </c>
      <c r="C102" s="365"/>
      <c r="D102" s="432">
        <v>55</v>
      </c>
      <c r="E102" s="37" t="s">
        <v>146</v>
      </c>
      <c r="F102" s="347" t="s">
        <v>147</v>
      </c>
      <c r="G102" s="367"/>
      <c r="H102" s="33"/>
      <c r="I102" s="270">
        <v>1671.5</v>
      </c>
      <c r="J102" s="346" t="e">
        <f>I102/'통장내역(환율표)'!#REF!</f>
        <v>#REF!</v>
      </c>
      <c r="K102" s="263" t="e">
        <f t="shared" si="9"/>
        <v>#REF!</v>
      </c>
      <c r="L102" s="263" t="e">
        <f t="shared" si="10"/>
        <v>#REF!</v>
      </c>
      <c r="M102" s="283"/>
      <c r="N102" s="45" t="e">
        <f t="shared" si="11"/>
        <v>#REF!</v>
      </c>
    </row>
    <row r="103" spans="1:14" s="5" customFormat="1" ht="13.5" customHeight="1">
      <c r="A103" s="255">
        <v>45255</v>
      </c>
      <c r="B103" s="335" t="s">
        <v>1020</v>
      </c>
      <c r="C103" s="365"/>
      <c r="D103" s="432">
        <v>56</v>
      </c>
      <c r="E103" s="37" t="s">
        <v>146</v>
      </c>
      <c r="F103" s="347" t="s">
        <v>147</v>
      </c>
      <c r="G103" s="367"/>
      <c r="H103" s="33"/>
      <c r="I103" s="270">
        <v>1394.72</v>
      </c>
      <c r="J103" s="346" t="e">
        <f>I103/'통장내역(환율표)'!#REF!</f>
        <v>#REF!</v>
      </c>
      <c r="K103" s="263" t="e">
        <f t="shared" si="9"/>
        <v>#REF!</v>
      </c>
      <c r="L103" s="263" t="e">
        <f t="shared" si="10"/>
        <v>#REF!</v>
      </c>
      <c r="M103" s="283"/>
      <c r="N103" s="45" t="e">
        <f t="shared" si="11"/>
        <v>#REF!</v>
      </c>
    </row>
    <row r="104" spans="1:14" s="5" customFormat="1" ht="13.5" customHeight="1">
      <c r="A104" s="255">
        <v>45255</v>
      </c>
      <c r="B104" s="313" t="s">
        <v>250</v>
      </c>
      <c r="C104" s="365"/>
      <c r="D104" s="432">
        <v>57</v>
      </c>
      <c r="E104" s="37" t="s">
        <v>62</v>
      </c>
      <c r="F104" s="347"/>
      <c r="G104" s="367"/>
      <c r="H104" s="33"/>
      <c r="I104" s="270">
        <v>3.6</v>
      </c>
      <c r="J104" s="346" t="e">
        <f>I104/'통장내역(환율표)'!#REF!</f>
        <v>#REF!</v>
      </c>
      <c r="K104" s="263" t="e">
        <f t="shared" si="9"/>
        <v>#REF!</v>
      </c>
      <c r="L104" s="263" t="e">
        <f t="shared" si="10"/>
        <v>#REF!</v>
      </c>
      <c r="M104" s="283"/>
      <c r="N104" s="45" t="e">
        <f t="shared" si="11"/>
        <v>#REF!</v>
      </c>
    </row>
    <row r="105" spans="1:14" s="5" customFormat="1" ht="13.5" customHeight="1">
      <c r="A105" s="255">
        <v>45255</v>
      </c>
      <c r="B105" s="313" t="s">
        <v>1021</v>
      </c>
      <c r="C105" s="365"/>
      <c r="D105" s="432">
        <v>58</v>
      </c>
      <c r="E105" s="37" t="s">
        <v>146</v>
      </c>
      <c r="F105" s="347" t="s">
        <v>147</v>
      </c>
      <c r="G105" s="367"/>
      <c r="H105" s="33"/>
      <c r="I105" s="270">
        <v>2510</v>
      </c>
      <c r="J105" s="346" t="e">
        <f>I105/'통장내역(환율표)'!#REF!</f>
        <v>#REF!</v>
      </c>
      <c r="K105" s="263" t="e">
        <f t="shared" si="9"/>
        <v>#REF!</v>
      </c>
      <c r="L105" s="263" t="e">
        <f t="shared" si="10"/>
        <v>#REF!</v>
      </c>
      <c r="M105" s="283"/>
      <c r="N105" s="45" t="e">
        <f t="shared" si="11"/>
        <v>#REF!</v>
      </c>
    </row>
    <row r="106" spans="1:14" s="5" customFormat="1" ht="13.5" customHeight="1">
      <c r="A106" s="255">
        <v>45255</v>
      </c>
      <c r="B106" s="313" t="s">
        <v>1022</v>
      </c>
      <c r="C106" s="365"/>
      <c r="D106" s="432">
        <v>59</v>
      </c>
      <c r="E106" s="37" t="s">
        <v>146</v>
      </c>
      <c r="F106" s="347" t="s">
        <v>147</v>
      </c>
      <c r="G106" s="367"/>
      <c r="H106" s="33"/>
      <c r="I106" s="270">
        <v>1865.6</v>
      </c>
      <c r="J106" s="346" t="e">
        <f>I106/'통장내역(환율표)'!#REF!</f>
        <v>#REF!</v>
      </c>
      <c r="K106" s="263" t="e">
        <f t="shared" si="9"/>
        <v>#REF!</v>
      </c>
      <c r="L106" s="263" t="e">
        <f t="shared" si="10"/>
        <v>#REF!</v>
      </c>
      <c r="M106" s="283"/>
      <c r="N106" s="45" t="e">
        <f t="shared" si="11"/>
        <v>#REF!</v>
      </c>
    </row>
    <row r="107" spans="1:14" s="5" customFormat="1" ht="13.5" customHeight="1">
      <c r="A107" s="255">
        <v>45255</v>
      </c>
      <c r="B107" s="313" t="s">
        <v>250</v>
      </c>
      <c r="C107" s="365"/>
      <c r="D107" s="432">
        <v>60</v>
      </c>
      <c r="E107" s="37" t="s">
        <v>62</v>
      </c>
      <c r="F107" s="347"/>
      <c r="G107" s="367"/>
      <c r="H107" s="33"/>
      <c r="I107" s="270">
        <v>3.6</v>
      </c>
      <c r="J107" s="346" t="e">
        <f>I107/'통장내역(환율표)'!#REF!</f>
        <v>#REF!</v>
      </c>
      <c r="K107" s="263" t="e">
        <f t="shared" si="9"/>
        <v>#REF!</v>
      </c>
      <c r="L107" s="263" t="e">
        <f t="shared" si="10"/>
        <v>#REF!</v>
      </c>
      <c r="M107" s="283"/>
      <c r="N107" s="45" t="e">
        <f t="shared" si="11"/>
        <v>#REF!</v>
      </c>
    </row>
    <row r="108" spans="1:14" s="5" customFormat="1" ht="13.5" customHeight="1">
      <c r="A108" s="255">
        <v>45255</v>
      </c>
      <c r="B108" s="365" t="s">
        <v>844</v>
      </c>
      <c r="C108" s="365"/>
      <c r="D108" s="432">
        <v>61</v>
      </c>
      <c r="E108" s="37" t="s">
        <v>146</v>
      </c>
      <c r="F108" s="347" t="s">
        <v>147</v>
      </c>
      <c r="G108" s="367"/>
      <c r="H108" s="33"/>
      <c r="I108" s="270">
        <v>816.77</v>
      </c>
      <c r="J108" s="346" t="e">
        <f>I108/'통장내역(환율표)'!#REF!</f>
        <v>#REF!</v>
      </c>
      <c r="K108" s="263" t="e">
        <f t="shared" si="9"/>
        <v>#REF!</v>
      </c>
      <c r="L108" s="263" t="e">
        <f t="shared" si="10"/>
        <v>#REF!</v>
      </c>
      <c r="M108" s="283"/>
      <c r="N108" s="45" t="e">
        <f t="shared" si="11"/>
        <v>#REF!</v>
      </c>
    </row>
    <row r="109" spans="1:14" s="5" customFormat="1" ht="13.5" customHeight="1">
      <c r="A109" s="255">
        <v>45255</v>
      </c>
      <c r="B109" s="313" t="s">
        <v>250</v>
      </c>
      <c r="C109" s="365"/>
      <c r="D109" s="432">
        <v>62</v>
      </c>
      <c r="E109" s="37" t="s">
        <v>62</v>
      </c>
      <c r="F109" s="347"/>
      <c r="G109" s="367"/>
      <c r="H109" s="33"/>
      <c r="I109" s="270">
        <v>3.6</v>
      </c>
      <c r="J109" s="346" t="e">
        <f>I109/'통장내역(환율표)'!#REF!</f>
        <v>#REF!</v>
      </c>
      <c r="K109" s="263" t="e">
        <f t="shared" si="9"/>
        <v>#REF!</v>
      </c>
      <c r="L109" s="263" t="e">
        <f t="shared" si="10"/>
        <v>#REF!</v>
      </c>
      <c r="M109" s="283"/>
      <c r="N109" s="45" t="e">
        <f t="shared" si="11"/>
        <v>#REF!</v>
      </c>
    </row>
    <row r="110" spans="1:14" s="5" customFormat="1" ht="13.5" customHeight="1">
      <c r="A110" s="255">
        <v>45255</v>
      </c>
      <c r="B110" s="365" t="s">
        <v>989</v>
      </c>
      <c r="C110" s="365"/>
      <c r="D110" s="432">
        <v>63</v>
      </c>
      <c r="E110" s="37" t="s">
        <v>125</v>
      </c>
      <c r="F110" s="347" t="s">
        <v>145</v>
      </c>
      <c r="G110" s="367"/>
      <c r="H110" s="33"/>
      <c r="I110" s="270">
        <v>14586.8</v>
      </c>
      <c r="J110" s="346" t="e">
        <f>I110/'통장내역(환율표)'!#REF!</f>
        <v>#REF!</v>
      </c>
      <c r="K110" s="263" t="e">
        <f t="shared" si="9"/>
        <v>#REF!</v>
      </c>
      <c r="L110" s="263" t="e">
        <f t="shared" si="10"/>
        <v>#REF!</v>
      </c>
      <c r="M110" s="283" t="s">
        <v>945</v>
      </c>
      <c r="N110" s="45" t="e">
        <f t="shared" si="11"/>
        <v>#REF!</v>
      </c>
    </row>
    <row r="111" spans="1:14" s="5" customFormat="1" ht="13.5" customHeight="1">
      <c r="A111" s="255">
        <v>45255</v>
      </c>
      <c r="B111" s="313" t="s">
        <v>250</v>
      </c>
      <c r="C111" s="365"/>
      <c r="D111" s="432">
        <v>64</v>
      </c>
      <c r="E111" s="37" t="s">
        <v>62</v>
      </c>
      <c r="F111" s="347"/>
      <c r="G111" s="367"/>
      <c r="H111" s="33"/>
      <c r="I111" s="270">
        <v>7.2</v>
      </c>
      <c r="J111" s="346" t="e">
        <f>I111/'통장내역(환율표)'!#REF!</f>
        <v>#REF!</v>
      </c>
      <c r="K111" s="263" t="e">
        <f t="shared" si="9"/>
        <v>#REF!</v>
      </c>
      <c r="L111" s="263" t="e">
        <f t="shared" si="10"/>
        <v>#REF!</v>
      </c>
      <c r="M111" s="283"/>
      <c r="N111" s="45" t="e">
        <f t="shared" si="11"/>
        <v>#REF!</v>
      </c>
    </row>
    <row r="112" spans="1:14" s="5" customFormat="1" ht="13.5" customHeight="1">
      <c r="A112" s="255">
        <v>45255</v>
      </c>
      <c r="B112" s="365" t="s">
        <v>990</v>
      </c>
      <c r="C112" s="365"/>
      <c r="D112" s="432">
        <v>65</v>
      </c>
      <c r="E112" s="37" t="s">
        <v>116</v>
      </c>
      <c r="F112" s="347" t="s">
        <v>140</v>
      </c>
      <c r="G112" s="367"/>
      <c r="H112" s="33"/>
      <c r="I112" s="270">
        <v>397.01</v>
      </c>
      <c r="J112" s="346" t="e">
        <f>I112/'통장내역(환율표)'!#REF!</f>
        <v>#REF!</v>
      </c>
      <c r="K112" s="263" t="e">
        <f t="shared" si="9"/>
        <v>#REF!</v>
      </c>
      <c r="L112" s="263" t="e">
        <f t="shared" si="10"/>
        <v>#REF!</v>
      </c>
      <c r="M112" s="283" t="s">
        <v>946</v>
      </c>
      <c r="N112" s="45" t="e">
        <f t="shared" si="11"/>
        <v>#REF!</v>
      </c>
    </row>
    <row r="113" spans="1:15" s="5" customFormat="1" ht="13.5" customHeight="1">
      <c r="A113" s="255">
        <v>45255</v>
      </c>
      <c r="B113" s="313" t="s">
        <v>250</v>
      </c>
      <c r="C113" s="365"/>
      <c r="D113" s="432">
        <v>66</v>
      </c>
      <c r="E113" s="37" t="s">
        <v>62</v>
      </c>
      <c r="F113" s="347"/>
      <c r="G113" s="367"/>
      <c r="H113" s="33"/>
      <c r="I113" s="270">
        <v>3.6</v>
      </c>
      <c r="J113" s="346" t="e">
        <f>I113/'통장내역(환율표)'!#REF!</f>
        <v>#REF!</v>
      </c>
      <c r="K113" s="263" t="e">
        <f t="shared" si="9"/>
        <v>#REF!</v>
      </c>
      <c r="L113" s="263" t="e">
        <f t="shared" si="10"/>
        <v>#REF!</v>
      </c>
      <c r="M113" s="283"/>
      <c r="N113" s="45" t="e">
        <f t="shared" si="11"/>
        <v>#REF!</v>
      </c>
    </row>
    <row r="114" spans="1:15" s="5" customFormat="1" ht="13.5" customHeight="1">
      <c r="A114" s="255">
        <v>45255</v>
      </c>
      <c r="B114" s="365" t="s">
        <v>991</v>
      </c>
      <c r="C114" s="365"/>
      <c r="D114" s="432">
        <v>67</v>
      </c>
      <c r="E114" s="37" t="s">
        <v>62</v>
      </c>
      <c r="F114" s="347"/>
      <c r="G114" s="367"/>
      <c r="H114" s="33"/>
      <c r="I114" s="270">
        <v>1544.46</v>
      </c>
      <c r="J114" s="346" t="e">
        <f>I114/'통장내역(환율표)'!#REF!</f>
        <v>#REF!</v>
      </c>
      <c r="K114" s="263" t="e">
        <f t="shared" si="9"/>
        <v>#REF!</v>
      </c>
      <c r="L114" s="263" t="e">
        <f t="shared" si="10"/>
        <v>#REF!</v>
      </c>
      <c r="M114" s="283" t="s">
        <v>946</v>
      </c>
      <c r="N114" s="45" t="e">
        <f t="shared" si="11"/>
        <v>#REF!</v>
      </c>
    </row>
    <row r="115" spans="1:15" s="5" customFormat="1" ht="13.5" customHeight="1">
      <c r="A115" s="255">
        <v>45255</v>
      </c>
      <c r="B115" s="313" t="s">
        <v>250</v>
      </c>
      <c r="C115" s="365"/>
      <c r="D115" s="432">
        <v>68</v>
      </c>
      <c r="E115" s="37" t="s">
        <v>62</v>
      </c>
      <c r="F115" s="347"/>
      <c r="G115" s="367"/>
      <c r="H115" s="33"/>
      <c r="I115" s="270">
        <v>3.6</v>
      </c>
      <c r="J115" s="346" t="e">
        <f>I115/'통장내역(환율표)'!#REF!</f>
        <v>#REF!</v>
      </c>
      <c r="K115" s="263" t="e">
        <f t="shared" si="9"/>
        <v>#REF!</v>
      </c>
      <c r="L115" s="263" t="e">
        <f t="shared" si="10"/>
        <v>#REF!</v>
      </c>
      <c r="M115" s="283"/>
      <c r="N115" s="45" t="e">
        <f t="shared" si="11"/>
        <v>#REF!</v>
      </c>
    </row>
    <row r="116" spans="1:15" s="5" customFormat="1" ht="13.5" customHeight="1">
      <c r="A116" s="255">
        <v>45255</v>
      </c>
      <c r="B116" s="313" t="s">
        <v>1026</v>
      </c>
      <c r="C116" s="365"/>
      <c r="D116" s="432" t="s">
        <v>1027</v>
      </c>
      <c r="E116" s="37" t="s">
        <v>125</v>
      </c>
      <c r="F116" s="347" t="s">
        <v>145</v>
      </c>
      <c r="G116" s="367"/>
      <c r="H116" s="33"/>
      <c r="I116" s="270">
        <v>201.6</v>
      </c>
      <c r="J116" s="346">
        <v>27.71</v>
      </c>
      <c r="K116" s="263" t="e">
        <f t="shared" si="9"/>
        <v>#REF!</v>
      </c>
      <c r="L116" s="263" t="e">
        <f t="shared" si="10"/>
        <v>#REF!</v>
      </c>
      <c r="M116" s="283"/>
      <c r="N116" s="45" t="e">
        <f t="shared" si="11"/>
        <v>#REF!</v>
      </c>
    </row>
    <row r="117" spans="1:15" s="5" customFormat="1" ht="13.5" customHeight="1">
      <c r="A117" s="255">
        <v>45255</v>
      </c>
      <c r="B117" s="313" t="s">
        <v>250</v>
      </c>
      <c r="C117" s="365"/>
      <c r="D117" s="432">
        <v>69</v>
      </c>
      <c r="E117" s="37" t="s">
        <v>62</v>
      </c>
      <c r="F117" s="347"/>
      <c r="G117" s="367"/>
      <c r="H117" s="33"/>
      <c r="I117" s="270">
        <v>3.6</v>
      </c>
      <c r="J117" s="346" t="e">
        <f>I117/'통장내역(환율표)'!#REF!</f>
        <v>#REF!</v>
      </c>
      <c r="K117" s="263" t="e">
        <f t="shared" si="9"/>
        <v>#REF!</v>
      </c>
      <c r="L117" s="263" t="e">
        <f t="shared" si="10"/>
        <v>#REF!</v>
      </c>
      <c r="M117" s="283"/>
      <c r="N117" s="45" t="e">
        <f t="shared" si="11"/>
        <v>#REF!</v>
      </c>
    </row>
    <row r="118" spans="1:15" s="5" customFormat="1" ht="13.5" customHeight="1">
      <c r="A118" s="255">
        <v>45255</v>
      </c>
      <c r="B118" s="365" t="s">
        <v>992</v>
      </c>
      <c r="C118" s="365"/>
      <c r="D118" s="432" t="s">
        <v>1027</v>
      </c>
      <c r="E118" s="347" t="s">
        <v>146</v>
      </c>
      <c r="F118" s="347" t="s">
        <v>147</v>
      </c>
      <c r="G118" s="367">
        <v>21.39</v>
      </c>
      <c r="H118" s="270">
        <v>2.94</v>
      </c>
      <c r="I118" s="270"/>
      <c r="J118" s="346" t="e">
        <f>I118/'통장내역(환율표)'!#REF!</f>
        <v>#REF!</v>
      </c>
      <c r="K118" s="263" t="e">
        <f t="shared" si="9"/>
        <v>#REF!</v>
      </c>
      <c r="L118" s="263" t="e">
        <f t="shared" si="10"/>
        <v>#REF!</v>
      </c>
      <c r="M118" s="283"/>
      <c r="N118" s="45" t="e">
        <f t="shared" si="11"/>
        <v>#REF!</v>
      </c>
    </row>
    <row r="119" spans="1:15" s="5" customFormat="1" ht="13.5" customHeight="1">
      <c r="A119" s="255">
        <v>45256</v>
      </c>
      <c r="B119" s="365" t="s">
        <v>993</v>
      </c>
      <c r="C119" s="365"/>
      <c r="D119" s="432" t="s">
        <v>1027</v>
      </c>
      <c r="E119" s="347" t="s">
        <v>105</v>
      </c>
      <c r="F119" s="347" t="s">
        <v>227</v>
      </c>
      <c r="G119" s="367">
        <v>469</v>
      </c>
      <c r="H119" s="270">
        <v>64.459999999999994</v>
      </c>
      <c r="I119" s="270"/>
      <c r="J119" s="346" t="e">
        <f>I119/'통장내역(환율표)'!#REF!</f>
        <v>#REF!</v>
      </c>
      <c r="K119" s="263" t="e">
        <f t="shared" si="9"/>
        <v>#REF!</v>
      </c>
      <c r="L119" s="263" t="e">
        <f t="shared" si="10"/>
        <v>#REF!</v>
      </c>
      <c r="M119" s="283"/>
      <c r="N119" s="45" t="e">
        <f t="shared" si="11"/>
        <v>#REF!</v>
      </c>
    </row>
    <row r="120" spans="1:15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s="5" customFormat="1" ht="12.75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s="5" customFormat="1" ht="12.75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s="5" customFormat="1" ht="12.75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2.75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s="5" customFormat="1" ht="13.5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s="5" customFormat="1" ht="13.5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s="5" customFormat="1" ht="13.5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s="5" customFormat="1" ht="13.5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s="5" customFormat="1" ht="13.5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s="5" customFormat="1" ht="13.5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s="5" customFormat="1" ht="13.5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s="5" customFormat="1" ht="13.5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s="5" customFormat="1" ht="13.5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s="5" customFormat="1" ht="13.5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s="5" customFormat="1" ht="13.5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s="5" customFormat="1" ht="13.5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s="5" customFormat="1" ht="13.5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s="5" customFormat="1" ht="13.5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s="5" customFormat="1" ht="13.5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s="5" customFormat="1" ht="13.5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s="5" customFormat="1" ht="13.5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s="5" customFormat="1" ht="13.5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s="5" customFormat="1" ht="13.5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9" spans="1:15">
      <c r="B159" s="314"/>
      <c r="C159" s="314"/>
      <c r="D159" s="314"/>
      <c r="E159" s="314"/>
    </row>
    <row r="160" spans="1:15">
      <c r="B160" s="314"/>
    </row>
  </sheetData>
  <autoFilter ref="A18:N158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8" type="noConversion"/>
  <pageMargins left="0.25" right="0.25" top="0.75" bottom="0.75" header="0.3" footer="0.3"/>
  <pageSetup paperSize="9" scale="3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8829-CAA7-4CAB-A75E-B835CC105011}">
  <sheetPr>
    <tabColor rgb="FFF8DA90"/>
    <pageSetUpPr fitToPage="1"/>
  </sheetPr>
  <dimension ref="A1:T137"/>
  <sheetViews>
    <sheetView showGridLines="0" zoomScale="85" zoomScaleNormal="85" workbookViewId="0">
      <pane ySplit="18" topLeftCell="A19" activePane="bottomLeft" state="frozen"/>
      <selection activeCell="H1" sqref="H1:H1048576"/>
      <selection pane="bottomLeft" activeCell="J34" sqref="J34"/>
    </sheetView>
  </sheetViews>
  <sheetFormatPr defaultRowHeight="17.399999999999999"/>
  <cols>
    <col min="1" max="1" width="11.796875" customWidth="1"/>
    <col min="2" max="2" width="22.69921875" customWidth="1"/>
    <col min="3" max="3" width="17.296875" customWidth="1"/>
    <col min="4" max="4" width="11.796875" customWidth="1"/>
    <col min="5" max="5" width="13.5" bestFit="1" customWidth="1"/>
    <col min="6" max="6" width="9.59765625" bestFit="1" customWidth="1"/>
    <col min="7" max="7" width="10.796875" bestFit="1" customWidth="1"/>
    <col min="8" max="8" width="10" bestFit="1" customWidth="1"/>
    <col min="9" max="9" width="11.796875" bestFit="1" customWidth="1"/>
    <col min="10" max="11" width="13.5" bestFit="1" customWidth="1"/>
    <col min="12" max="12" width="11.59765625" bestFit="1" customWidth="1"/>
    <col min="13" max="13" width="27.19921875" customWidth="1"/>
    <col min="14" max="14" width="15.09765625" customWidth="1"/>
    <col min="15" max="15" width="11.59765625" bestFit="1" customWidth="1"/>
    <col min="16" max="16" width="9.59765625" bestFit="1" customWidth="1"/>
    <col min="17" max="17" width="13.296875" bestFit="1" customWidth="1"/>
    <col min="18" max="20" width="10" bestFit="1" customWidth="1"/>
    <col min="21" max="21" width="9.09765625" bestFit="1" customWidth="1"/>
  </cols>
  <sheetData>
    <row r="1" spans="1:18" ht="23.25" customHeight="1">
      <c r="A1" s="1" t="s">
        <v>449</v>
      </c>
      <c r="B1" s="2"/>
      <c r="C1" s="2"/>
      <c r="D1" s="3"/>
      <c r="E1" s="4">
        <v>100021363</v>
      </c>
      <c r="F1" s="130"/>
      <c r="G1" s="337" t="s">
        <v>792</v>
      </c>
      <c r="H1" s="299"/>
      <c r="I1" s="299"/>
      <c r="J1" s="299"/>
      <c r="K1" s="299"/>
      <c r="L1" s="5"/>
      <c r="M1" s="5"/>
      <c r="N1" s="5"/>
      <c r="O1" s="5"/>
      <c r="P1" s="5"/>
      <c r="Q1" s="5"/>
    </row>
    <row r="2" spans="1:18" s="5" customFormat="1">
      <c r="A2" s="130" t="s">
        <v>1084</v>
      </c>
      <c r="B2" s="2"/>
      <c r="C2" s="2"/>
      <c r="E2" s="4">
        <v>100000210</v>
      </c>
      <c r="F2" s="119"/>
      <c r="G2" s="130" t="s">
        <v>1085</v>
      </c>
      <c r="H2" s="2"/>
      <c r="I2" s="2"/>
      <c r="K2" s="4">
        <v>100000210</v>
      </c>
      <c r="L2" s="364"/>
    </row>
    <row r="3" spans="1:18" s="5" customFormat="1" ht="31.2">
      <c r="A3" s="140" t="s">
        <v>291</v>
      </c>
      <c r="B3" s="140" t="s">
        <v>2</v>
      </c>
      <c r="C3" s="141" t="s">
        <v>3</v>
      </c>
      <c r="D3" s="141" t="s">
        <v>4</v>
      </c>
      <c r="E3" s="141" t="s">
        <v>5</v>
      </c>
      <c r="F3" s="119" t="s">
        <v>816</v>
      </c>
      <c r="G3" s="140" t="s">
        <v>291</v>
      </c>
      <c r="H3" s="140" t="s">
        <v>2</v>
      </c>
      <c r="I3" s="141" t="s">
        <v>3</v>
      </c>
      <c r="J3" s="141" t="s">
        <v>4</v>
      </c>
      <c r="K3" s="141" t="s">
        <v>5</v>
      </c>
      <c r="L3" s="119"/>
      <c r="M3" s="130"/>
      <c r="N3" s="130"/>
      <c r="O3" s="130"/>
    </row>
    <row r="4" spans="1:18" s="5" customFormat="1" ht="15.6">
      <c r="A4" s="114" t="s">
        <v>292</v>
      </c>
      <c r="B4" s="115"/>
      <c r="C4" s="116"/>
      <c r="D4" s="116"/>
      <c r="E4" s="117"/>
      <c r="F4" s="121">
        <v>71121010</v>
      </c>
      <c r="G4" s="114" t="s">
        <v>292</v>
      </c>
      <c r="H4" s="115"/>
      <c r="I4" s="116"/>
      <c r="J4" s="116"/>
      <c r="K4" s="117"/>
      <c r="L4" s="240">
        <f>E4+K4</f>
        <v>0</v>
      </c>
      <c r="M4" s="130"/>
      <c r="N4" s="130"/>
      <c r="O4" s="130"/>
    </row>
    <row r="5" spans="1:18" s="5" customFormat="1" ht="15.6">
      <c r="A5" s="114" t="s">
        <v>238</v>
      </c>
      <c r="B5" s="115" t="s">
        <v>12</v>
      </c>
      <c r="C5" s="120"/>
      <c r="D5" s="116"/>
      <c r="E5" s="117"/>
      <c r="F5" s="121">
        <v>51131050</v>
      </c>
      <c r="G5" s="114" t="s">
        <v>238</v>
      </c>
      <c r="H5" s="115" t="s">
        <v>12</v>
      </c>
      <c r="I5" s="120">
        <v>5302.4</v>
      </c>
      <c r="J5" s="116">
        <v>740.42</v>
      </c>
      <c r="K5" s="117">
        <v>968395</v>
      </c>
      <c r="L5" s="240">
        <f t="shared" ref="L5:L12" si="0">E5+K5</f>
        <v>968395</v>
      </c>
      <c r="M5" s="130"/>
      <c r="N5" s="130"/>
      <c r="O5" s="130"/>
      <c r="R5" s="401"/>
    </row>
    <row r="6" spans="1:18" s="5" customFormat="1" ht="15.6">
      <c r="A6" s="114" t="s">
        <v>294</v>
      </c>
      <c r="B6" s="115" t="s">
        <v>14</v>
      </c>
      <c r="C6" s="116"/>
      <c r="D6" s="116"/>
      <c r="E6" s="117"/>
      <c r="F6" s="121">
        <v>51061030</v>
      </c>
      <c r="G6" s="114" t="s">
        <v>294</v>
      </c>
      <c r="H6" s="115" t="s">
        <v>14</v>
      </c>
      <c r="I6" s="116">
        <v>56784.75</v>
      </c>
      <c r="J6" s="116">
        <v>7929.3219850053802</v>
      </c>
      <c r="K6" s="117">
        <v>10370758</v>
      </c>
      <c r="L6" s="240">
        <f t="shared" si="0"/>
        <v>10370758</v>
      </c>
      <c r="M6" s="130"/>
      <c r="N6" s="130"/>
      <c r="O6" s="130"/>
      <c r="R6" s="401"/>
    </row>
    <row r="7" spans="1:18" s="5" customFormat="1" ht="15.6">
      <c r="A7" s="114" t="s">
        <v>75</v>
      </c>
      <c r="B7" s="115" t="s">
        <v>16</v>
      </c>
      <c r="C7" s="116"/>
      <c r="D7" s="116"/>
      <c r="E7" s="117"/>
      <c r="F7" s="121">
        <v>51201020</v>
      </c>
      <c r="G7" s="114" t="s">
        <v>75</v>
      </c>
      <c r="H7" s="115" t="s">
        <v>16</v>
      </c>
      <c r="I7" s="116">
        <v>20023</v>
      </c>
      <c r="J7" s="116">
        <v>2795.9762807049906</v>
      </c>
      <c r="K7" s="117">
        <v>3656862</v>
      </c>
      <c r="L7" s="240">
        <f t="shared" si="0"/>
        <v>3656862</v>
      </c>
      <c r="M7" s="130"/>
      <c r="N7" s="130"/>
      <c r="O7" s="130"/>
      <c r="R7" s="401"/>
    </row>
    <row r="8" spans="1:18" s="5" customFormat="1" ht="15.6">
      <c r="A8" s="114" t="s">
        <v>75</v>
      </c>
      <c r="B8" s="114" t="s">
        <v>17</v>
      </c>
      <c r="C8" s="116"/>
      <c r="D8" s="116"/>
      <c r="E8" s="117"/>
      <c r="F8" s="121">
        <v>51201030</v>
      </c>
      <c r="G8" s="114" t="s">
        <v>75</v>
      </c>
      <c r="H8" s="114" t="s">
        <v>17</v>
      </c>
      <c r="I8" s="116">
        <v>17500</v>
      </c>
      <c r="J8" s="116">
        <v>2443.6690262366947</v>
      </c>
      <c r="K8" s="117">
        <v>3196076</v>
      </c>
      <c r="L8" s="240">
        <f t="shared" si="0"/>
        <v>3196076</v>
      </c>
      <c r="M8" s="130"/>
      <c r="N8" s="130"/>
      <c r="O8" s="130"/>
      <c r="R8" s="401"/>
    </row>
    <row r="9" spans="1:18" s="5" customFormat="1" ht="15.6">
      <c r="A9" s="114" t="s">
        <v>296</v>
      </c>
      <c r="B9" s="114" t="s">
        <v>20</v>
      </c>
      <c r="C9" s="116"/>
      <c r="D9" s="116"/>
      <c r="E9" s="117"/>
      <c r="F9" s="121">
        <v>51071700</v>
      </c>
      <c r="G9" s="114" t="s">
        <v>296</v>
      </c>
      <c r="H9" s="114" t="s">
        <v>20</v>
      </c>
      <c r="I9" s="116">
        <v>2356.4</v>
      </c>
      <c r="J9" s="116">
        <v>329.04352533852267</v>
      </c>
      <c r="K9" s="117">
        <v>430351</v>
      </c>
      <c r="L9" s="240">
        <f t="shared" si="0"/>
        <v>430351</v>
      </c>
      <c r="M9" s="130"/>
      <c r="N9" s="130"/>
      <c r="O9" s="130"/>
      <c r="R9" s="401"/>
    </row>
    <row r="10" spans="1:18" s="5" customFormat="1" ht="15.6">
      <c r="A10" s="114" t="s">
        <v>62</v>
      </c>
      <c r="B10" s="115"/>
      <c r="C10" s="116">
        <v>283934.28000000003</v>
      </c>
      <c r="D10" s="116">
        <v>39021.54</v>
      </c>
      <c r="E10" s="117">
        <v>51079196</v>
      </c>
      <c r="F10" s="121">
        <v>51321010</v>
      </c>
      <c r="G10" s="114" t="s">
        <v>62</v>
      </c>
      <c r="H10" s="115"/>
      <c r="I10" s="116">
        <v>110814.51</v>
      </c>
      <c r="J10" s="116">
        <v>15499.94</v>
      </c>
      <c r="K10" s="117">
        <v>20272372</v>
      </c>
      <c r="L10" s="240">
        <f t="shared" si="0"/>
        <v>71351568</v>
      </c>
      <c r="M10" s="130"/>
      <c r="N10" s="130"/>
      <c r="O10" s="130"/>
      <c r="R10" s="401"/>
    </row>
    <row r="11" spans="1:18" s="5" customFormat="1" ht="15.6">
      <c r="A11" s="122" t="s">
        <v>23</v>
      </c>
      <c r="B11" s="123"/>
      <c r="C11" s="116"/>
      <c r="D11" s="116"/>
      <c r="E11" s="117"/>
      <c r="F11" s="121">
        <v>13081010</v>
      </c>
      <c r="G11" s="122" t="s">
        <v>23</v>
      </c>
      <c r="H11" s="123"/>
      <c r="I11" s="116"/>
      <c r="J11" s="116"/>
      <c r="K11" s="117"/>
      <c r="L11" s="240">
        <f t="shared" si="0"/>
        <v>0</v>
      </c>
      <c r="M11" s="130"/>
      <c r="N11" s="130"/>
      <c r="O11" s="130"/>
    </row>
    <row r="12" spans="1:18" s="5" customFormat="1" ht="15.6">
      <c r="A12" s="2068" t="s">
        <v>299</v>
      </c>
      <c r="B12" s="2069"/>
      <c r="C12" s="421">
        <f>SUM(C4:C10)</f>
        <v>283934.28000000003</v>
      </c>
      <c r="D12" s="421">
        <f t="shared" ref="D12:E12" si="1">SUM(D4:D10)</f>
        <v>39021.54</v>
      </c>
      <c r="E12" s="422">
        <f t="shared" si="1"/>
        <v>51079196</v>
      </c>
      <c r="F12" s="119"/>
      <c r="G12" s="2068" t="s">
        <v>299</v>
      </c>
      <c r="H12" s="2069"/>
      <c r="I12" s="421">
        <f>SUM(I4:I11)</f>
        <v>212781.06</v>
      </c>
      <c r="J12" s="421">
        <f>SUM(J4:J11)</f>
        <v>29738.370817285584</v>
      </c>
      <c r="K12" s="125">
        <f>SUM(K4:K11)</f>
        <v>38894814</v>
      </c>
      <c r="L12" s="240">
        <f t="shared" si="0"/>
        <v>89974010</v>
      </c>
      <c r="M12" s="130"/>
      <c r="N12" s="130"/>
      <c r="O12" s="130"/>
    </row>
    <row r="13" spans="1:18" s="5" customFormat="1" ht="14.25" customHeight="1">
      <c r="A13" s="2" t="s">
        <v>1086</v>
      </c>
      <c r="B13" s="307"/>
      <c r="C13" s="423">
        <f t="shared" ref="C13:D13" si="2">C12+I12</f>
        <v>496715.34</v>
      </c>
      <c r="D13" s="423">
        <f t="shared" si="2"/>
        <v>68759.910817285592</v>
      </c>
      <c r="E13" s="424">
        <f>E12+K12</f>
        <v>89974010</v>
      </c>
      <c r="F13" s="546"/>
      <c r="G13" s="126"/>
      <c r="H13" s="126"/>
      <c r="I13" s="443"/>
      <c r="J13" s="443"/>
      <c r="K13" s="445"/>
      <c r="L13" s="245">
        <v>2425.7418328151257</v>
      </c>
      <c r="M13" s="130"/>
      <c r="N13" s="433"/>
      <c r="O13" s="130"/>
    </row>
    <row r="14" spans="1:18" s="5" customFormat="1" ht="15.6">
      <c r="A14" s="2"/>
      <c r="B14" s="5" t="s">
        <v>60</v>
      </c>
      <c r="C14" s="423">
        <v>338.95</v>
      </c>
      <c r="D14" s="423">
        <v>46.59</v>
      </c>
      <c r="E14" s="424">
        <v>60986</v>
      </c>
      <c r="F14" s="444"/>
      <c r="G14" s="310"/>
      <c r="H14" s="126"/>
      <c r="I14" s="308"/>
      <c r="J14" s="308"/>
      <c r="K14" s="309"/>
      <c r="L14" s="245"/>
      <c r="M14" s="245" t="e">
        <f>#REF!</f>
        <v>#REF!</v>
      </c>
      <c r="N14" s="245"/>
      <c r="O14" s="119"/>
    </row>
    <row r="15" spans="1:18" s="5" customFormat="1" ht="15.6">
      <c r="A15" s="126"/>
      <c r="B15" s="307"/>
      <c r="C15" s="423">
        <f>SUM(C13:C14)</f>
        <v>497054.29000000004</v>
      </c>
      <c r="D15" s="423">
        <f>SUM(D13:D14)</f>
        <v>68806.500817285589</v>
      </c>
      <c r="E15" s="424">
        <f>SUM(E13:E14)</f>
        <v>90034996</v>
      </c>
      <c r="F15" s="377"/>
      <c r="G15" s="130"/>
      <c r="H15" s="130"/>
      <c r="I15" s="131">
        <f>I16-G94</f>
        <v>496715.33999999997</v>
      </c>
      <c r="J15" s="131">
        <f>J16-H94</f>
        <v>68759.905681778968</v>
      </c>
      <c r="K15" s="280"/>
      <c r="L15" s="245"/>
      <c r="N15" s="45"/>
    </row>
    <row r="16" spans="1:18" s="5" customFormat="1" ht="15.6">
      <c r="B16" s="134">
        <v>13081010</v>
      </c>
      <c r="C16" s="135"/>
      <c r="D16" s="135"/>
      <c r="G16" s="6"/>
      <c r="H16" s="137"/>
      <c r="I16" s="131">
        <f>SUBTOTAL(9,I19:I126)</f>
        <v>546715.34</v>
      </c>
      <c r="J16" s="137">
        <f>SUBTOTAL(9,J19:J124)</f>
        <v>75741.817185312379</v>
      </c>
      <c r="K16" s="132"/>
      <c r="L16" s="45"/>
    </row>
    <row r="17" spans="1:14" s="5" customFormat="1" ht="15.6">
      <c r="A17" s="2063" t="s">
        <v>300</v>
      </c>
      <c r="B17" s="2063" t="s">
        <v>25</v>
      </c>
      <c r="C17" s="2063"/>
      <c r="D17" s="2070" t="s">
        <v>26</v>
      </c>
      <c r="E17" s="2070" t="s">
        <v>1</v>
      </c>
      <c r="F17" s="2063" t="s">
        <v>2</v>
      </c>
      <c r="G17" s="2061" t="s">
        <v>232</v>
      </c>
      <c r="H17" s="2061"/>
      <c r="I17" s="2061" t="s">
        <v>30</v>
      </c>
      <c r="J17" s="2061"/>
      <c r="K17" s="2062" t="s">
        <v>31</v>
      </c>
      <c r="L17" s="2062"/>
      <c r="M17" s="2063" t="s">
        <v>32</v>
      </c>
    </row>
    <row r="18" spans="1:14" s="5" customFormat="1" ht="14.25" customHeight="1">
      <c r="A18" s="2063"/>
      <c r="B18" s="2063"/>
      <c r="C18" s="2063"/>
      <c r="D18" s="2071"/>
      <c r="E18" s="2071"/>
      <c r="F18" s="2063"/>
      <c r="G18" s="260" t="s">
        <v>302</v>
      </c>
      <c r="H18" s="261" t="s">
        <v>34</v>
      </c>
      <c r="I18" s="67" t="s">
        <v>33</v>
      </c>
      <c r="J18" s="67" t="s">
        <v>34</v>
      </c>
      <c r="K18" s="261" t="s">
        <v>33</v>
      </c>
      <c r="L18" s="261" t="s">
        <v>34</v>
      </c>
      <c r="M18" s="2063"/>
    </row>
    <row r="19" spans="1:14" s="5" customFormat="1" ht="13.5" customHeight="1">
      <c r="A19" s="229">
        <v>45260</v>
      </c>
      <c r="B19" s="232" t="s">
        <v>65</v>
      </c>
      <c r="C19" s="232"/>
      <c r="D19" s="232"/>
      <c r="E19" s="231"/>
      <c r="F19" s="232"/>
      <c r="G19" s="233"/>
      <c r="H19" s="233"/>
      <c r="I19" s="233"/>
      <c r="J19" s="233"/>
      <c r="K19" s="233">
        <v>283576.50000000099</v>
      </c>
      <c r="L19" s="233">
        <v>38974.950796398887</v>
      </c>
      <c r="M19" s="232"/>
      <c r="N19" s="45">
        <v>38974.949999999997</v>
      </c>
    </row>
    <row r="20" spans="1:14" s="5" customFormat="1" ht="13.5" customHeight="1">
      <c r="A20" s="255">
        <v>45268</v>
      </c>
      <c r="B20" s="365" t="s">
        <v>1087</v>
      </c>
      <c r="C20" s="365"/>
      <c r="D20" s="37"/>
      <c r="E20" s="37" t="s">
        <v>107</v>
      </c>
      <c r="F20" s="347"/>
      <c r="G20" s="367"/>
      <c r="H20" s="376"/>
      <c r="I20" s="270">
        <v>157500</v>
      </c>
      <c r="J20" s="346">
        <f>I20/'[3]통장내역(환율표)'!$D$138</f>
        <v>21646.908594938668</v>
      </c>
      <c r="K20" s="263">
        <f t="shared" ref="K20:L35" si="3">K19+G20-I20</f>
        <v>126076.50000000099</v>
      </c>
      <c r="L20" s="263">
        <f t="shared" si="3"/>
        <v>17328.042201460219</v>
      </c>
      <c r="M20" s="33"/>
      <c r="N20" s="45">
        <f>N19-J20+H20</f>
        <v>17328.041405061329</v>
      </c>
    </row>
    <row r="21" spans="1:14" s="5" customFormat="1" ht="13.5" customHeight="1">
      <c r="A21" s="255">
        <v>45268</v>
      </c>
      <c r="B21" s="407" t="s">
        <v>250</v>
      </c>
      <c r="C21" s="365"/>
      <c r="D21" s="37"/>
      <c r="E21" s="37" t="s">
        <v>107</v>
      </c>
      <c r="F21" s="347"/>
      <c r="G21" s="367"/>
      <c r="H21" s="376"/>
      <c r="I21" s="270">
        <v>12</v>
      </c>
      <c r="J21" s="346">
        <f>I21/'[3]통장내역(환율표)'!$D$138</f>
        <v>1.6492882739000891</v>
      </c>
      <c r="K21" s="263">
        <f t="shared" si="3"/>
        <v>126064.50000000099</v>
      </c>
      <c r="L21" s="263">
        <f t="shared" si="3"/>
        <v>17326.392913186319</v>
      </c>
      <c r="M21" s="33"/>
      <c r="N21" s="45">
        <f>N20-J21+H21</f>
        <v>17326.392116787429</v>
      </c>
    </row>
    <row r="22" spans="1:14" s="5" customFormat="1" ht="13.5" customHeight="1">
      <c r="A22" s="271">
        <v>45272</v>
      </c>
      <c r="B22" s="547" t="s">
        <v>1088</v>
      </c>
      <c r="C22" s="547"/>
      <c r="D22" s="150">
        <v>3</v>
      </c>
      <c r="E22" s="150"/>
      <c r="F22" s="548"/>
      <c r="G22" s="549">
        <v>282752.08</v>
      </c>
      <c r="H22" s="550">
        <v>39509</v>
      </c>
      <c r="I22" s="153"/>
      <c r="J22" s="551">
        <f>I22/'[3]통장내역(환율표)'!$D$138</f>
        <v>0</v>
      </c>
      <c r="K22" s="275">
        <f t="shared" si="3"/>
        <v>408816.58000000101</v>
      </c>
      <c r="L22" s="275">
        <f t="shared" si="3"/>
        <v>56835.392913186319</v>
      </c>
      <c r="M22" s="151"/>
      <c r="N22" s="45"/>
    </row>
    <row r="23" spans="1:14" s="5" customFormat="1" ht="13.5" customHeight="1">
      <c r="A23" s="271">
        <v>45272</v>
      </c>
      <c r="B23" s="547" t="s">
        <v>445</v>
      </c>
      <c r="C23" s="547"/>
      <c r="D23" s="150">
        <v>3</v>
      </c>
      <c r="E23" s="150" t="s">
        <v>107</v>
      </c>
      <c r="F23" s="548"/>
      <c r="G23" s="549"/>
      <c r="H23" s="550"/>
      <c r="I23" s="153"/>
      <c r="J23" s="374">
        <v>26</v>
      </c>
      <c r="K23" s="275">
        <f t="shared" si="3"/>
        <v>408816.58000000101</v>
      </c>
      <c r="L23" s="275">
        <f t="shared" si="3"/>
        <v>56809.392913186319</v>
      </c>
      <c r="M23" s="151"/>
      <c r="N23" s="45"/>
    </row>
    <row r="24" spans="1:14" s="5" customFormat="1" ht="13.5" customHeight="1">
      <c r="A24" s="255">
        <v>45281</v>
      </c>
      <c r="B24" s="365" t="s">
        <v>731</v>
      </c>
      <c r="C24" s="365"/>
      <c r="D24" s="37">
        <v>4</v>
      </c>
      <c r="E24" s="37" t="s">
        <v>60</v>
      </c>
      <c r="F24" s="347"/>
      <c r="G24" s="367">
        <v>338.95</v>
      </c>
      <c r="H24" s="367">
        <f>G24/'[3]통장내역(환율표)'!$D$138</f>
        <v>46.585521703202936</v>
      </c>
      <c r="I24" s="270"/>
      <c r="J24" s="346">
        <f>I24/'[3]통장내역(환율표)'!$D$138</f>
        <v>0</v>
      </c>
      <c r="K24" s="263">
        <f t="shared" si="3"/>
        <v>409155.53000000102</v>
      </c>
      <c r="L24" s="263">
        <f t="shared" si="3"/>
        <v>56855.978434889519</v>
      </c>
      <c r="M24" s="33"/>
      <c r="N24" s="45">
        <f>N21-J24+H24</f>
        <v>17372.977638490633</v>
      </c>
    </row>
    <row r="25" spans="1:14" s="5" customFormat="1" ht="13.5" customHeight="1">
      <c r="A25" s="255">
        <v>45283</v>
      </c>
      <c r="B25" s="365" t="s">
        <v>885</v>
      </c>
      <c r="C25" s="365"/>
      <c r="D25" s="37">
        <v>5</v>
      </c>
      <c r="E25" s="37" t="s">
        <v>62</v>
      </c>
      <c r="F25" s="347"/>
      <c r="G25" s="367"/>
      <c r="H25" s="376"/>
      <c r="I25" s="270">
        <v>15000</v>
      </c>
      <c r="J25" s="346">
        <f>I25/'[3]통장내역(환율표)'!$D$132</f>
        <v>2061.3032601651698</v>
      </c>
      <c r="K25" s="263">
        <f t="shared" si="3"/>
        <v>394155.53000000102</v>
      </c>
      <c r="L25" s="263">
        <f t="shared" si="3"/>
        <v>54794.675174724347</v>
      </c>
      <c r="M25" s="33" t="s">
        <v>984</v>
      </c>
      <c r="N25" s="45">
        <f t="shared" ref="N25:N35" si="4">N24-J25+H25</f>
        <v>15311.674378325462</v>
      </c>
    </row>
    <row r="26" spans="1:14" s="5" customFormat="1" ht="13.5" customHeight="1">
      <c r="A26" s="255">
        <v>45283</v>
      </c>
      <c r="B26" s="365" t="s">
        <v>938</v>
      </c>
      <c r="C26" s="365"/>
      <c r="D26" s="37">
        <v>5</v>
      </c>
      <c r="E26" s="37" t="s">
        <v>62</v>
      </c>
      <c r="F26" s="347"/>
      <c r="G26" s="367"/>
      <c r="H26" s="33"/>
      <c r="I26" s="270">
        <v>22000</v>
      </c>
      <c r="J26" s="346">
        <f>I26/'[3]통장내역(환율표)'!$D$132</f>
        <v>3023.2447815755827</v>
      </c>
      <c r="K26" s="263">
        <f t="shared" si="3"/>
        <v>372155.53000000102</v>
      </c>
      <c r="L26" s="263">
        <f t="shared" si="3"/>
        <v>51771.430393148767</v>
      </c>
      <c r="M26" s="33" t="s">
        <v>984</v>
      </c>
      <c r="N26" s="45">
        <f t="shared" si="4"/>
        <v>12288.42959674988</v>
      </c>
    </row>
    <row r="27" spans="1:14" s="5" customFormat="1" ht="13.5" customHeight="1">
      <c r="A27" s="255">
        <v>45283</v>
      </c>
      <c r="B27" s="365" t="s">
        <v>887</v>
      </c>
      <c r="C27" s="365"/>
      <c r="D27" s="37">
        <v>5</v>
      </c>
      <c r="E27" s="37" t="s">
        <v>62</v>
      </c>
      <c r="F27" s="347"/>
      <c r="G27" s="367"/>
      <c r="H27" s="33"/>
      <c r="I27" s="270">
        <v>4673.3899999999994</v>
      </c>
      <c r="J27" s="346">
        <f>I27/'[3]통장내역(환율표)'!$D$132</f>
        <v>642.21826953488687</v>
      </c>
      <c r="K27" s="263">
        <f t="shared" si="3"/>
        <v>367482.140000001</v>
      </c>
      <c r="L27" s="263">
        <f t="shared" si="3"/>
        <v>51129.212123613877</v>
      </c>
      <c r="M27" s="33" t="s">
        <v>984</v>
      </c>
      <c r="N27" s="45">
        <f t="shared" si="4"/>
        <v>11646.211327214993</v>
      </c>
    </row>
    <row r="28" spans="1:14" s="5" customFormat="1" ht="13.5" customHeight="1">
      <c r="A28" s="255">
        <v>45283</v>
      </c>
      <c r="B28" s="365" t="s">
        <v>888</v>
      </c>
      <c r="C28" s="365"/>
      <c r="D28" s="37">
        <v>5</v>
      </c>
      <c r="E28" s="37" t="s">
        <v>62</v>
      </c>
      <c r="F28" s="347"/>
      <c r="G28" s="367"/>
      <c r="H28" s="33"/>
      <c r="I28" s="270">
        <v>7623.2300000000032</v>
      </c>
      <c r="J28" s="346">
        <f>I28/'[3]통장내역(환율표)'!$D$132</f>
        <v>1047.585923465929</v>
      </c>
      <c r="K28" s="263">
        <f t="shared" si="3"/>
        <v>359858.91000000102</v>
      </c>
      <c r="L28" s="263">
        <f t="shared" si="3"/>
        <v>50081.626200147948</v>
      </c>
      <c r="M28" s="33" t="s">
        <v>984</v>
      </c>
      <c r="N28" s="45">
        <f t="shared" si="4"/>
        <v>10598.625403749063</v>
      </c>
    </row>
    <row r="29" spans="1:14" s="5" customFormat="1" ht="13.5" customHeight="1">
      <c r="A29" s="255">
        <v>45283</v>
      </c>
      <c r="B29" s="365" t="s">
        <v>892</v>
      </c>
      <c r="C29" s="365"/>
      <c r="D29" s="37">
        <v>5</v>
      </c>
      <c r="E29" s="37" t="s">
        <v>62</v>
      </c>
      <c r="F29" s="347"/>
      <c r="G29" s="367"/>
      <c r="H29" s="33"/>
      <c r="I29" s="270">
        <v>300</v>
      </c>
      <c r="J29" s="346">
        <f>I29/'[3]통장내역(환율표)'!$D$132</f>
        <v>41.226065203303399</v>
      </c>
      <c r="K29" s="263">
        <f t="shared" si="3"/>
        <v>359558.91000000102</v>
      </c>
      <c r="L29" s="263">
        <f t="shared" si="3"/>
        <v>50040.400134944648</v>
      </c>
      <c r="M29" s="33" t="s">
        <v>984</v>
      </c>
      <c r="N29" s="45">
        <f t="shared" si="4"/>
        <v>10557.39933854576</v>
      </c>
    </row>
    <row r="30" spans="1:14" s="5" customFormat="1" ht="13.5" customHeight="1">
      <c r="A30" s="255">
        <v>45283</v>
      </c>
      <c r="B30" s="365" t="s">
        <v>885</v>
      </c>
      <c r="C30" s="365"/>
      <c r="D30" s="37">
        <v>5</v>
      </c>
      <c r="E30" s="37" t="s">
        <v>62</v>
      </c>
      <c r="F30" s="347"/>
      <c r="G30" s="367"/>
      <c r="H30" s="33"/>
      <c r="I30" s="270">
        <v>15000</v>
      </c>
      <c r="J30" s="346">
        <f>I30/'[3]통장내역(환율표)'!$D$132</f>
        <v>2061.3032601651698</v>
      </c>
      <c r="K30" s="263">
        <f t="shared" si="3"/>
        <v>344558.91000000102</v>
      </c>
      <c r="L30" s="263">
        <f t="shared" si="3"/>
        <v>47979.096874779476</v>
      </c>
      <c r="M30" s="33" t="s">
        <v>985</v>
      </c>
      <c r="N30" s="45">
        <f t="shared" si="4"/>
        <v>8496.0960783805895</v>
      </c>
    </row>
    <row r="31" spans="1:14" s="5" customFormat="1" ht="13.5" customHeight="1">
      <c r="A31" s="255">
        <v>45283</v>
      </c>
      <c r="B31" s="365" t="s">
        <v>938</v>
      </c>
      <c r="C31" s="365"/>
      <c r="D31" s="37">
        <v>5</v>
      </c>
      <c r="E31" s="37" t="s">
        <v>62</v>
      </c>
      <c r="F31" s="347"/>
      <c r="G31" s="367"/>
      <c r="H31" s="33"/>
      <c r="I31" s="270">
        <v>22000</v>
      </c>
      <c r="J31" s="346">
        <f>I31/'[3]통장내역(환율표)'!$D$132</f>
        <v>3023.2447815755827</v>
      </c>
      <c r="K31" s="263">
        <f t="shared" si="3"/>
        <v>322558.91000000102</v>
      </c>
      <c r="L31" s="263">
        <f t="shared" si="3"/>
        <v>44955.852093203895</v>
      </c>
      <c r="M31" s="33" t="s">
        <v>985</v>
      </c>
      <c r="N31" s="45">
        <f t="shared" si="4"/>
        <v>5472.8512968050072</v>
      </c>
    </row>
    <row r="32" spans="1:14" s="5" customFormat="1" ht="13.5" customHeight="1">
      <c r="A32" s="255">
        <v>45283</v>
      </c>
      <c r="B32" s="365" t="s">
        <v>887</v>
      </c>
      <c r="C32" s="365"/>
      <c r="D32" s="37">
        <v>5</v>
      </c>
      <c r="E32" s="37" t="s">
        <v>62</v>
      </c>
      <c r="F32" s="347"/>
      <c r="G32" s="367"/>
      <c r="H32" s="33"/>
      <c r="I32" s="270">
        <v>8423.39</v>
      </c>
      <c r="J32" s="346">
        <f>I32/'[3]통장내역(환율표)'!$D$132</f>
        <v>1157.5440845761793</v>
      </c>
      <c r="K32" s="263">
        <f t="shared" si="3"/>
        <v>314135.52000000101</v>
      </c>
      <c r="L32" s="263">
        <f t="shared" si="3"/>
        <v>43798.308008627719</v>
      </c>
      <c r="M32" s="33" t="s">
        <v>985</v>
      </c>
      <c r="N32" s="45">
        <f t="shared" si="4"/>
        <v>4315.3072122288277</v>
      </c>
    </row>
    <row r="33" spans="1:14" s="5" customFormat="1" ht="13.5" customHeight="1">
      <c r="A33" s="255">
        <v>45283</v>
      </c>
      <c r="B33" s="365" t="s">
        <v>888</v>
      </c>
      <c r="C33" s="365"/>
      <c r="D33" s="37">
        <v>5</v>
      </c>
      <c r="E33" s="37" t="s">
        <v>62</v>
      </c>
      <c r="F33" s="347"/>
      <c r="G33" s="367"/>
      <c r="H33" s="33"/>
      <c r="I33" s="270">
        <v>7173.2300000000032</v>
      </c>
      <c r="J33" s="346">
        <f>I33/'[3]통장내역(환율표)'!$D$132</f>
        <v>985.74682566097397</v>
      </c>
      <c r="K33" s="263">
        <f t="shared" si="3"/>
        <v>306962.29000000103</v>
      </c>
      <c r="L33" s="263">
        <f t="shared" si="3"/>
        <v>42812.561182966747</v>
      </c>
      <c r="M33" s="33" t="s">
        <v>985</v>
      </c>
      <c r="N33" s="45">
        <f t="shared" si="4"/>
        <v>3329.5603865678536</v>
      </c>
    </row>
    <row r="34" spans="1:14" s="5" customFormat="1" ht="13.5" customHeight="1">
      <c r="A34" s="255">
        <v>45283</v>
      </c>
      <c r="B34" s="365" t="s">
        <v>892</v>
      </c>
      <c r="C34" s="365"/>
      <c r="D34" s="37">
        <v>5</v>
      </c>
      <c r="E34" s="37" t="s">
        <v>62</v>
      </c>
      <c r="F34" s="347"/>
      <c r="G34" s="367"/>
      <c r="H34" s="33"/>
      <c r="I34" s="270">
        <v>300</v>
      </c>
      <c r="J34" s="346">
        <f>I34/'[3]통장내역(환율표)'!$D$132</f>
        <v>41.226065203303399</v>
      </c>
      <c r="K34" s="263">
        <f t="shared" si="3"/>
        <v>306662.29000000103</v>
      </c>
      <c r="L34" s="263">
        <f t="shared" si="3"/>
        <v>42771.335117763447</v>
      </c>
      <c r="M34" s="33" t="s">
        <v>985</v>
      </c>
      <c r="N34" s="45">
        <f t="shared" si="4"/>
        <v>3288.3343213645503</v>
      </c>
    </row>
    <row r="35" spans="1:14" s="5" customFormat="1" ht="13.5" customHeight="1">
      <c r="A35" s="552">
        <v>45283</v>
      </c>
      <c r="B35" s="553" t="s">
        <v>891</v>
      </c>
      <c r="C35" s="553"/>
      <c r="D35" s="60">
        <v>5</v>
      </c>
      <c r="E35" s="60" t="s">
        <v>62</v>
      </c>
      <c r="F35" s="554"/>
      <c r="G35" s="555"/>
      <c r="H35" s="59"/>
      <c r="I35" s="62">
        <f>J35*'[3]통장내역(환율표)'!$D$132</f>
        <v>23929.043228950162</v>
      </c>
      <c r="J35" s="346">
        <v>3288.3343213645503</v>
      </c>
      <c r="K35" s="262">
        <f t="shared" si="3"/>
        <v>282733.24677105085</v>
      </c>
      <c r="L35" s="262">
        <f t="shared" si="3"/>
        <v>39483.000796398897</v>
      </c>
      <c r="M35" s="59" t="s">
        <v>986</v>
      </c>
      <c r="N35" s="45">
        <f t="shared" si="4"/>
        <v>0</v>
      </c>
    </row>
    <row r="36" spans="1:14" s="5" customFormat="1" ht="13.5" customHeight="1">
      <c r="A36" s="552">
        <v>45283</v>
      </c>
      <c r="B36" s="553" t="s">
        <v>891</v>
      </c>
      <c r="C36" s="553"/>
      <c r="D36" s="60">
        <v>5</v>
      </c>
      <c r="E36" s="60" t="s">
        <v>62</v>
      </c>
      <c r="F36" s="554"/>
      <c r="G36" s="555"/>
      <c r="H36" s="59"/>
      <c r="I36" s="62">
        <f>25000-I35</f>
        <v>1070.9567710498377</v>
      </c>
      <c r="J36" s="374">
        <f>I36/'[3]통장내역(환율표)'!$D$145</f>
        <v>149.54650799159722</v>
      </c>
      <c r="K36" s="262">
        <f t="shared" ref="K36:L51" si="5">K35+G36-I36</f>
        <v>281662.29000000103</v>
      </c>
      <c r="L36" s="262">
        <f t="shared" si="5"/>
        <v>39333.454288407302</v>
      </c>
      <c r="M36" s="59" t="s">
        <v>986</v>
      </c>
      <c r="N36" s="45">
        <f>39483-J36</f>
        <v>39333.453492008404</v>
      </c>
    </row>
    <row r="37" spans="1:14" s="5" customFormat="1" ht="13.5" customHeight="1">
      <c r="A37" s="255">
        <v>45283</v>
      </c>
      <c r="B37" s="365" t="s">
        <v>939</v>
      </c>
      <c r="C37" s="365"/>
      <c r="D37" s="37">
        <v>5</v>
      </c>
      <c r="E37" s="37" t="s">
        <v>62</v>
      </c>
      <c r="F37" s="347"/>
      <c r="G37" s="367"/>
      <c r="H37" s="33"/>
      <c r="I37" s="270">
        <v>5363.71</v>
      </c>
      <c r="J37" s="374">
        <f>I37/'[3]통장내역(환율표)'!$D$145</f>
        <v>748.978971012344</v>
      </c>
      <c r="K37" s="263">
        <f t="shared" si="5"/>
        <v>276298.58000000101</v>
      </c>
      <c r="L37" s="263">
        <f t="shared" si="5"/>
        <v>38584.475317394958</v>
      </c>
      <c r="M37" s="33" t="s">
        <v>986</v>
      </c>
      <c r="N37" s="45">
        <f t="shared" ref="N37:N100" si="6">N36-J37+H37</f>
        <v>38584.47452099606</v>
      </c>
    </row>
    <row r="38" spans="1:14" s="5" customFormat="1" ht="13.5" customHeight="1">
      <c r="A38" s="255">
        <v>45283</v>
      </c>
      <c r="B38" s="365" t="s">
        <v>892</v>
      </c>
      <c r="C38" s="365"/>
      <c r="D38" s="37">
        <v>5</v>
      </c>
      <c r="E38" s="37" t="s">
        <v>62</v>
      </c>
      <c r="F38" s="347"/>
      <c r="G38" s="367"/>
      <c r="H38" s="33"/>
      <c r="I38" s="270">
        <v>300</v>
      </c>
      <c r="J38" s="374">
        <f>I38/'[3]통장내역(환율표)'!$D$145</f>
        <v>41.891469021200479</v>
      </c>
      <c r="K38" s="263">
        <f t="shared" si="5"/>
        <v>275998.58000000101</v>
      </c>
      <c r="L38" s="263">
        <f t="shared" si="5"/>
        <v>38542.583848373753</v>
      </c>
      <c r="M38" s="33" t="s">
        <v>986</v>
      </c>
      <c r="N38" s="45">
        <f t="shared" si="6"/>
        <v>38542.583051974856</v>
      </c>
    </row>
    <row r="39" spans="1:14" s="5" customFormat="1" ht="13.5" customHeight="1">
      <c r="A39" s="255">
        <v>45283</v>
      </c>
      <c r="B39" s="365" t="s">
        <v>891</v>
      </c>
      <c r="C39" s="365"/>
      <c r="D39" s="37">
        <v>5</v>
      </c>
      <c r="E39" s="37" t="s">
        <v>62</v>
      </c>
      <c r="F39" s="347"/>
      <c r="G39" s="367"/>
      <c r="H39" s="33"/>
      <c r="I39" s="270">
        <v>13000</v>
      </c>
      <c r="J39" s="374">
        <f>I39/'[3]통장내역(환율표)'!$D$145</f>
        <v>1815.2969909186872</v>
      </c>
      <c r="K39" s="263">
        <f t="shared" si="5"/>
        <v>262998.58000000101</v>
      </c>
      <c r="L39" s="263">
        <f t="shared" si="5"/>
        <v>36727.286857455067</v>
      </c>
      <c r="M39" s="435" t="s">
        <v>987</v>
      </c>
      <c r="N39" s="45">
        <f t="shared" si="6"/>
        <v>36727.286061056169</v>
      </c>
    </row>
    <row r="40" spans="1:14" s="5" customFormat="1" ht="13.5" customHeight="1">
      <c r="A40" s="255">
        <v>45283</v>
      </c>
      <c r="B40" s="365" t="s">
        <v>939</v>
      </c>
      <c r="C40" s="365"/>
      <c r="D40" s="37">
        <v>5</v>
      </c>
      <c r="E40" s="37" t="s">
        <v>62</v>
      </c>
      <c r="F40" s="347"/>
      <c r="G40" s="367"/>
      <c r="H40" s="33"/>
      <c r="I40" s="270">
        <v>2816.83</v>
      </c>
      <c r="J40" s="374">
        <f>I40/'[3]통장내역(환율표)'!$D$145</f>
        <v>393.33715560996046</v>
      </c>
      <c r="K40" s="263">
        <f t="shared" si="5"/>
        <v>260181.75000000102</v>
      </c>
      <c r="L40" s="263">
        <f t="shared" si="5"/>
        <v>36333.949701845107</v>
      </c>
      <c r="M40" s="435" t="s">
        <v>987</v>
      </c>
      <c r="N40" s="45">
        <f t="shared" si="6"/>
        <v>36333.94890544621</v>
      </c>
    </row>
    <row r="41" spans="1:14" s="5" customFormat="1" ht="13.5" customHeight="1">
      <c r="A41" s="255">
        <v>45283</v>
      </c>
      <c r="B41" s="365" t="s">
        <v>892</v>
      </c>
      <c r="C41" s="365"/>
      <c r="D41" s="37">
        <v>5</v>
      </c>
      <c r="E41" s="37" t="s">
        <v>62</v>
      </c>
      <c r="F41" s="347"/>
      <c r="G41" s="367"/>
      <c r="H41" s="33"/>
      <c r="I41" s="270">
        <v>300</v>
      </c>
      <c r="J41" s="374">
        <f>I41/'[3]통장내역(환율표)'!$D$145</f>
        <v>41.891469021200479</v>
      </c>
      <c r="K41" s="263">
        <f t="shared" si="5"/>
        <v>259881.75000000102</v>
      </c>
      <c r="L41" s="263">
        <f t="shared" si="5"/>
        <v>36292.058232823903</v>
      </c>
      <c r="M41" s="435" t="s">
        <v>987</v>
      </c>
      <c r="N41" s="45">
        <f t="shared" si="6"/>
        <v>36292.057436425006</v>
      </c>
    </row>
    <row r="42" spans="1:14" s="5" customFormat="1" ht="13.5" customHeight="1">
      <c r="A42" s="255">
        <v>45283</v>
      </c>
      <c r="B42" s="365" t="s">
        <v>861</v>
      </c>
      <c r="C42" s="365"/>
      <c r="D42" s="37">
        <v>5</v>
      </c>
      <c r="E42" s="37" t="s">
        <v>62</v>
      </c>
      <c r="F42" s="347"/>
      <c r="G42" s="367"/>
      <c r="H42" s="33"/>
      <c r="I42" s="270">
        <v>2000</v>
      </c>
      <c r="J42" s="374">
        <f>I42/'[3]통장내역(환율표)'!$D$145</f>
        <v>279.27646014133649</v>
      </c>
      <c r="K42" s="263">
        <f t="shared" si="5"/>
        <v>257881.75000000102</v>
      </c>
      <c r="L42" s="263">
        <f t="shared" si="5"/>
        <v>36012.781772682567</v>
      </c>
      <c r="M42" s="435" t="s">
        <v>987</v>
      </c>
      <c r="N42" s="45">
        <f t="shared" si="6"/>
        <v>36012.78097628367</v>
      </c>
    </row>
    <row r="43" spans="1:14" s="5" customFormat="1" ht="13.5" customHeight="1">
      <c r="A43" s="255">
        <v>45283</v>
      </c>
      <c r="B43" s="365" t="s">
        <v>891</v>
      </c>
      <c r="C43" s="365"/>
      <c r="D43" s="37">
        <v>5</v>
      </c>
      <c r="E43" s="37" t="s">
        <v>62</v>
      </c>
      <c r="F43" s="347"/>
      <c r="G43" s="367"/>
      <c r="H43" s="33"/>
      <c r="I43" s="270">
        <v>25000</v>
      </c>
      <c r="J43" s="374">
        <f>I43/'[3]통장내역(환율표)'!$D$145</f>
        <v>3490.9557517667063</v>
      </c>
      <c r="K43" s="263">
        <f t="shared" si="5"/>
        <v>232881.75000000102</v>
      </c>
      <c r="L43" s="263">
        <f t="shared" si="5"/>
        <v>32521.826020915862</v>
      </c>
      <c r="M43" s="33" t="s">
        <v>895</v>
      </c>
      <c r="N43" s="45">
        <f t="shared" si="6"/>
        <v>32521.825224516964</v>
      </c>
    </row>
    <row r="44" spans="1:14" s="5" customFormat="1" ht="13.5" customHeight="1">
      <c r="A44" s="255">
        <v>45283</v>
      </c>
      <c r="B44" s="365" t="s">
        <v>939</v>
      </c>
      <c r="C44" s="365"/>
      <c r="D44" s="37">
        <v>5</v>
      </c>
      <c r="E44" s="37" t="s">
        <v>62</v>
      </c>
      <c r="F44" s="347"/>
      <c r="G44" s="367"/>
      <c r="H44" s="33"/>
      <c r="I44" s="270">
        <v>6738.71</v>
      </c>
      <c r="J44" s="374">
        <f>I44/'[3]통장내역(환율표)'!$D$145</f>
        <v>940.98153735951291</v>
      </c>
      <c r="K44" s="263">
        <f t="shared" si="5"/>
        <v>226143.04000000103</v>
      </c>
      <c r="L44" s="263">
        <f t="shared" si="5"/>
        <v>31580.84448355635</v>
      </c>
      <c r="M44" s="33" t="s">
        <v>895</v>
      </c>
      <c r="N44" s="45">
        <f t="shared" si="6"/>
        <v>31580.843687157452</v>
      </c>
    </row>
    <row r="45" spans="1:14" s="5" customFormat="1" ht="13.5" customHeight="1">
      <c r="A45" s="255">
        <v>45283</v>
      </c>
      <c r="B45" s="365" t="s">
        <v>892</v>
      </c>
      <c r="C45" s="365"/>
      <c r="D45" s="37">
        <v>5</v>
      </c>
      <c r="E45" s="37" t="s">
        <v>62</v>
      </c>
      <c r="F45" s="347"/>
      <c r="G45" s="367"/>
      <c r="H45" s="33"/>
      <c r="I45" s="270">
        <v>300</v>
      </c>
      <c r="J45" s="374">
        <f>I45/'[3]통장내역(환율표)'!$D$145</f>
        <v>41.891469021200479</v>
      </c>
      <c r="K45" s="263">
        <f t="shared" si="5"/>
        <v>225843.04000000103</v>
      </c>
      <c r="L45" s="263">
        <f t="shared" si="5"/>
        <v>31538.953014535149</v>
      </c>
      <c r="M45" s="33" t="s">
        <v>895</v>
      </c>
      <c r="N45" s="45">
        <f t="shared" si="6"/>
        <v>31538.952218136252</v>
      </c>
    </row>
    <row r="46" spans="1:14" s="5" customFormat="1" ht="13.5" customHeight="1">
      <c r="A46" s="255">
        <v>45283</v>
      </c>
      <c r="B46" s="365" t="s">
        <v>861</v>
      </c>
      <c r="C46" s="365"/>
      <c r="D46" s="37">
        <v>5</v>
      </c>
      <c r="E46" s="37" t="s">
        <v>62</v>
      </c>
      <c r="F46" s="347"/>
      <c r="G46" s="367"/>
      <c r="H46" s="33"/>
      <c r="I46" s="270">
        <v>600</v>
      </c>
      <c r="J46" s="374">
        <f>I46/'[3]통장내역(환율표)'!$D$145</f>
        <v>83.782938042400957</v>
      </c>
      <c r="K46" s="263">
        <f t="shared" si="5"/>
        <v>225243.04000000103</v>
      </c>
      <c r="L46" s="263">
        <f t="shared" si="5"/>
        <v>31455.170076492748</v>
      </c>
      <c r="M46" s="33" t="s">
        <v>895</v>
      </c>
      <c r="N46" s="45">
        <f t="shared" si="6"/>
        <v>31455.169280093851</v>
      </c>
    </row>
    <row r="47" spans="1:14" s="5" customFormat="1" ht="13.5" customHeight="1">
      <c r="A47" s="255">
        <v>45283</v>
      </c>
      <c r="B47" s="407" t="s">
        <v>250</v>
      </c>
      <c r="C47" s="365"/>
      <c r="D47" s="37">
        <v>6</v>
      </c>
      <c r="E47" s="37" t="s">
        <v>62</v>
      </c>
      <c r="F47" s="347"/>
      <c r="G47" s="367"/>
      <c r="H47" s="33"/>
      <c r="I47" s="270">
        <v>12</v>
      </c>
      <c r="J47" s="374">
        <f>I47/'[3]통장내역(환율표)'!$D$145</f>
        <v>1.6756587608480191</v>
      </c>
      <c r="K47" s="263">
        <f t="shared" si="5"/>
        <v>225231.04000000103</v>
      </c>
      <c r="L47" s="263">
        <f t="shared" si="5"/>
        <v>31453.494417731901</v>
      </c>
      <c r="M47" s="33"/>
      <c r="N47" s="45">
        <f t="shared" si="6"/>
        <v>31453.493621333004</v>
      </c>
    </row>
    <row r="48" spans="1:14" s="5" customFormat="1" ht="13.5" customHeight="1">
      <c r="A48" s="255">
        <v>45283</v>
      </c>
      <c r="B48" s="365" t="s">
        <v>732</v>
      </c>
      <c r="C48" s="365"/>
      <c r="D48" s="37">
        <v>7</v>
      </c>
      <c r="E48" s="37" t="s">
        <v>62</v>
      </c>
      <c r="F48" s="347"/>
      <c r="G48" s="367"/>
      <c r="H48" s="33"/>
      <c r="I48" s="270">
        <v>1454.44</v>
      </c>
      <c r="J48" s="374">
        <f>I48/'[3]통장내역(환율표)'!$D$145</f>
        <v>203.09542734398275</v>
      </c>
      <c r="K48" s="263">
        <f t="shared" si="5"/>
        <v>223776.60000000102</v>
      </c>
      <c r="L48" s="263">
        <f t="shared" si="5"/>
        <v>31250.398990387919</v>
      </c>
      <c r="M48" s="33"/>
      <c r="N48" s="45">
        <f t="shared" si="6"/>
        <v>31250.398193989022</v>
      </c>
    </row>
    <row r="49" spans="1:14" s="5" customFormat="1" ht="13.5" customHeight="1">
      <c r="A49" s="255">
        <v>45283</v>
      </c>
      <c r="B49" s="407" t="s">
        <v>250</v>
      </c>
      <c r="C49" s="365"/>
      <c r="D49" s="37">
        <v>8</v>
      </c>
      <c r="E49" s="37" t="s">
        <v>62</v>
      </c>
      <c r="F49" s="347"/>
      <c r="G49" s="367"/>
      <c r="H49" s="33"/>
      <c r="I49" s="270">
        <v>3.6</v>
      </c>
      <c r="J49" s="374">
        <f>I49/'[3]통장내역(환율표)'!$D$145</f>
        <v>0.50269762825440578</v>
      </c>
      <c r="K49" s="263">
        <f t="shared" si="5"/>
        <v>223773.00000000102</v>
      </c>
      <c r="L49" s="263">
        <f t="shared" si="5"/>
        <v>31249.896292759666</v>
      </c>
      <c r="M49" s="33"/>
      <c r="N49" s="45">
        <f t="shared" si="6"/>
        <v>31249.895496360768</v>
      </c>
    </row>
    <row r="50" spans="1:14" s="5" customFormat="1" ht="13.5" customHeight="1">
      <c r="A50" s="255">
        <v>45283</v>
      </c>
      <c r="B50" s="365" t="s">
        <v>304</v>
      </c>
      <c r="C50" s="365"/>
      <c r="D50" s="37">
        <v>9</v>
      </c>
      <c r="E50" s="37" t="s">
        <v>105</v>
      </c>
      <c r="F50" s="347" t="s">
        <v>106</v>
      </c>
      <c r="G50" s="367"/>
      <c r="H50" s="33"/>
      <c r="I50" s="556">
        <v>20023</v>
      </c>
      <c r="J50" s="374">
        <f>I50/'[3]통장내역(환율표)'!$D$145</f>
        <v>2795.9762807049906</v>
      </c>
      <c r="K50" s="263">
        <f t="shared" si="5"/>
        <v>203750.00000000102</v>
      </c>
      <c r="L50" s="263">
        <f t="shared" si="5"/>
        <v>28453.920012054674</v>
      </c>
      <c r="M50" s="33"/>
      <c r="N50" s="45">
        <f t="shared" si="6"/>
        <v>28453.919215655776</v>
      </c>
    </row>
    <row r="51" spans="1:14" s="5" customFormat="1" ht="13.5" customHeight="1">
      <c r="A51" s="255">
        <v>45283</v>
      </c>
      <c r="B51" s="407" t="s">
        <v>250</v>
      </c>
      <c r="C51" s="365"/>
      <c r="D51" s="37">
        <v>10</v>
      </c>
      <c r="E51" s="37" t="s">
        <v>62</v>
      </c>
      <c r="F51" s="347"/>
      <c r="G51" s="367"/>
      <c r="H51" s="33"/>
      <c r="I51" s="33">
        <v>7.2</v>
      </c>
      <c r="J51" s="374">
        <f>I51/'[3]통장내역(환율표)'!$D$145</f>
        <v>1.0053952565088116</v>
      </c>
      <c r="K51" s="263">
        <f t="shared" si="5"/>
        <v>203742.80000000101</v>
      </c>
      <c r="L51" s="263">
        <f t="shared" si="5"/>
        <v>28452.914616798163</v>
      </c>
      <c r="M51" s="33"/>
      <c r="N51" s="45">
        <f t="shared" si="6"/>
        <v>28452.913820399266</v>
      </c>
    </row>
    <row r="52" spans="1:14" s="5" customFormat="1" ht="13.5" customHeight="1">
      <c r="A52" s="255">
        <v>45283</v>
      </c>
      <c r="B52" s="313" t="s">
        <v>346</v>
      </c>
      <c r="C52" s="365"/>
      <c r="D52" s="37">
        <v>11</v>
      </c>
      <c r="E52" s="37" t="s">
        <v>15</v>
      </c>
      <c r="F52" s="347" t="s">
        <v>320</v>
      </c>
      <c r="G52" s="367"/>
      <c r="H52" s="33"/>
      <c r="I52" s="38">
        <v>10500</v>
      </c>
      <c r="J52" s="374">
        <f>I52/'[3]통장내역(환율표)'!$D$145</f>
        <v>1466.2014157420167</v>
      </c>
      <c r="K52" s="263">
        <f t="shared" ref="K52:L67" si="7">K51+G52-I52</f>
        <v>193242.80000000101</v>
      </c>
      <c r="L52" s="263">
        <f t="shared" si="7"/>
        <v>26986.713201056147</v>
      </c>
      <c r="M52" s="33"/>
      <c r="N52" s="45">
        <f t="shared" si="6"/>
        <v>26986.71240465725</v>
      </c>
    </row>
    <row r="53" spans="1:14" s="5" customFormat="1" ht="13.5" customHeight="1">
      <c r="A53" s="255">
        <v>45283</v>
      </c>
      <c r="B53" s="313" t="s">
        <v>347</v>
      </c>
      <c r="C53" s="365"/>
      <c r="D53" s="37">
        <v>12</v>
      </c>
      <c r="E53" s="37" t="s">
        <v>62</v>
      </c>
      <c r="F53" s="347"/>
      <c r="G53" s="367"/>
      <c r="H53" s="33"/>
      <c r="I53" s="38">
        <v>6000</v>
      </c>
      <c r="J53" s="374">
        <f>I53/'[3]통장내역(환율표)'!$D$145</f>
        <v>837.82938042400951</v>
      </c>
      <c r="K53" s="263">
        <f t="shared" si="7"/>
        <v>187242.80000000101</v>
      </c>
      <c r="L53" s="263">
        <f t="shared" si="7"/>
        <v>26148.883820632138</v>
      </c>
      <c r="M53" s="33"/>
      <c r="N53" s="45">
        <f t="shared" si="6"/>
        <v>26148.883024233241</v>
      </c>
    </row>
    <row r="54" spans="1:14" s="5" customFormat="1" ht="13.5" customHeight="1">
      <c r="A54" s="255">
        <v>45283</v>
      </c>
      <c r="B54" s="313" t="s">
        <v>351</v>
      </c>
      <c r="C54" s="365"/>
      <c r="D54" s="37">
        <v>13</v>
      </c>
      <c r="E54" s="37" t="s">
        <v>62</v>
      </c>
      <c r="F54" s="347"/>
      <c r="G54" s="367"/>
      <c r="H54" s="33"/>
      <c r="I54" s="270">
        <v>1040</v>
      </c>
      <c r="J54" s="374">
        <f>I54/'[3]통장내역(환율표)'!$D$145</f>
        <v>145.22375927349498</v>
      </c>
      <c r="K54" s="263">
        <f t="shared" si="7"/>
        <v>186202.80000000101</v>
      </c>
      <c r="L54" s="263">
        <f t="shared" si="7"/>
        <v>26003.660061358642</v>
      </c>
      <c r="M54" s="33"/>
      <c r="N54" s="45">
        <f t="shared" si="6"/>
        <v>26003.659264959744</v>
      </c>
    </row>
    <row r="55" spans="1:14" s="5" customFormat="1" ht="13.5" customHeight="1">
      <c r="A55" s="255">
        <v>45283</v>
      </c>
      <c r="B55" s="313" t="s">
        <v>346</v>
      </c>
      <c r="C55" s="365"/>
      <c r="D55" s="37">
        <v>14</v>
      </c>
      <c r="E55" s="37" t="s">
        <v>15</v>
      </c>
      <c r="F55" s="347" t="s">
        <v>320</v>
      </c>
      <c r="G55" s="367"/>
      <c r="H55" s="33"/>
      <c r="I55" s="270">
        <v>7000</v>
      </c>
      <c r="J55" s="374">
        <f>I55/'[3]통장내역(환율표)'!$D$145</f>
        <v>977.46761049467784</v>
      </c>
      <c r="K55" s="263">
        <f t="shared" si="7"/>
        <v>179202.80000000101</v>
      </c>
      <c r="L55" s="263">
        <f t="shared" si="7"/>
        <v>25026.192450863964</v>
      </c>
      <c r="M55" s="33"/>
      <c r="N55" s="45">
        <f t="shared" si="6"/>
        <v>25026.191654465067</v>
      </c>
    </row>
    <row r="56" spans="1:14" s="5" customFormat="1" ht="13.5" customHeight="1">
      <c r="A56" s="255">
        <v>45283</v>
      </c>
      <c r="B56" s="313" t="s">
        <v>347</v>
      </c>
      <c r="C56" s="365"/>
      <c r="D56" s="37">
        <v>15</v>
      </c>
      <c r="E56" s="37" t="s">
        <v>62</v>
      </c>
      <c r="F56" s="347"/>
      <c r="G56" s="367"/>
      <c r="H56" s="33"/>
      <c r="I56" s="270">
        <v>6000</v>
      </c>
      <c r="J56" s="374">
        <f>I56/'[3]통장내역(환율표)'!$D$145</f>
        <v>837.82938042400951</v>
      </c>
      <c r="K56" s="263">
        <f t="shared" si="7"/>
        <v>173202.80000000101</v>
      </c>
      <c r="L56" s="263">
        <f t="shared" si="7"/>
        <v>24188.363070439955</v>
      </c>
      <c r="M56" s="33"/>
      <c r="N56" s="45">
        <f t="shared" si="6"/>
        <v>24188.362274041057</v>
      </c>
    </row>
    <row r="57" spans="1:14" s="5" customFormat="1" ht="13.5" customHeight="1">
      <c r="A57" s="255">
        <v>45283</v>
      </c>
      <c r="B57" s="313" t="s">
        <v>351</v>
      </c>
      <c r="C57" s="365"/>
      <c r="D57" s="37">
        <v>16</v>
      </c>
      <c r="E57" s="37" t="s">
        <v>62</v>
      </c>
      <c r="F57" s="347"/>
      <c r="G57" s="367"/>
      <c r="H57" s="33"/>
      <c r="I57" s="270">
        <v>1070</v>
      </c>
      <c r="J57" s="374">
        <f>I57/'[3]통장내역(환율표)'!$D$145</f>
        <v>149.41290617561503</v>
      </c>
      <c r="K57" s="263">
        <f t="shared" si="7"/>
        <v>172132.80000000101</v>
      </c>
      <c r="L57" s="263">
        <f t="shared" si="7"/>
        <v>24038.950164264341</v>
      </c>
      <c r="M57" s="33"/>
      <c r="N57" s="45">
        <f t="shared" si="6"/>
        <v>24038.949367865443</v>
      </c>
    </row>
    <row r="58" spans="1:14" s="5" customFormat="1" ht="13.5" customHeight="1">
      <c r="A58" s="255">
        <v>45283</v>
      </c>
      <c r="B58" s="313" t="s">
        <v>250</v>
      </c>
      <c r="C58" s="365"/>
      <c r="D58" s="37">
        <v>17</v>
      </c>
      <c r="E58" s="37" t="s">
        <v>62</v>
      </c>
      <c r="F58" s="347"/>
      <c r="G58" s="367"/>
      <c r="H58" s="33"/>
      <c r="I58" s="270">
        <v>7.2</v>
      </c>
      <c r="J58" s="374">
        <f>I58/'[3]통장내역(환율표)'!$D$145</f>
        <v>1.0053952565088116</v>
      </c>
      <c r="K58" s="263">
        <f t="shared" si="7"/>
        <v>172125.600000001</v>
      </c>
      <c r="L58" s="263">
        <f t="shared" si="7"/>
        <v>24037.94476900783</v>
      </c>
      <c r="M58" s="33"/>
      <c r="N58" s="45">
        <f t="shared" si="6"/>
        <v>24037.943972608933</v>
      </c>
    </row>
    <row r="59" spans="1:14" s="5" customFormat="1" ht="13.5" customHeight="1">
      <c r="A59" s="255">
        <v>45283</v>
      </c>
      <c r="B59" s="365" t="s">
        <v>878</v>
      </c>
      <c r="C59" s="365"/>
      <c r="D59" s="37">
        <v>18</v>
      </c>
      <c r="E59" s="37" t="s">
        <v>62</v>
      </c>
      <c r="F59" s="347"/>
      <c r="G59" s="367"/>
      <c r="H59" s="33"/>
      <c r="I59" s="270">
        <v>1010</v>
      </c>
      <c r="J59" s="374">
        <f>I59/'[3]통장내역(환율표)'!$D$145</f>
        <v>141.03461237137495</v>
      </c>
      <c r="K59" s="263">
        <f t="shared" si="7"/>
        <v>171115.600000001</v>
      </c>
      <c r="L59" s="263">
        <f t="shared" si="7"/>
        <v>23896.910156636455</v>
      </c>
      <c r="M59" s="33"/>
      <c r="N59" s="45">
        <f t="shared" si="6"/>
        <v>23896.909360237558</v>
      </c>
    </row>
    <row r="60" spans="1:14" s="5" customFormat="1" ht="13.5" customHeight="1">
      <c r="A60" s="255">
        <v>45283</v>
      </c>
      <c r="B60" s="313" t="s">
        <v>250</v>
      </c>
      <c r="C60" s="365"/>
      <c r="D60" s="37">
        <v>19</v>
      </c>
      <c r="E60" s="37" t="s">
        <v>62</v>
      </c>
      <c r="F60" s="347"/>
      <c r="G60" s="367"/>
      <c r="H60" s="33"/>
      <c r="I60" s="270">
        <v>3.6</v>
      </c>
      <c r="J60" s="374">
        <f>I60/'[3]통장내역(환율표)'!$D$145</f>
        <v>0.50269762825440578</v>
      </c>
      <c r="K60" s="263">
        <f t="shared" si="7"/>
        <v>171112.00000000099</v>
      </c>
      <c r="L60" s="263">
        <f t="shared" si="7"/>
        <v>23896.407459008202</v>
      </c>
      <c r="M60" s="33"/>
      <c r="N60" s="45">
        <f t="shared" si="6"/>
        <v>23896.406662609304</v>
      </c>
    </row>
    <row r="61" spans="1:14" s="5" customFormat="1" ht="13.5" customHeight="1">
      <c r="A61" s="255">
        <v>45283</v>
      </c>
      <c r="B61" s="365" t="s">
        <v>996</v>
      </c>
      <c r="C61" s="365"/>
      <c r="D61" s="37">
        <v>20</v>
      </c>
      <c r="E61" s="37" t="s">
        <v>146</v>
      </c>
      <c r="F61" s="347" t="s">
        <v>147</v>
      </c>
      <c r="G61" s="367"/>
      <c r="H61" s="33"/>
      <c r="I61" s="270">
        <v>2212</v>
      </c>
      <c r="J61" s="374">
        <f>I61/'[3]통장내역(환율표)'!$D$145</f>
        <v>308.87976491631821</v>
      </c>
      <c r="K61" s="263">
        <f t="shared" si="7"/>
        <v>168900.00000000099</v>
      </c>
      <c r="L61" s="263">
        <f t="shared" si="7"/>
        <v>23587.527694091885</v>
      </c>
      <c r="M61" s="33"/>
      <c r="N61" s="45">
        <f t="shared" si="6"/>
        <v>23587.526897692987</v>
      </c>
    </row>
    <row r="62" spans="1:14" s="5" customFormat="1" ht="13.5" customHeight="1">
      <c r="A62" s="255">
        <v>45283</v>
      </c>
      <c r="B62" s="365" t="s">
        <v>994</v>
      </c>
      <c r="C62" s="365"/>
      <c r="D62" s="37">
        <v>20</v>
      </c>
      <c r="E62" s="37" t="s">
        <v>146</v>
      </c>
      <c r="F62" s="347" t="s">
        <v>147</v>
      </c>
      <c r="G62" s="367"/>
      <c r="H62" s="33"/>
      <c r="I62" s="270">
        <v>973</v>
      </c>
      <c r="J62" s="374">
        <f>I62/'[3]통장내역(환율표)'!$D$145</f>
        <v>135.86799785876022</v>
      </c>
      <c r="K62" s="263">
        <f t="shared" si="7"/>
        <v>167927.00000000099</v>
      </c>
      <c r="L62" s="263">
        <f t="shared" si="7"/>
        <v>23451.659696233124</v>
      </c>
      <c r="M62" s="33"/>
      <c r="N62" s="45">
        <f t="shared" si="6"/>
        <v>23451.658899834227</v>
      </c>
    </row>
    <row r="63" spans="1:14" s="5" customFormat="1" ht="13.5" customHeight="1">
      <c r="A63" s="255">
        <v>45283</v>
      </c>
      <c r="B63" s="365" t="s">
        <v>995</v>
      </c>
      <c r="C63" s="365"/>
      <c r="D63" s="37">
        <v>20</v>
      </c>
      <c r="E63" s="37" t="s">
        <v>146</v>
      </c>
      <c r="F63" s="347" t="s">
        <v>147</v>
      </c>
      <c r="G63" s="367"/>
      <c r="H63" s="33"/>
      <c r="I63" s="270">
        <v>298</v>
      </c>
      <c r="J63" s="374">
        <f>I63/'[3]통장내역(환율표)'!$D$145</f>
        <v>41.612192561059139</v>
      </c>
      <c r="K63" s="263">
        <f t="shared" si="7"/>
        <v>167629.00000000099</v>
      </c>
      <c r="L63" s="263">
        <f t="shared" si="7"/>
        <v>23410.047503672064</v>
      </c>
      <c r="M63" s="33"/>
      <c r="N63" s="45">
        <f t="shared" si="6"/>
        <v>23410.046707273166</v>
      </c>
    </row>
    <row r="64" spans="1:14" s="5" customFormat="1" ht="13.5" customHeight="1">
      <c r="A64" s="255">
        <v>45283</v>
      </c>
      <c r="B64" s="313" t="s">
        <v>250</v>
      </c>
      <c r="C64" s="365"/>
      <c r="D64" s="37">
        <v>21</v>
      </c>
      <c r="E64" s="37" t="s">
        <v>62</v>
      </c>
      <c r="F64" s="347"/>
      <c r="G64" s="367"/>
      <c r="H64" s="33"/>
      <c r="I64" s="270">
        <v>3.6</v>
      </c>
      <c r="J64" s="374">
        <f>I64/'[3]통장내역(환율표)'!$D$145</f>
        <v>0.50269762825440578</v>
      </c>
      <c r="K64" s="263">
        <f t="shared" si="7"/>
        <v>167625.40000000098</v>
      </c>
      <c r="L64" s="263">
        <f t="shared" si="7"/>
        <v>23409.54480604381</v>
      </c>
      <c r="M64" s="33"/>
      <c r="N64" s="45">
        <f t="shared" si="6"/>
        <v>23409.544009644913</v>
      </c>
    </row>
    <row r="65" spans="1:14" s="5" customFormat="1" ht="13.5" customHeight="1">
      <c r="A65" s="255">
        <v>45283</v>
      </c>
      <c r="B65" s="365" t="s">
        <v>999</v>
      </c>
      <c r="C65" s="365"/>
      <c r="D65" s="37">
        <v>22</v>
      </c>
      <c r="E65" s="37" t="s">
        <v>146</v>
      </c>
      <c r="F65" s="347" t="s">
        <v>147</v>
      </c>
      <c r="G65" s="367"/>
      <c r="H65" s="33"/>
      <c r="I65" s="270">
        <v>2330</v>
      </c>
      <c r="J65" s="374">
        <f>I65/'[3]통장내역(환율표)'!$D$145</f>
        <v>325.35707606465706</v>
      </c>
      <c r="K65" s="263">
        <f t="shared" si="7"/>
        <v>165295.40000000098</v>
      </c>
      <c r="L65" s="263">
        <f t="shared" si="7"/>
        <v>23084.187729979152</v>
      </c>
      <c r="M65" s="33"/>
      <c r="N65" s="45">
        <f t="shared" si="6"/>
        <v>23084.186933580255</v>
      </c>
    </row>
    <row r="66" spans="1:14" s="5" customFormat="1" ht="13.5" customHeight="1">
      <c r="A66" s="255">
        <v>45283</v>
      </c>
      <c r="B66" s="365" t="s">
        <v>997</v>
      </c>
      <c r="C66" s="365"/>
      <c r="D66" s="37">
        <v>22</v>
      </c>
      <c r="E66" s="37" t="s">
        <v>146</v>
      </c>
      <c r="F66" s="347" t="s">
        <v>147</v>
      </c>
      <c r="G66" s="367"/>
      <c r="H66" s="33"/>
      <c r="I66" s="270">
        <v>1068</v>
      </c>
      <c r="J66" s="374">
        <f>I66/'[3]통장내역(환율표)'!$D$145</f>
        <v>149.13362971547369</v>
      </c>
      <c r="K66" s="263">
        <f t="shared" si="7"/>
        <v>164227.40000000098</v>
      </c>
      <c r="L66" s="263">
        <f t="shared" si="7"/>
        <v>22935.054100263678</v>
      </c>
      <c r="M66" s="33"/>
      <c r="N66" s="45">
        <f t="shared" si="6"/>
        <v>22935.053303864781</v>
      </c>
    </row>
    <row r="67" spans="1:14" s="5" customFormat="1" ht="13.5" customHeight="1">
      <c r="A67" s="255">
        <v>45283</v>
      </c>
      <c r="B67" s="365" t="s">
        <v>998</v>
      </c>
      <c r="C67" s="365"/>
      <c r="D67" s="37">
        <v>22</v>
      </c>
      <c r="E67" s="37" t="s">
        <v>146</v>
      </c>
      <c r="F67" s="347" t="s">
        <v>147</v>
      </c>
      <c r="G67" s="367"/>
      <c r="H67" s="33"/>
      <c r="I67" s="270">
        <v>440</v>
      </c>
      <c r="J67" s="374">
        <f>I67/'[3]통장내역(환율표)'!$D$145</f>
        <v>61.440821231094034</v>
      </c>
      <c r="K67" s="263">
        <f t="shared" si="7"/>
        <v>163787.40000000098</v>
      </c>
      <c r="L67" s="263">
        <f t="shared" si="7"/>
        <v>22873.613279032583</v>
      </c>
      <c r="M67" s="33"/>
      <c r="N67" s="45">
        <f t="shared" si="6"/>
        <v>22873.612482633685</v>
      </c>
    </row>
    <row r="68" spans="1:14" s="5" customFormat="1" ht="13.5" customHeight="1">
      <c r="A68" s="255">
        <v>45283</v>
      </c>
      <c r="B68" s="313" t="s">
        <v>250</v>
      </c>
      <c r="C68" s="365"/>
      <c r="D68" s="37">
        <v>23</v>
      </c>
      <c r="E68" s="37" t="s">
        <v>62</v>
      </c>
      <c r="F68" s="347"/>
      <c r="G68" s="367"/>
      <c r="H68" s="33"/>
      <c r="I68" s="270">
        <v>3.6</v>
      </c>
      <c r="J68" s="374">
        <f>I68/'[3]통장내역(환율표)'!$D$145</f>
        <v>0.50269762825440578</v>
      </c>
      <c r="K68" s="263">
        <f t="shared" ref="K68:L83" si="8">K67+G68-I68</f>
        <v>163783.80000000098</v>
      </c>
      <c r="L68" s="263">
        <f t="shared" si="8"/>
        <v>22873.110581404329</v>
      </c>
      <c r="M68" s="33"/>
      <c r="N68" s="45">
        <f t="shared" si="6"/>
        <v>22873.109785005432</v>
      </c>
    </row>
    <row r="69" spans="1:14" s="5" customFormat="1" ht="13.5" customHeight="1">
      <c r="A69" s="255">
        <v>45283</v>
      </c>
      <c r="B69" s="365" t="s">
        <v>1089</v>
      </c>
      <c r="C69" s="365"/>
      <c r="D69" s="37">
        <v>24</v>
      </c>
      <c r="E69" s="37" t="s">
        <v>146</v>
      </c>
      <c r="F69" s="347" t="s">
        <v>147</v>
      </c>
      <c r="G69" s="367"/>
      <c r="H69" s="33"/>
      <c r="I69" s="270">
        <v>5837</v>
      </c>
      <c r="J69" s="374">
        <f>I69/'[3]통장내역(환율표)'!$D$145</f>
        <v>815.0683489224906</v>
      </c>
      <c r="K69" s="263">
        <f t="shared" si="8"/>
        <v>157946.80000000098</v>
      </c>
      <c r="L69" s="263">
        <f t="shared" si="8"/>
        <v>22058.042232481839</v>
      </c>
      <c r="M69" s="33"/>
      <c r="N69" s="45">
        <f t="shared" si="6"/>
        <v>22058.041436082942</v>
      </c>
    </row>
    <row r="70" spans="1:14" s="5" customFormat="1" ht="13.5" customHeight="1">
      <c r="A70" s="255">
        <v>45283</v>
      </c>
      <c r="B70" s="365" t="s">
        <v>1007</v>
      </c>
      <c r="C70" s="365"/>
      <c r="D70" s="37">
        <v>25</v>
      </c>
      <c r="E70" s="37" t="s">
        <v>107</v>
      </c>
      <c r="F70" s="347"/>
      <c r="G70" s="367"/>
      <c r="H70" s="33"/>
      <c r="I70" s="270">
        <v>298.85000000000002</v>
      </c>
      <c r="J70" s="374">
        <f>I70/'[3]통장내역(환율표)'!$D$145</f>
        <v>41.730885056619215</v>
      </c>
      <c r="K70" s="263">
        <f t="shared" si="8"/>
        <v>157647.95000000097</v>
      </c>
      <c r="L70" s="263">
        <f t="shared" si="8"/>
        <v>22016.31134742522</v>
      </c>
      <c r="M70" s="435"/>
      <c r="N70" s="45">
        <f t="shared" si="6"/>
        <v>22016.310551026323</v>
      </c>
    </row>
    <row r="71" spans="1:14" s="5" customFormat="1" ht="13.5" customHeight="1">
      <c r="A71" s="255">
        <v>45283</v>
      </c>
      <c r="B71" s="365" t="s">
        <v>1090</v>
      </c>
      <c r="C71" s="365"/>
      <c r="D71" s="37">
        <v>26</v>
      </c>
      <c r="E71" s="37" t="s">
        <v>146</v>
      </c>
      <c r="F71" s="347" t="s">
        <v>147</v>
      </c>
      <c r="G71" s="367"/>
      <c r="H71" s="33"/>
      <c r="I71" s="270">
        <v>1044.44</v>
      </c>
      <c r="J71" s="374">
        <f>I71/'[3]통장내역(환율표)'!$D$145</f>
        <v>145.84375301500876</v>
      </c>
      <c r="K71" s="263">
        <f t="shared" si="8"/>
        <v>156603.51000000097</v>
      </c>
      <c r="L71" s="263">
        <f t="shared" si="8"/>
        <v>21870.467594410213</v>
      </c>
      <c r="M71" s="435"/>
      <c r="N71" s="45">
        <f t="shared" si="6"/>
        <v>21870.466798011315</v>
      </c>
    </row>
    <row r="72" spans="1:14" s="5" customFormat="1" ht="13.5" customHeight="1">
      <c r="A72" s="255">
        <v>45283</v>
      </c>
      <c r="B72" s="313" t="s">
        <v>250</v>
      </c>
      <c r="C72" s="365"/>
      <c r="D72" s="37">
        <v>27</v>
      </c>
      <c r="E72" s="37" t="s">
        <v>107</v>
      </c>
      <c r="F72" s="347"/>
      <c r="G72" s="367"/>
      <c r="H72" s="33"/>
      <c r="I72" s="270">
        <v>3.6</v>
      </c>
      <c r="J72" s="374">
        <f>I72/'[3]통장내역(환율표)'!$D$145</f>
        <v>0.50269762825440578</v>
      </c>
      <c r="K72" s="263">
        <f t="shared" si="8"/>
        <v>156599.91000000096</v>
      </c>
      <c r="L72" s="263">
        <f t="shared" si="8"/>
        <v>21869.964896781959</v>
      </c>
      <c r="M72" s="435"/>
      <c r="N72" s="45">
        <f t="shared" si="6"/>
        <v>21869.964100383062</v>
      </c>
    </row>
    <row r="73" spans="1:14" s="5" customFormat="1" ht="13.5" customHeight="1">
      <c r="A73" s="255">
        <v>45283</v>
      </c>
      <c r="B73" s="365" t="s">
        <v>1091</v>
      </c>
      <c r="C73" s="365"/>
      <c r="D73" s="37">
        <v>28</v>
      </c>
      <c r="E73" s="37" t="s">
        <v>116</v>
      </c>
      <c r="F73" s="347" t="s">
        <v>140</v>
      </c>
      <c r="G73" s="367"/>
      <c r="H73" s="33"/>
      <c r="I73" s="270">
        <v>1265.4000000000001</v>
      </c>
      <c r="J73" s="374">
        <f>I73/'[3]통장내역(환율표)'!$D$145</f>
        <v>176.69821633142362</v>
      </c>
      <c r="K73" s="263">
        <f t="shared" si="8"/>
        <v>155334.51000000097</v>
      </c>
      <c r="L73" s="263">
        <f t="shared" si="8"/>
        <v>21693.266680450535</v>
      </c>
      <c r="M73" s="33"/>
      <c r="N73" s="45">
        <f t="shared" si="6"/>
        <v>21693.265884051638</v>
      </c>
    </row>
    <row r="74" spans="1:14" s="5" customFormat="1" ht="13.5" customHeight="1">
      <c r="A74" s="255">
        <v>45283</v>
      </c>
      <c r="B74" s="365" t="s">
        <v>1092</v>
      </c>
      <c r="C74" s="365"/>
      <c r="D74" s="37">
        <v>29</v>
      </c>
      <c r="E74" s="37" t="s">
        <v>107</v>
      </c>
      <c r="F74" s="347"/>
      <c r="G74" s="367"/>
      <c r="H74" s="33"/>
      <c r="I74" s="270">
        <v>482.1</v>
      </c>
      <c r="J74" s="374">
        <f>I74/'[3]통장내역(환율표)'!$D$145</f>
        <v>67.319590717069175</v>
      </c>
      <c r="K74" s="263">
        <f t="shared" si="8"/>
        <v>154852.41000000096</v>
      </c>
      <c r="L74" s="263">
        <f t="shared" si="8"/>
        <v>21625.947089733465</v>
      </c>
      <c r="M74" s="435"/>
      <c r="N74" s="45">
        <f t="shared" si="6"/>
        <v>21625.946293334568</v>
      </c>
    </row>
    <row r="75" spans="1:14" s="5" customFormat="1" ht="13.5" customHeight="1">
      <c r="A75" s="255">
        <v>45283</v>
      </c>
      <c r="B75" s="365" t="s">
        <v>1093</v>
      </c>
      <c r="C75" s="365"/>
      <c r="D75" s="37">
        <v>30</v>
      </c>
      <c r="E75" s="37" t="s">
        <v>146</v>
      </c>
      <c r="F75" s="347" t="s">
        <v>147</v>
      </c>
      <c r="G75" s="367"/>
      <c r="H75" s="33"/>
      <c r="I75" s="270">
        <v>98.8</v>
      </c>
      <c r="J75" s="374">
        <f>I75/'[3]통장내역(환율표)'!$D$145</f>
        <v>13.796257130982024</v>
      </c>
      <c r="K75" s="263">
        <f t="shared" si="8"/>
        <v>154753.61000000098</v>
      </c>
      <c r="L75" s="263">
        <f t="shared" si="8"/>
        <v>21612.150832602481</v>
      </c>
      <c r="M75" s="435"/>
      <c r="N75" s="45">
        <f t="shared" si="6"/>
        <v>21612.150036203584</v>
      </c>
    </row>
    <row r="76" spans="1:14" s="5" customFormat="1" ht="13.5" customHeight="1">
      <c r="A76" s="255">
        <v>45283</v>
      </c>
      <c r="B76" s="313" t="s">
        <v>250</v>
      </c>
      <c r="C76" s="365"/>
      <c r="D76" s="37">
        <v>31</v>
      </c>
      <c r="E76" s="37" t="s">
        <v>107</v>
      </c>
      <c r="F76" s="347"/>
      <c r="G76" s="367"/>
      <c r="H76" s="33"/>
      <c r="I76" s="270">
        <v>3.6</v>
      </c>
      <c r="J76" s="374">
        <f>I76/'[3]통장내역(환율표)'!$D$145</f>
        <v>0.50269762825440578</v>
      </c>
      <c r="K76" s="263">
        <f t="shared" si="8"/>
        <v>154750.01000000097</v>
      </c>
      <c r="L76" s="263">
        <f t="shared" si="8"/>
        <v>21611.648134974228</v>
      </c>
      <c r="M76" s="435"/>
      <c r="N76" s="45">
        <f t="shared" si="6"/>
        <v>21611.647338575331</v>
      </c>
    </row>
    <row r="77" spans="1:14" s="5" customFormat="1" ht="13.5" customHeight="1">
      <c r="A77" s="255">
        <v>45283</v>
      </c>
      <c r="B77" s="365" t="s">
        <v>1094</v>
      </c>
      <c r="C77" s="365"/>
      <c r="D77" s="37">
        <v>32</v>
      </c>
      <c r="E77" s="37" t="s">
        <v>146</v>
      </c>
      <c r="F77" s="347" t="s">
        <v>147</v>
      </c>
      <c r="G77" s="367"/>
      <c r="H77" s="33"/>
      <c r="I77" s="270">
        <v>7255.02</v>
      </c>
      <c r="J77" s="374">
        <f>I77/'[3]통장내역(환율표)'!$D$145</f>
        <v>1013.0781519272997</v>
      </c>
      <c r="K77" s="263">
        <f t="shared" si="8"/>
        <v>147494.99000000098</v>
      </c>
      <c r="L77" s="263">
        <f t="shared" si="8"/>
        <v>20598.569983046928</v>
      </c>
      <c r="M77" s="33"/>
      <c r="N77" s="45">
        <f t="shared" si="6"/>
        <v>20598.56918664803</v>
      </c>
    </row>
    <row r="78" spans="1:14" s="5" customFormat="1" ht="13.5" customHeight="1">
      <c r="A78" s="255">
        <v>45283</v>
      </c>
      <c r="B78" s="365" t="s">
        <v>1015</v>
      </c>
      <c r="C78" s="365"/>
      <c r="D78" s="37">
        <v>33</v>
      </c>
      <c r="E78" s="37" t="s">
        <v>125</v>
      </c>
      <c r="F78" s="347" t="s">
        <v>145</v>
      </c>
      <c r="G78" s="367"/>
      <c r="H78" s="33"/>
      <c r="I78" s="270">
        <v>1070.4000000000001</v>
      </c>
      <c r="J78" s="374">
        <f>I78/'[3]통장내역(환율표)'!$D$145</f>
        <v>149.4687614676433</v>
      </c>
      <c r="K78" s="263">
        <f t="shared" si="8"/>
        <v>146424.59000000099</v>
      </c>
      <c r="L78" s="263">
        <f t="shared" si="8"/>
        <v>20449.101221579283</v>
      </c>
      <c r="M78" s="435"/>
      <c r="N78" s="45">
        <f t="shared" si="6"/>
        <v>20449.100425180386</v>
      </c>
    </row>
    <row r="79" spans="1:14" s="5" customFormat="1" ht="13.5" customHeight="1">
      <c r="A79" s="255">
        <v>45283</v>
      </c>
      <c r="B79" s="365" t="s">
        <v>1095</v>
      </c>
      <c r="C79" s="365"/>
      <c r="D79" s="37">
        <v>34</v>
      </c>
      <c r="E79" s="37" t="s">
        <v>146</v>
      </c>
      <c r="F79" s="347" t="s">
        <v>147</v>
      </c>
      <c r="G79" s="367"/>
      <c r="H79" s="33"/>
      <c r="I79" s="270">
        <v>1152.82</v>
      </c>
      <c r="J79" s="374">
        <f>I79/'[3]통장내역(환율표)'!$D$145</f>
        <v>160.97774439006778</v>
      </c>
      <c r="K79" s="263">
        <f t="shared" si="8"/>
        <v>145271.77000000098</v>
      </c>
      <c r="L79" s="263">
        <f t="shared" si="8"/>
        <v>20288.123477189216</v>
      </c>
      <c r="M79" s="435"/>
      <c r="N79" s="45">
        <f t="shared" si="6"/>
        <v>20288.122680790319</v>
      </c>
    </row>
    <row r="80" spans="1:14" s="5" customFormat="1" ht="13.5" customHeight="1">
      <c r="A80" s="255">
        <v>45283</v>
      </c>
      <c r="B80" s="313" t="s">
        <v>250</v>
      </c>
      <c r="C80" s="365"/>
      <c r="D80" s="37">
        <v>35</v>
      </c>
      <c r="E80" s="37" t="s">
        <v>107</v>
      </c>
      <c r="F80" s="347"/>
      <c r="G80" s="367"/>
      <c r="H80" s="33"/>
      <c r="I80" s="270">
        <v>3.6</v>
      </c>
      <c r="J80" s="374">
        <f>I80/'[3]통장내역(환율표)'!$D$145</f>
        <v>0.50269762825440578</v>
      </c>
      <c r="K80" s="263">
        <f t="shared" si="8"/>
        <v>145268.17000000097</v>
      </c>
      <c r="L80" s="263">
        <f t="shared" si="8"/>
        <v>20287.620779560963</v>
      </c>
      <c r="M80" s="435"/>
      <c r="N80" s="45">
        <f t="shared" si="6"/>
        <v>20287.619983162065</v>
      </c>
    </row>
    <row r="81" spans="1:14" s="5" customFormat="1" ht="13.5" customHeight="1">
      <c r="A81" s="255">
        <v>45283</v>
      </c>
      <c r="B81" s="365" t="s">
        <v>1096</v>
      </c>
      <c r="C81" s="365"/>
      <c r="D81" s="37">
        <v>36</v>
      </c>
      <c r="E81" s="37" t="s">
        <v>146</v>
      </c>
      <c r="F81" s="347" t="s">
        <v>147</v>
      </c>
      <c r="G81" s="367"/>
      <c r="H81" s="33"/>
      <c r="I81" s="270">
        <v>15817.46</v>
      </c>
      <c r="J81" s="374">
        <f>I81/'[3]통장내역(환율표)'!$D$145</f>
        <v>2208.7221186135921</v>
      </c>
      <c r="K81" s="263">
        <f t="shared" si="8"/>
        <v>129450.71000000098</v>
      </c>
      <c r="L81" s="263">
        <f t="shared" si="8"/>
        <v>18078.898660947372</v>
      </c>
      <c r="M81" s="435"/>
      <c r="N81" s="45">
        <f t="shared" si="6"/>
        <v>18078.897864548475</v>
      </c>
    </row>
    <row r="82" spans="1:14" s="5" customFormat="1" ht="13.5" customHeight="1">
      <c r="A82" s="255">
        <v>45283</v>
      </c>
      <c r="B82" s="365" t="s">
        <v>807</v>
      </c>
      <c r="C82" s="365"/>
      <c r="D82" s="37">
        <v>37</v>
      </c>
      <c r="E82" s="37" t="s">
        <v>125</v>
      </c>
      <c r="F82" s="347" t="s">
        <v>145</v>
      </c>
      <c r="G82" s="367"/>
      <c r="H82" s="33"/>
      <c r="I82" s="557">
        <v>1742</v>
      </c>
      <c r="J82" s="374">
        <f>I82/'[3]통장내역(환율표)'!$D$145</f>
        <v>243.2497967831041</v>
      </c>
      <c r="K82" s="263">
        <f t="shared" si="8"/>
        <v>127708.71000000098</v>
      </c>
      <c r="L82" s="263">
        <f t="shared" si="8"/>
        <v>17835.648864164268</v>
      </c>
      <c r="M82" s="435"/>
      <c r="N82" s="45">
        <f t="shared" si="6"/>
        <v>17835.648067765371</v>
      </c>
    </row>
    <row r="83" spans="1:14" s="5" customFormat="1" ht="13.5" customHeight="1">
      <c r="A83" s="255">
        <v>45283</v>
      </c>
      <c r="B83" s="365" t="s">
        <v>1097</v>
      </c>
      <c r="C83" s="365"/>
      <c r="D83" s="37">
        <v>38</v>
      </c>
      <c r="E83" s="37" t="s">
        <v>116</v>
      </c>
      <c r="F83" s="347" t="s">
        <v>140</v>
      </c>
      <c r="G83" s="367"/>
      <c r="H83" s="33"/>
      <c r="I83" s="557">
        <v>198</v>
      </c>
      <c r="J83" s="374">
        <f>I83/'[3]통장내역(환율표)'!$D$145</f>
        <v>27.648369553992314</v>
      </c>
      <c r="K83" s="263">
        <f t="shared" si="8"/>
        <v>127510.71000000098</v>
      </c>
      <c r="L83" s="263">
        <f t="shared" si="8"/>
        <v>17808.000494610274</v>
      </c>
      <c r="M83" s="435"/>
      <c r="N83" s="45">
        <f t="shared" si="6"/>
        <v>17807.999698211377</v>
      </c>
    </row>
    <row r="84" spans="1:14" s="5" customFormat="1" ht="13.5" customHeight="1">
      <c r="A84" s="255">
        <v>45283</v>
      </c>
      <c r="B84" s="313" t="s">
        <v>250</v>
      </c>
      <c r="C84" s="365"/>
      <c r="D84" s="37">
        <v>39</v>
      </c>
      <c r="E84" s="37" t="s">
        <v>107</v>
      </c>
      <c r="F84" s="347"/>
      <c r="G84" s="367"/>
      <c r="H84" s="33"/>
      <c r="I84" s="557">
        <v>7.2</v>
      </c>
      <c r="J84" s="374">
        <f>I84/'[3]통장내역(환율표)'!$D$145</f>
        <v>1.0053952565088116</v>
      </c>
      <c r="K84" s="263">
        <f t="shared" ref="K84:L99" si="9">K83+G84-I84</f>
        <v>127503.51000000098</v>
      </c>
      <c r="L84" s="263">
        <f t="shared" si="9"/>
        <v>17806.995099353764</v>
      </c>
      <c r="M84" s="435"/>
      <c r="N84" s="45">
        <f t="shared" si="6"/>
        <v>17806.994302954867</v>
      </c>
    </row>
    <row r="85" spans="1:14" s="5" customFormat="1" ht="13.5" customHeight="1">
      <c r="A85" s="255">
        <v>45283</v>
      </c>
      <c r="B85" s="365" t="s">
        <v>1098</v>
      </c>
      <c r="C85" s="365"/>
      <c r="D85" s="37">
        <v>40</v>
      </c>
      <c r="E85" s="37" t="s">
        <v>146</v>
      </c>
      <c r="F85" s="347" t="s">
        <v>147</v>
      </c>
      <c r="G85" s="367"/>
      <c r="H85" s="33"/>
      <c r="I85" s="557">
        <v>17391.150000000001</v>
      </c>
      <c r="J85" s="374">
        <f>I85/'[3]통장내역(환율표)'!$D$145</f>
        <v>2428.4694048935025</v>
      </c>
      <c r="K85" s="263">
        <f t="shared" si="9"/>
        <v>110112.36000000098</v>
      </c>
      <c r="L85" s="263">
        <f t="shared" si="9"/>
        <v>15378.525694460262</v>
      </c>
      <c r="M85" s="33"/>
      <c r="N85" s="45">
        <f t="shared" si="6"/>
        <v>15378.524898061365</v>
      </c>
    </row>
    <row r="86" spans="1:14" s="5" customFormat="1" ht="13.5" customHeight="1">
      <c r="A86" s="255">
        <v>45283</v>
      </c>
      <c r="B86" s="365" t="s">
        <v>1099</v>
      </c>
      <c r="C86" s="365"/>
      <c r="D86" s="37">
        <v>41</v>
      </c>
      <c r="E86" s="37" t="s">
        <v>107</v>
      </c>
      <c r="F86" s="347"/>
      <c r="G86" s="367"/>
      <c r="H86" s="33"/>
      <c r="I86" s="558">
        <v>2162.65</v>
      </c>
      <c r="J86" s="374">
        <f>I86/'[3]통장내역(환율표)'!$D$145</f>
        <v>301.9886182623307</v>
      </c>
      <c r="K86" s="263">
        <f t="shared" si="9"/>
        <v>107949.71000000098</v>
      </c>
      <c r="L86" s="263">
        <f t="shared" si="9"/>
        <v>15076.537076197932</v>
      </c>
      <c r="M86" s="435"/>
      <c r="N86" s="45">
        <f t="shared" si="6"/>
        <v>15076.536279799035</v>
      </c>
    </row>
    <row r="87" spans="1:14" s="5" customFormat="1" ht="13.5" customHeight="1">
      <c r="A87" s="255">
        <v>45283</v>
      </c>
      <c r="B87" s="365" t="s">
        <v>1100</v>
      </c>
      <c r="C87" s="365"/>
      <c r="D87" s="37">
        <v>42</v>
      </c>
      <c r="E87" s="37" t="s">
        <v>116</v>
      </c>
      <c r="F87" s="347" t="s">
        <v>140</v>
      </c>
      <c r="G87" s="367"/>
      <c r="H87" s="33"/>
      <c r="I87" s="557">
        <v>394</v>
      </c>
      <c r="J87" s="374">
        <f>I87/'[3]통장내역(환율표)'!$D$145</f>
        <v>55.017462647843296</v>
      </c>
      <c r="K87" s="263">
        <f t="shared" si="9"/>
        <v>107555.71000000098</v>
      </c>
      <c r="L87" s="263">
        <f t="shared" si="9"/>
        <v>15021.519613550088</v>
      </c>
      <c r="M87" s="435"/>
      <c r="N87" s="45">
        <f t="shared" si="6"/>
        <v>15021.518817151191</v>
      </c>
    </row>
    <row r="88" spans="1:14" s="5" customFormat="1" ht="13.5" customHeight="1">
      <c r="A88" s="255">
        <v>45283</v>
      </c>
      <c r="B88" s="365" t="s">
        <v>854</v>
      </c>
      <c r="C88" s="365"/>
      <c r="D88" s="37">
        <v>43</v>
      </c>
      <c r="E88" s="37" t="s">
        <v>116</v>
      </c>
      <c r="F88" s="347" t="s">
        <v>140</v>
      </c>
      <c r="G88" s="367"/>
      <c r="H88" s="33"/>
      <c r="I88" s="557">
        <v>499</v>
      </c>
      <c r="J88" s="374">
        <f>I88/'[3]통장내역(환율표)'!$D$145</f>
        <v>69.679476805263462</v>
      </c>
      <c r="K88" s="263">
        <f t="shared" si="9"/>
        <v>107056.71000000098</v>
      </c>
      <c r="L88" s="263">
        <f t="shared" si="9"/>
        <v>14951.840136744824</v>
      </c>
      <c r="M88" s="435"/>
      <c r="N88" s="45">
        <f t="shared" si="6"/>
        <v>14951.839340345927</v>
      </c>
    </row>
    <row r="89" spans="1:14" s="5" customFormat="1" ht="13.5" customHeight="1">
      <c r="A89" s="255">
        <v>45283</v>
      </c>
      <c r="B89" s="365" t="s">
        <v>845</v>
      </c>
      <c r="C89" s="365"/>
      <c r="D89" s="37">
        <v>44</v>
      </c>
      <c r="E89" s="37" t="s">
        <v>125</v>
      </c>
      <c r="F89" s="347" t="s">
        <v>145</v>
      </c>
      <c r="G89" s="367"/>
      <c r="H89" s="33"/>
      <c r="I89" s="557">
        <v>2490</v>
      </c>
      <c r="J89" s="374">
        <f>I89/'[3]통장내역(환율표)'!$D$145</f>
        <v>347.69919287596394</v>
      </c>
      <c r="K89" s="263">
        <f t="shared" si="9"/>
        <v>104566.71000000098</v>
      </c>
      <c r="L89" s="263">
        <f t="shared" si="9"/>
        <v>14604.140943868861</v>
      </c>
      <c r="M89" s="435"/>
      <c r="N89" s="45">
        <f t="shared" si="6"/>
        <v>14604.140147469963</v>
      </c>
    </row>
    <row r="90" spans="1:14" s="5" customFormat="1" ht="13.5" customHeight="1">
      <c r="A90" s="255">
        <v>45283</v>
      </c>
      <c r="B90" s="365" t="s">
        <v>844</v>
      </c>
      <c r="C90" s="365"/>
      <c r="D90" s="37">
        <v>45</v>
      </c>
      <c r="E90" s="37" t="s">
        <v>146</v>
      </c>
      <c r="F90" s="347" t="s">
        <v>147</v>
      </c>
      <c r="G90" s="367"/>
      <c r="H90" s="33"/>
      <c r="I90" s="557">
        <v>867.06</v>
      </c>
      <c r="J90" s="374">
        <f>I90/'[3]통장내역(환율표)'!$D$145</f>
        <v>121.07472376507361</v>
      </c>
      <c r="K90" s="263">
        <f t="shared" si="9"/>
        <v>103699.65000000098</v>
      </c>
      <c r="L90" s="263">
        <f t="shared" si="9"/>
        <v>14483.066220103787</v>
      </c>
      <c r="M90" s="33"/>
      <c r="N90" s="45">
        <f t="shared" si="6"/>
        <v>14483.065423704889</v>
      </c>
    </row>
    <row r="91" spans="1:14" s="5" customFormat="1" ht="13.5" customHeight="1">
      <c r="A91" s="255">
        <v>45283</v>
      </c>
      <c r="B91" s="313" t="s">
        <v>250</v>
      </c>
      <c r="C91" s="365"/>
      <c r="D91" s="37">
        <v>46</v>
      </c>
      <c r="E91" s="37" t="s">
        <v>107</v>
      </c>
      <c r="F91" s="347"/>
      <c r="G91" s="367"/>
      <c r="H91" s="33"/>
      <c r="I91" s="557">
        <v>7.2</v>
      </c>
      <c r="J91" s="374">
        <f>I91/'[3]통장내역(환율표)'!$D$145</f>
        <v>1.0053952565088116</v>
      </c>
      <c r="K91" s="263">
        <f t="shared" si="9"/>
        <v>103692.45000000099</v>
      </c>
      <c r="L91" s="263">
        <f t="shared" si="9"/>
        <v>14482.060824847278</v>
      </c>
      <c r="M91" s="33"/>
      <c r="N91" s="45">
        <f t="shared" si="6"/>
        <v>14482.060028448381</v>
      </c>
    </row>
    <row r="92" spans="1:14" s="5" customFormat="1" ht="13.5" customHeight="1">
      <c r="A92" s="559">
        <v>45286</v>
      </c>
      <c r="B92" s="560" t="s">
        <v>1101</v>
      </c>
      <c r="C92" s="560"/>
      <c r="D92" s="561">
        <v>46</v>
      </c>
      <c r="E92" s="561" t="s">
        <v>107</v>
      </c>
      <c r="F92" s="562"/>
      <c r="G92" s="563"/>
      <c r="H92" s="564"/>
      <c r="I92" s="545">
        <v>50000</v>
      </c>
      <c r="J92" s="565">
        <f>I92/'[3]통장내역(환율표)'!$D$145</f>
        <v>6981.9115035334125</v>
      </c>
      <c r="K92" s="545">
        <f t="shared" si="9"/>
        <v>53692.450000000987</v>
      </c>
      <c r="L92" s="545">
        <f t="shared" si="9"/>
        <v>7500.1493213138656</v>
      </c>
      <c r="M92" s="564"/>
      <c r="N92" s="45">
        <f t="shared" si="6"/>
        <v>7500.1485249149682</v>
      </c>
    </row>
    <row r="93" spans="1:14" s="5" customFormat="1" ht="13.5" customHeight="1">
      <c r="A93" s="559">
        <v>45286</v>
      </c>
      <c r="B93" s="566" t="s">
        <v>250</v>
      </c>
      <c r="C93" s="560"/>
      <c r="D93" s="561">
        <v>46</v>
      </c>
      <c r="E93" s="561" t="s">
        <v>107</v>
      </c>
      <c r="F93" s="562"/>
      <c r="G93" s="563"/>
      <c r="H93" s="564"/>
      <c r="I93" s="545">
        <v>7.2</v>
      </c>
      <c r="J93" s="374">
        <f>I93/'[3]통장내역(환율표)'!$D$145</f>
        <v>1.0053952565088116</v>
      </c>
      <c r="K93" s="545">
        <f t="shared" si="9"/>
        <v>53685.25000000099</v>
      </c>
      <c r="L93" s="545">
        <f t="shared" si="9"/>
        <v>7499.143926057357</v>
      </c>
      <c r="M93" s="564"/>
      <c r="N93" s="45">
        <f t="shared" si="6"/>
        <v>7499.1431296584597</v>
      </c>
    </row>
    <row r="94" spans="1:14" s="5" customFormat="1" ht="13.5" customHeight="1">
      <c r="A94" s="559">
        <v>45286</v>
      </c>
      <c r="B94" s="560" t="s">
        <v>1102</v>
      </c>
      <c r="C94" s="560"/>
      <c r="D94" s="561">
        <v>46</v>
      </c>
      <c r="E94" s="561" t="s">
        <v>107</v>
      </c>
      <c r="F94" s="562"/>
      <c r="G94" s="563">
        <v>50000</v>
      </c>
      <c r="H94" s="565">
        <f>G94/'[3]통장내역(환율표)'!$D$145</f>
        <v>6981.9115035334125</v>
      </c>
      <c r="I94" s="545"/>
      <c r="J94" s="565">
        <f>I94/'[3]통장내역(환율표)'!$D$145</f>
        <v>0</v>
      </c>
      <c r="K94" s="545">
        <f t="shared" si="9"/>
        <v>103685.25000000099</v>
      </c>
      <c r="L94" s="545">
        <f t="shared" si="9"/>
        <v>14481.05542959077</v>
      </c>
      <c r="M94" s="564"/>
      <c r="N94" s="45">
        <f t="shared" si="6"/>
        <v>14481.054633191872</v>
      </c>
    </row>
    <row r="95" spans="1:14" s="5" customFormat="1" ht="13.5" customHeight="1">
      <c r="A95" s="255">
        <v>45287</v>
      </c>
      <c r="B95" s="365" t="s">
        <v>1101</v>
      </c>
      <c r="C95" s="365"/>
      <c r="D95" s="37">
        <v>47</v>
      </c>
      <c r="E95" s="37" t="s">
        <v>107</v>
      </c>
      <c r="F95" s="347"/>
      <c r="G95" s="367"/>
      <c r="H95" s="33"/>
      <c r="I95" s="270">
        <v>2490</v>
      </c>
      <c r="J95" s="374">
        <f>I95/'[3]통장내역(환율표)'!$D$145</f>
        <v>347.69919287596394</v>
      </c>
      <c r="K95" s="263">
        <f t="shared" si="9"/>
        <v>101195.25000000099</v>
      </c>
      <c r="L95" s="263">
        <f t="shared" si="9"/>
        <v>14133.356236714806</v>
      </c>
      <c r="M95" s="33"/>
      <c r="N95" s="45">
        <f t="shared" si="6"/>
        <v>14133.355440315909</v>
      </c>
    </row>
    <row r="96" spans="1:14" s="5" customFormat="1" ht="13.5" customHeight="1">
      <c r="A96" s="255">
        <v>45287</v>
      </c>
      <c r="B96" s="313" t="s">
        <v>250</v>
      </c>
      <c r="C96" s="365"/>
      <c r="D96" s="37">
        <v>48</v>
      </c>
      <c r="E96" s="37" t="s">
        <v>107</v>
      </c>
      <c r="F96" s="347"/>
      <c r="G96" s="367"/>
      <c r="H96" s="33"/>
      <c r="I96" s="270">
        <v>3.6</v>
      </c>
      <c r="J96" s="374">
        <f>I96/'[3]통장내역(환율표)'!$D$145</f>
        <v>0.50269762825440578</v>
      </c>
      <c r="K96" s="263">
        <f t="shared" si="9"/>
        <v>101191.65000000098</v>
      </c>
      <c r="L96" s="263">
        <f t="shared" si="9"/>
        <v>14132.853539086551</v>
      </c>
      <c r="M96" s="33"/>
      <c r="N96" s="45">
        <f t="shared" si="6"/>
        <v>14132.852742687654</v>
      </c>
    </row>
    <row r="97" spans="1:15" s="5" customFormat="1" ht="13.5" customHeight="1">
      <c r="A97" s="255">
        <v>45287</v>
      </c>
      <c r="B97" s="313" t="s">
        <v>1103</v>
      </c>
      <c r="C97" s="365"/>
      <c r="D97" s="37">
        <v>49</v>
      </c>
      <c r="E97" s="37" t="s">
        <v>107</v>
      </c>
      <c r="F97" s="347"/>
      <c r="G97" s="367"/>
      <c r="H97" s="33"/>
      <c r="I97" s="270">
        <v>1112</v>
      </c>
      <c r="J97" s="374">
        <f>I97/'[3]통장내역(환율표)'!$D$145</f>
        <v>155.27771183858309</v>
      </c>
      <c r="K97" s="263">
        <f t="shared" si="9"/>
        <v>100079.65000000098</v>
      </c>
      <c r="L97" s="263">
        <f t="shared" si="9"/>
        <v>13977.575827247967</v>
      </c>
      <c r="M97" s="33"/>
      <c r="N97" s="45">
        <f t="shared" si="6"/>
        <v>13977.57503084907</v>
      </c>
    </row>
    <row r="98" spans="1:15" s="5" customFormat="1" ht="13.5" customHeight="1">
      <c r="A98" s="255">
        <v>45287</v>
      </c>
      <c r="B98" s="313" t="s">
        <v>250</v>
      </c>
      <c r="C98" s="365"/>
      <c r="D98" s="37">
        <v>50</v>
      </c>
      <c r="E98" s="37" t="s">
        <v>107</v>
      </c>
      <c r="F98" s="347"/>
      <c r="G98" s="367"/>
      <c r="H98" s="33"/>
      <c r="I98" s="270">
        <v>3.6</v>
      </c>
      <c r="J98" s="374">
        <f>I98/'[3]통장내역(환율표)'!$D$145</f>
        <v>0.50269762825440578</v>
      </c>
      <c r="K98" s="263">
        <f t="shared" si="9"/>
        <v>100076.05000000098</v>
      </c>
      <c r="L98" s="263">
        <f t="shared" si="9"/>
        <v>13977.073129619712</v>
      </c>
      <c r="M98" s="33"/>
      <c r="N98" s="45">
        <f t="shared" si="6"/>
        <v>13977.072333220814</v>
      </c>
    </row>
    <row r="99" spans="1:15" s="5" customFormat="1" ht="13.5" customHeight="1">
      <c r="A99" s="559">
        <v>45288</v>
      </c>
      <c r="B99" s="566" t="s">
        <v>1101</v>
      </c>
      <c r="C99" s="560"/>
      <c r="D99" s="561">
        <v>50</v>
      </c>
      <c r="E99" s="561" t="s">
        <v>107</v>
      </c>
      <c r="F99" s="562"/>
      <c r="G99" s="563"/>
      <c r="H99" s="564"/>
      <c r="I99" s="567">
        <v>30116.66</v>
      </c>
      <c r="J99" s="374">
        <f>I99/'[3]통장내역(환율표)'!$D$145</f>
        <v>4205.4370980400918</v>
      </c>
      <c r="K99" s="545">
        <f t="shared" si="9"/>
        <v>69959.390000000974</v>
      </c>
      <c r="L99" s="545">
        <f t="shared" si="9"/>
        <v>9771.6360315796192</v>
      </c>
      <c r="M99" s="564"/>
      <c r="N99" s="45">
        <f t="shared" si="6"/>
        <v>9771.6352351807218</v>
      </c>
      <c r="O99"/>
    </row>
    <row r="100" spans="1:15" s="5" customFormat="1" ht="13.5" customHeight="1">
      <c r="A100" s="559">
        <v>45288</v>
      </c>
      <c r="B100" s="566" t="s">
        <v>250</v>
      </c>
      <c r="C100" s="560"/>
      <c r="D100" s="561">
        <v>50</v>
      </c>
      <c r="E100" s="561" t="s">
        <v>107</v>
      </c>
      <c r="F100" s="562"/>
      <c r="G100" s="563"/>
      <c r="H100" s="564"/>
      <c r="I100" s="567">
        <v>7.2</v>
      </c>
      <c r="J100" s="374">
        <f>I100/'[3]통장내역(환율표)'!$D$145</f>
        <v>1.0053952565088116</v>
      </c>
      <c r="K100" s="545">
        <f t="shared" ref="K100:L100" si="10">K99+G100-I100</f>
        <v>69952.190000000977</v>
      </c>
      <c r="L100" s="545">
        <f t="shared" si="10"/>
        <v>9770.6306363231106</v>
      </c>
      <c r="M100" s="564"/>
      <c r="N100" s="45">
        <f t="shared" si="6"/>
        <v>9770.6298399242132</v>
      </c>
      <c r="O100"/>
    </row>
    <row r="101" spans="1:15" s="5" customFormat="1" ht="13.5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s="5" customFormat="1" ht="13.5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s="5" customFormat="1" ht="13.5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5" s="5" customFormat="1" ht="13.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5" s="5" customFormat="1" ht="13.5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5" s="5" customFormat="1" ht="13.5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5" s="5" customFormat="1" ht="13.5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5" s="5" customFormat="1" ht="13.5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5" s="5" customFormat="1" ht="12.75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5" s="5" customFormat="1" ht="12.75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5" s="5" customFormat="1" ht="12.75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5" s="5" customFormat="1" ht="12.75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s="5" customFormat="1" ht="13.5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s="5" customFormat="1" ht="13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s="5" customFormat="1" ht="13.5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s="5" customFormat="1" ht="13.5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s="5" customFormat="1" ht="13.5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s="5" customFormat="1" ht="13.5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s="5" customFormat="1" ht="13.5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s="5" customFormat="1" ht="13.5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s="5" customFormat="1" ht="13.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s="5" customFormat="1" ht="13.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s="5" customFormat="1" ht="13.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s="5" customFormat="1" ht="13.5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s="5" customFormat="1" ht="13.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s="5" customFormat="1" ht="13.5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s="5" customFormat="1" ht="13.5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s="5" customFormat="1" ht="13.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20" s="5" customFormat="1" ht="13.5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20" s="5" customFormat="1" ht="13.5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20" s="5" customFormat="1" ht="13.5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20">
      <c r="O132" s="5"/>
      <c r="P132" s="5"/>
      <c r="Q132" s="5"/>
      <c r="R132" s="5"/>
      <c r="S132" s="5"/>
      <c r="T132" s="5"/>
    </row>
    <row r="133" spans="1:20">
      <c r="O133" s="5"/>
      <c r="P133" s="5"/>
      <c r="Q133" s="5"/>
      <c r="R133" s="5"/>
      <c r="S133" s="5"/>
      <c r="T133" s="5"/>
    </row>
    <row r="136" spans="1:20">
      <c r="B136" s="314"/>
      <c r="C136" s="314"/>
      <c r="D136" s="314"/>
      <c r="E136" s="314"/>
    </row>
    <row r="137" spans="1:20">
      <c r="B137" s="314"/>
    </row>
  </sheetData>
  <autoFilter ref="A18:N135" xr:uid="{00000000-0009-0000-0000-000011000000}">
    <filterColumn colId="1" showButton="0"/>
  </autoFilter>
  <mergeCells count="11">
    <mergeCell ref="I17:J17"/>
    <mergeCell ref="K17:L17"/>
    <mergeCell ref="M17:M18"/>
    <mergeCell ref="A12:B12"/>
    <mergeCell ref="G12:H12"/>
    <mergeCell ref="A17:A18"/>
    <mergeCell ref="B17:C18"/>
    <mergeCell ref="D17:D18"/>
    <mergeCell ref="E17:E18"/>
    <mergeCell ref="F17:F18"/>
    <mergeCell ref="G17:H17"/>
  </mergeCells>
  <phoneticPr fontId="3" type="noConversion"/>
  <pageMargins left="0.25" right="0.25" top="0.75" bottom="0.75" header="0.3" footer="0.3"/>
  <pageSetup paperSize="9" scale="34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ED0E-F839-45CE-B839-3CFDC48E0F33}">
  <sheetPr filterMode="1">
    <tabColor theme="4" tint="-0.499984740745262"/>
  </sheetPr>
  <dimension ref="A1:X111"/>
  <sheetViews>
    <sheetView showGridLines="0" zoomScaleNormal="100" workbookViewId="0">
      <pane ySplit="18" topLeftCell="A19" activePane="bottomLeft" state="frozen"/>
      <selection activeCell="C114" sqref="C114"/>
      <selection pane="bottomLeft" activeCell="D49" sqref="D49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5" style="489" customWidth="1"/>
    <col min="5" max="5" width="9.29687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4" width="12.296875" style="461" customWidth="1"/>
    <col min="15" max="15" width="9.796875" style="461" customWidth="1"/>
    <col min="16" max="16" width="9.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4" ht="4.5" customHeight="1">
      <c r="A1" s="449"/>
      <c r="B1" s="450"/>
      <c r="C1" s="451"/>
      <c r="D1" s="452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4" s="466" customFormat="1" ht="15" customHeight="1">
      <c r="A2" s="462"/>
      <c r="B2" s="463" t="s">
        <v>1072</v>
      </c>
      <c r="C2" s="464"/>
      <c r="D2" s="465"/>
      <c r="F2" s="467"/>
      <c r="G2" s="468" t="s">
        <v>1047</v>
      </c>
      <c r="H2" s="469" t="s">
        <v>1047</v>
      </c>
      <c r="I2" s="470"/>
      <c r="J2" s="470"/>
      <c r="K2" s="471"/>
      <c r="L2" s="470"/>
      <c r="M2" s="470"/>
      <c r="N2" s="472" t="s">
        <v>1048</v>
      </c>
      <c r="O2" s="473"/>
      <c r="Q2" s="470"/>
      <c r="R2" s="468"/>
      <c r="S2" s="474"/>
      <c r="T2" s="461"/>
      <c r="U2" s="574"/>
      <c r="V2" s="461"/>
      <c r="W2" s="461"/>
      <c r="X2" s="461"/>
    </row>
    <row r="3" spans="1:24" s="483" customFormat="1" ht="11.25" customHeight="1">
      <c r="A3" s="475"/>
      <c r="B3" s="476" t="s">
        <v>1083</v>
      </c>
      <c r="C3" s="477"/>
      <c r="D3" s="478"/>
      <c r="E3" s="477"/>
      <c r="F3" s="479"/>
      <c r="G3" s="480"/>
      <c r="H3" s="476" t="s">
        <v>1123</v>
      </c>
      <c r="I3" s="477"/>
      <c r="J3" s="478"/>
      <c r="K3" s="478"/>
      <c r="L3" s="479"/>
      <c r="M3" s="481"/>
      <c r="N3" s="472" t="s">
        <v>1073</v>
      </c>
      <c r="O3" s="473"/>
      <c r="P3" s="466"/>
      <c r="Q3" s="470"/>
      <c r="R3" s="468"/>
      <c r="S3" s="482"/>
      <c r="T3" s="461"/>
      <c r="U3" s="574"/>
      <c r="V3" s="461"/>
      <c r="W3" s="461"/>
      <c r="X3" s="461"/>
    </row>
    <row r="4" spans="1:24" ht="11.25" customHeight="1">
      <c r="A4" s="449"/>
      <c r="B4" s="484" t="s">
        <v>1</v>
      </c>
      <c r="C4" s="485" t="s">
        <v>2</v>
      </c>
      <c r="D4" s="486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N4" s="472" t="s">
        <v>1074</v>
      </c>
      <c r="O4" s="473"/>
      <c r="P4" s="466"/>
      <c r="Q4" s="470"/>
      <c r="R4" s="468"/>
      <c r="S4" s="491"/>
    </row>
    <row r="5" spans="1:24" ht="11.25" customHeight="1">
      <c r="A5" s="492">
        <v>51131050</v>
      </c>
      <c r="B5" s="493" t="s">
        <v>1052</v>
      </c>
      <c r="C5" s="494" t="s">
        <v>12</v>
      </c>
      <c r="D5" s="495"/>
      <c r="E5" s="496"/>
      <c r="F5" s="497">
        <f>ROUND(E5*1307.9,0)</f>
        <v>0</v>
      </c>
      <c r="G5" s="498"/>
      <c r="H5" s="499" t="s">
        <v>11</v>
      </c>
      <c r="I5" s="499" t="s">
        <v>12</v>
      </c>
      <c r="J5" s="653">
        <v>17063.77</v>
      </c>
      <c r="K5" s="653">
        <v>2388.1161612479691</v>
      </c>
      <c r="L5" s="497">
        <f>ROUND(K5*1312.1,0)</f>
        <v>3133447</v>
      </c>
      <c r="M5" s="644">
        <f t="shared" ref="M5:M13" si="0">L5+F5</f>
        <v>3133447</v>
      </c>
      <c r="N5" s="472" t="s">
        <v>1075</v>
      </c>
      <c r="O5" s="473"/>
      <c r="P5" s="466"/>
      <c r="Q5" s="470"/>
      <c r="R5" s="468"/>
      <c r="S5" s="501"/>
    </row>
    <row r="6" spans="1:24" ht="11.25" customHeight="1">
      <c r="A6" s="492">
        <v>51061030</v>
      </c>
      <c r="B6" s="493" t="s">
        <v>1053</v>
      </c>
      <c r="C6" s="494" t="s">
        <v>1054</v>
      </c>
      <c r="D6" s="495"/>
      <c r="E6" s="500"/>
      <c r="F6" s="497">
        <f t="shared" ref="F6:F12" si="1">ROUND(E6*1307.9,0)</f>
        <v>0</v>
      </c>
      <c r="G6" s="502"/>
      <c r="H6" s="499" t="s">
        <v>13</v>
      </c>
      <c r="I6" s="499" t="s">
        <v>14</v>
      </c>
      <c r="J6" s="500">
        <v>35512.449999999997</v>
      </c>
      <c r="K6" s="500">
        <v>4970.05</v>
      </c>
      <c r="L6" s="497">
        <f t="shared" ref="L6:L10" si="2">ROUND(K6*1312.1,0)</f>
        <v>6521203</v>
      </c>
      <c r="M6" s="644">
        <f t="shared" si="0"/>
        <v>6521203</v>
      </c>
      <c r="N6" s="472" t="s">
        <v>1076</v>
      </c>
      <c r="O6" s="473"/>
      <c r="P6" s="466"/>
      <c r="Q6" s="470"/>
      <c r="R6" s="468"/>
      <c r="S6" s="501"/>
    </row>
    <row r="7" spans="1:24" ht="11.25" customHeight="1">
      <c r="A7" s="492">
        <v>51201020</v>
      </c>
      <c r="B7" s="493" t="s">
        <v>15</v>
      </c>
      <c r="C7" s="494" t="s">
        <v>180</v>
      </c>
      <c r="D7" s="495"/>
      <c r="E7" s="496"/>
      <c r="F7" s="497">
        <f t="shared" si="1"/>
        <v>0</v>
      </c>
      <c r="G7" s="503"/>
      <c r="H7" s="499" t="s">
        <v>15</v>
      </c>
      <c r="I7" s="499" t="s">
        <v>1055</v>
      </c>
      <c r="J7" s="654">
        <v>20023</v>
      </c>
      <c r="K7" s="654">
        <v>2802.27</v>
      </c>
      <c r="L7" s="651">
        <f t="shared" si="2"/>
        <v>3676858</v>
      </c>
      <c r="M7" s="644">
        <f t="shared" si="0"/>
        <v>3676858</v>
      </c>
      <c r="N7" s="472" t="s">
        <v>1077</v>
      </c>
      <c r="O7" s="473"/>
      <c r="P7" s="466"/>
      <c r="Q7" s="470"/>
      <c r="R7" s="468"/>
      <c r="S7" s="501"/>
    </row>
    <row r="8" spans="1:24" ht="11.25" customHeight="1">
      <c r="A8" s="492">
        <v>51201030</v>
      </c>
      <c r="B8" s="493" t="s">
        <v>1056</v>
      </c>
      <c r="C8" s="494" t="s">
        <v>17</v>
      </c>
      <c r="D8" s="495">
        <v>14122.31</v>
      </c>
      <c r="E8" s="500">
        <v>1972.01</v>
      </c>
      <c r="F8" s="497">
        <f t="shared" si="1"/>
        <v>2579192</v>
      </c>
      <c r="G8" s="503"/>
      <c r="H8" s="499" t="s">
        <v>15</v>
      </c>
      <c r="I8" s="494" t="s">
        <v>17</v>
      </c>
      <c r="J8" s="650">
        <v>3377.69</v>
      </c>
      <c r="K8" s="650">
        <v>472.72</v>
      </c>
      <c r="L8" s="651">
        <f t="shared" si="2"/>
        <v>620256</v>
      </c>
      <c r="M8" s="644">
        <f t="shared" si="0"/>
        <v>3199448</v>
      </c>
      <c r="N8" s="472" t="s">
        <v>1078</v>
      </c>
      <c r="O8" s="473"/>
      <c r="P8" s="466"/>
      <c r="Q8" s="470"/>
      <c r="R8" s="468"/>
      <c r="S8" s="501"/>
    </row>
    <row r="9" spans="1:24" ht="11.25" customHeight="1">
      <c r="A9" s="492">
        <v>51071700</v>
      </c>
      <c r="B9" s="493" t="s">
        <v>19</v>
      </c>
      <c r="C9" s="494" t="s">
        <v>20</v>
      </c>
      <c r="D9" s="131"/>
      <c r="E9" s="500"/>
      <c r="F9" s="497">
        <f t="shared" si="1"/>
        <v>0</v>
      </c>
      <c r="G9" s="504"/>
      <c r="H9" s="499" t="s">
        <v>19</v>
      </c>
      <c r="I9" s="494" t="s">
        <v>20</v>
      </c>
      <c r="J9" s="500">
        <v>797.5</v>
      </c>
      <c r="K9" s="500">
        <v>111.61</v>
      </c>
      <c r="L9" s="497">
        <f t="shared" si="2"/>
        <v>146443</v>
      </c>
      <c r="M9" s="644">
        <f t="shared" si="0"/>
        <v>146443</v>
      </c>
      <c r="N9" s="472" t="s">
        <v>1079</v>
      </c>
      <c r="O9" s="473"/>
      <c r="P9" s="466"/>
      <c r="Q9" s="470"/>
      <c r="R9" s="468"/>
      <c r="S9" s="501"/>
    </row>
    <row r="10" spans="1:24" ht="11.25" customHeight="1">
      <c r="A10" s="492">
        <v>51321010</v>
      </c>
      <c r="B10" s="493" t="s">
        <v>21</v>
      </c>
      <c r="C10" s="494"/>
      <c r="D10" s="495">
        <v>55848.71</v>
      </c>
      <c r="E10" s="500">
        <v>7798.62</v>
      </c>
      <c r="F10" s="497">
        <f t="shared" si="1"/>
        <v>10199815</v>
      </c>
      <c r="G10" s="505"/>
      <c r="H10" s="499" t="s">
        <v>21</v>
      </c>
      <c r="I10" s="499"/>
      <c r="J10" s="500">
        <v>262513.69000000006</v>
      </c>
      <c r="K10" s="500">
        <v>36765.430128151012</v>
      </c>
      <c r="L10" s="497">
        <f t="shared" si="2"/>
        <v>48239921</v>
      </c>
      <c r="M10" s="644">
        <f t="shared" si="0"/>
        <v>58439736</v>
      </c>
      <c r="N10" s="472" t="s">
        <v>1080</v>
      </c>
      <c r="O10" s="473"/>
      <c r="P10" s="466"/>
      <c r="Q10" s="470"/>
      <c r="R10" s="468"/>
      <c r="S10" s="501"/>
    </row>
    <row r="11" spans="1:24" ht="11.25" customHeight="1">
      <c r="A11" s="492">
        <v>51031020</v>
      </c>
      <c r="B11" s="506" t="s">
        <v>1057</v>
      </c>
      <c r="C11" s="507" t="s">
        <v>1058</v>
      </c>
      <c r="D11" s="508"/>
      <c r="E11" s="508"/>
      <c r="F11" s="509">
        <f t="shared" si="1"/>
        <v>0</v>
      </c>
      <c r="G11" s="510">
        <f>G13/G12</f>
        <v>1311.3835792187585</v>
      </c>
      <c r="H11" s="506" t="s">
        <v>1057</v>
      </c>
      <c r="I11" s="507" t="s">
        <v>1058</v>
      </c>
      <c r="J11" s="511"/>
      <c r="K11" s="511"/>
      <c r="L11" s="509">
        <f t="shared" ref="L11:L12" si="3">ROUND(K11*1307.9,0)</f>
        <v>0</v>
      </c>
      <c r="M11" s="644">
        <f t="shared" si="0"/>
        <v>0</v>
      </c>
      <c r="N11" s="472" t="s">
        <v>1081</v>
      </c>
      <c r="O11" s="473"/>
      <c r="P11" s="466"/>
      <c r="Q11" s="470"/>
      <c r="R11" s="468"/>
      <c r="S11" s="501"/>
    </row>
    <row r="12" spans="1:24" ht="11.25" customHeight="1">
      <c r="A12" s="492">
        <v>52981010</v>
      </c>
      <c r="B12" s="499" t="s">
        <v>1059</v>
      </c>
      <c r="C12" s="499" t="s">
        <v>1060</v>
      </c>
      <c r="D12" s="495"/>
      <c r="E12" s="500"/>
      <c r="F12" s="497">
        <f t="shared" si="1"/>
        <v>0</v>
      </c>
      <c r="G12" s="512">
        <f>E13+K13+Q13</f>
        <v>57280.826289398981</v>
      </c>
      <c r="H12" s="499" t="s">
        <v>1059</v>
      </c>
      <c r="I12" s="499" t="s">
        <v>1060</v>
      </c>
      <c r="J12" s="495"/>
      <c r="K12" s="500"/>
      <c r="L12" s="497">
        <f t="shared" si="3"/>
        <v>0</v>
      </c>
      <c r="M12" s="644">
        <f t="shared" si="0"/>
        <v>0</v>
      </c>
      <c r="N12" s="472" t="s">
        <v>1082</v>
      </c>
      <c r="O12" s="473"/>
      <c r="P12" s="466"/>
      <c r="Q12" s="470"/>
      <c r="R12" s="468"/>
      <c r="S12" s="501"/>
    </row>
    <row r="13" spans="1:24" ht="11.25" customHeight="1">
      <c r="A13" s="449"/>
      <c r="B13" s="513" t="s">
        <v>22</v>
      </c>
      <c r="C13" s="514"/>
      <c r="D13" s="515">
        <f>SUM(D5:D11)-D12</f>
        <v>69971.02</v>
      </c>
      <c r="E13" s="516">
        <f>SUM(E5:E11)-E12</f>
        <v>9770.6299999999992</v>
      </c>
      <c r="F13" s="517">
        <f>SUM(F5:F11)-F12</f>
        <v>12779007</v>
      </c>
      <c r="G13" s="518">
        <f>F13+L13+R13</f>
        <v>75117135</v>
      </c>
      <c r="H13" s="513" t="s">
        <v>22</v>
      </c>
      <c r="I13" s="514"/>
      <c r="J13" s="515">
        <f>SUM(J5:J11)-J12</f>
        <v>339288.10000000009</v>
      </c>
      <c r="K13" s="516">
        <f>SUM(K5:K11)-K12</f>
        <v>47510.196289398984</v>
      </c>
      <c r="L13" s="517">
        <f>SUM(L5:L11)-L12</f>
        <v>62338128</v>
      </c>
      <c r="M13" s="644">
        <f t="shared" si="0"/>
        <v>75117135</v>
      </c>
      <c r="N13" s="643"/>
      <c r="O13" s="473"/>
      <c r="P13" s="466"/>
      <c r="Q13" s="470"/>
      <c r="R13" s="468"/>
      <c r="S13" s="501"/>
    </row>
    <row r="14" spans="1:24" ht="14.25" customHeight="1">
      <c r="A14" s="449"/>
      <c r="C14" s="520"/>
      <c r="D14" s="521"/>
      <c r="E14" s="522"/>
      <c r="F14" s="523"/>
      <c r="G14" s="524"/>
      <c r="I14" s="525"/>
      <c r="J14" s="648">
        <f>J13+D13</f>
        <v>409259.12000000011</v>
      </c>
      <c r="K14" s="648">
        <f>K13+E13</f>
        <v>57280.826289398981</v>
      </c>
      <c r="L14" s="649">
        <f t="shared" ref="L14" si="4">L13+F13</f>
        <v>75117135</v>
      </c>
      <c r="M14" s="525"/>
      <c r="N14" s="525"/>
      <c r="Q14" s="525"/>
    </row>
    <row r="15" spans="1:24" ht="18.75" customHeight="1" thickBot="1">
      <c r="A15" s="449"/>
      <c r="C15" s="520"/>
      <c r="D15" s="521"/>
      <c r="E15" s="522"/>
      <c r="F15" s="523"/>
      <c r="G15" s="524"/>
      <c r="I15" s="525"/>
      <c r="J15" s="526"/>
      <c r="K15" s="652">
        <f>SUBTOTAL(9,K18:K125)</f>
        <v>318362.39999999997</v>
      </c>
      <c r="L15" s="137"/>
      <c r="M15" s="652" t="e">
        <f>SUBTOTAL(9,M18:M125)</f>
        <v>#REF!</v>
      </c>
      <c r="N15" s="525"/>
      <c r="Q15" s="525"/>
    </row>
    <row r="16" spans="1:24" ht="11.25" customHeight="1">
      <c r="A16" s="449"/>
      <c r="B16" s="527" t="s">
        <v>24</v>
      </c>
      <c r="C16" s="528" t="s">
        <v>25</v>
      </c>
      <c r="D16" s="529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8"/>
      <c r="R16" s="533" t="s">
        <v>1062</v>
      </c>
    </row>
    <row r="17" spans="1:19" ht="11.25" customHeight="1" thickBot="1">
      <c r="A17" s="449"/>
      <c r="B17" s="534" t="s">
        <v>1063</v>
      </c>
      <c r="C17" s="535" t="s">
        <v>1064</v>
      </c>
      <c r="D17" s="536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79" t="s">
        <v>32</v>
      </c>
      <c r="Q17" s="2080"/>
      <c r="R17" s="539" t="s">
        <v>1062</v>
      </c>
    </row>
    <row r="18" spans="1:19" ht="11.25" hidden="1" customHeight="1">
      <c r="B18" s="575">
        <v>45291</v>
      </c>
      <c r="C18" s="576"/>
      <c r="D18" s="577"/>
      <c r="E18" s="578"/>
      <c r="F18" s="579"/>
      <c r="G18" s="580"/>
      <c r="H18" s="618"/>
      <c r="I18" s="579"/>
      <c r="J18" s="580"/>
      <c r="K18" s="642"/>
      <c r="L18" s="605"/>
      <c r="M18" s="642"/>
      <c r="N18" s="611">
        <v>69952.19</v>
      </c>
      <c r="O18" s="612">
        <v>9770.6299999999992</v>
      </c>
      <c r="P18" s="607"/>
      <c r="Q18" s="578"/>
      <c r="R18" s="581"/>
      <c r="S18" s="645">
        <v>9770.6299999999992</v>
      </c>
    </row>
    <row r="19" spans="1:19" ht="11.25" hidden="1" customHeight="1">
      <c r="B19" s="620">
        <v>45302</v>
      </c>
      <c r="C19" s="655" t="s">
        <v>823</v>
      </c>
      <c r="D19" s="621"/>
      <c r="E19" s="621">
        <v>1</v>
      </c>
      <c r="F19" s="621"/>
      <c r="G19" s="621"/>
      <c r="H19" s="622">
        <v>385173.72</v>
      </c>
      <c r="I19" s="623"/>
      <c r="J19" s="622">
        <v>53932</v>
      </c>
      <c r="K19" s="624"/>
      <c r="L19" s="625"/>
      <c r="M19" s="619"/>
      <c r="N19" s="627">
        <f t="shared" ref="N19:N50" si="5">N18+H19-K19</f>
        <v>455125.91</v>
      </c>
      <c r="O19" s="628">
        <f t="shared" ref="O19:O50" si="6">O18+J19-M19</f>
        <v>63702.63</v>
      </c>
      <c r="P19" s="629"/>
      <c r="Q19" s="630"/>
      <c r="R19" s="630"/>
      <c r="S19" s="525">
        <f>S18-M19</f>
        <v>9770.6299999999992</v>
      </c>
    </row>
    <row r="20" spans="1:19" ht="11.25" customHeight="1">
      <c r="B20" s="620">
        <v>45302</v>
      </c>
      <c r="C20" s="655" t="s">
        <v>250</v>
      </c>
      <c r="D20" s="621"/>
      <c r="E20" s="621">
        <v>1</v>
      </c>
      <c r="F20" s="621" t="s">
        <v>107</v>
      </c>
      <c r="G20" s="621"/>
      <c r="H20" s="626"/>
      <c r="I20" s="623"/>
      <c r="J20" s="626"/>
      <c r="K20" s="624"/>
      <c r="L20" s="625" t="e">
        <f>'통장내역(환율표)'!#REF!</f>
        <v>#REF!</v>
      </c>
      <c r="M20" s="617">
        <v>26</v>
      </c>
      <c r="N20" s="627">
        <f t="shared" si="5"/>
        <v>455125.91</v>
      </c>
      <c r="O20" s="628">
        <f t="shared" si="6"/>
        <v>63676.63</v>
      </c>
      <c r="P20" s="629" t="s">
        <v>1120</v>
      </c>
      <c r="Q20" s="630" t="s">
        <v>1121</v>
      </c>
      <c r="R20" s="630"/>
      <c r="S20" s="525"/>
    </row>
    <row r="21" spans="1:19" ht="11.25" customHeight="1">
      <c r="B21" s="568">
        <v>45303</v>
      </c>
      <c r="C21" s="827" t="s">
        <v>1104</v>
      </c>
      <c r="D21" s="569"/>
      <c r="E21" s="569">
        <v>2</v>
      </c>
      <c r="F21" s="569" t="s">
        <v>107</v>
      </c>
      <c r="G21" s="569"/>
      <c r="H21" s="571"/>
      <c r="I21" s="570"/>
      <c r="J21" s="572"/>
      <c r="K21" s="602">
        <v>49141.51</v>
      </c>
      <c r="L21" s="542" t="e">
        <f>'통장내역(환율표)'!#REF!</f>
        <v>#REF!</v>
      </c>
      <c r="M21" s="631" t="e">
        <f>K21/L21</f>
        <v>#REF!</v>
      </c>
      <c r="N21" s="613">
        <f t="shared" si="5"/>
        <v>405984.39999999997</v>
      </c>
      <c r="O21" s="614" t="e">
        <f t="shared" si="6"/>
        <v>#REF!</v>
      </c>
      <c r="P21" s="608" t="s">
        <v>1071</v>
      </c>
      <c r="Q21" s="543" t="s">
        <v>1119</v>
      </c>
      <c r="R21" s="543" t="s">
        <v>1105</v>
      </c>
      <c r="S21" s="525" t="e">
        <f>S19-M21</f>
        <v>#REF!</v>
      </c>
    </row>
    <row r="22" spans="1:19" ht="11.25" customHeight="1">
      <c r="B22" s="568">
        <v>45309</v>
      </c>
      <c r="C22" s="571" t="s">
        <v>1106</v>
      </c>
      <c r="D22" s="569"/>
      <c r="E22" s="569">
        <v>3</v>
      </c>
      <c r="F22" s="569" t="s">
        <v>107</v>
      </c>
      <c r="G22" s="569"/>
      <c r="H22" s="571"/>
      <c r="I22" s="570"/>
      <c r="J22" s="572"/>
      <c r="K22" s="602">
        <v>7.2</v>
      </c>
      <c r="L22" s="542" t="e">
        <f>'통장내역(환율표)'!#REF!</f>
        <v>#REF!</v>
      </c>
      <c r="M22" s="631" t="e">
        <f>K22/L22</f>
        <v>#REF!</v>
      </c>
      <c r="N22" s="613">
        <f t="shared" si="5"/>
        <v>405977.19999999995</v>
      </c>
      <c r="O22" s="614" t="e">
        <f t="shared" si="6"/>
        <v>#REF!</v>
      </c>
      <c r="P22" s="608" t="s">
        <v>1071</v>
      </c>
      <c r="Q22" s="543" t="s">
        <v>1119</v>
      </c>
      <c r="R22" s="543" t="s">
        <v>1126</v>
      </c>
      <c r="S22" s="525" t="e">
        <f t="shared" ref="S22:S25" si="7">S21-M22</f>
        <v>#REF!</v>
      </c>
    </row>
    <row r="23" spans="1:19" ht="11.25" hidden="1" customHeight="1">
      <c r="B23" s="568">
        <v>45312</v>
      </c>
      <c r="C23" s="571" t="s">
        <v>305</v>
      </c>
      <c r="D23" s="569"/>
      <c r="E23" s="569">
        <v>4</v>
      </c>
      <c r="F23" s="569" t="s">
        <v>105</v>
      </c>
      <c r="G23" s="569" t="s">
        <v>227</v>
      </c>
      <c r="H23" s="571"/>
      <c r="I23" s="570"/>
      <c r="J23" s="572"/>
      <c r="K23" s="596">
        <v>10500</v>
      </c>
      <c r="L23" s="542" t="e">
        <f>'통장내역(환율표)'!#REF!</f>
        <v>#REF!</v>
      </c>
      <c r="M23" s="631" t="e">
        <f>K23/L23</f>
        <v>#REF!</v>
      </c>
      <c r="N23" s="613">
        <f t="shared" si="5"/>
        <v>395477.19999999995</v>
      </c>
      <c r="O23" s="614" t="e">
        <f t="shared" si="6"/>
        <v>#REF!</v>
      </c>
      <c r="P23" s="608" t="s">
        <v>1071</v>
      </c>
      <c r="Q23" s="543" t="s">
        <v>1119</v>
      </c>
      <c r="R23" s="543"/>
      <c r="S23" s="525" t="e">
        <f t="shared" si="7"/>
        <v>#REF!</v>
      </c>
    </row>
    <row r="24" spans="1:19" ht="11.25" customHeight="1">
      <c r="B24" s="568">
        <v>45312</v>
      </c>
      <c r="C24" s="571" t="s">
        <v>1107</v>
      </c>
      <c r="D24" s="569"/>
      <c r="E24" s="569">
        <v>5</v>
      </c>
      <c r="F24" s="569" t="s">
        <v>107</v>
      </c>
      <c r="G24" s="569"/>
      <c r="H24" s="571"/>
      <c r="I24" s="570"/>
      <c r="J24" s="572"/>
      <c r="K24" s="596">
        <v>6000</v>
      </c>
      <c r="L24" s="542" t="e">
        <f>'통장내역(환율표)'!#REF!</f>
        <v>#REF!</v>
      </c>
      <c r="M24" s="631" t="e">
        <f>K24/L24</f>
        <v>#REF!</v>
      </c>
      <c r="N24" s="613">
        <f t="shared" si="5"/>
        <v>389477.19999999995</v>
      </c>
      <c r="O24" s="614" t="e">
        <f t="shared" si="6"/>
        <v>#REF!</v>
      </c>
      <c r="P24" s="608" t="s">
        <v>1071</v>
      </c>
      <c r="Q24" s="543" t="s">
        <v>1119</v>
      </c>
      <c r="R24" s="543"/>
      <c r="S24" s="525" t="e">
        <f t="shared" si="7"/>
        <v>#REF!</v>
      </c>
    </row>
    <row r="25" spans="1:19" ht="11.25" customHeight="1">
      <c r="B25" s="568">
        <v>45312</v>
      </c>
      <c r="C25" s="571" t="s">
        <v>1108</v>
      </c>
      <c r="D25" s="569"/>
      <c r="E25" s="569">
        <v>6</v>
      </c>
      <c r="F25" s="569" t="s">
        <v>107</v>
      </c>
      <c r="G25" s="569"/>
      <c r="H25" s="571"/>
      <c r="I25" s="570"/>
      <c r="J25" s="572"/>
      <c r="K25" s="597">
        <v>700</v>
      </c>
      <c r="L25" s="542" t="e">
        <f>'통장내역(환율표)'!#REF!</f>
        <v>#REF!</v>
      </c>
      <c r="M25" s="631" t="e">
        <f>K25/L25</f>
        <v>#REF!</v>
      </c>
      <c r="N25" s="613">
        <f t="shared" si="5"/>
        <v>388777.19999999995</v>
      </c>
      <c r="O25" s="614" t="e">
        <f t="shared" si="6"/>
        <v>#REF!</v>
      </c>
      <c r="P25" s="608" t="s">
        <v>1071</v>
      </c>
      <c r="Q25" s="543" t="s">
        <v>1119</v>
      </c>
      <c r="R25" s="543"/>
      <c r="S25" s="525" t="e">
        <f t="shared" si="7"/>
        <v>#REF!</v>
      </c>
    </row>
    <row r="26" spans="1:19" ht="11.25" hidden="1" customHeight="1">
      <c r="B26" s="620">
        <v>45312</v>
      </c>
      <c r="C26" s="632" t="s">
        <v>305</v>
      </c>
      <c r="D26" s="621"/>
      <c r="E26" s="621">
        <v>7</v>
      </c>
      <c r="F26" s="621" t="s">
        <v>105</v>
      </c>
      <c r="G26" s="621" t="s">
        <v>227</v>
      </c>
      <c r="H26" s="633"/>
      <c r="I26" s="634"/>
      <c r="J26" s="635"/>
      <c r="K26" s="636" t="e">
        <f>L26*M26</f>
        <v>#REF!</v>
      </c>
      <c r="L26" s="625" t="e">
        <f>'통장내역(환율표)'!#REF!</f>
        <v>#REF!</v>
      </c>
      <c r="M26" s="631">
        <v>505.8135681279507</v>
      </c>
      <c r="N26" s="627" t="e">
        <f t="shared" si="5"/>
        <v>#REF!</v>
      </c>
      <c r="O26" s="628" t="e">
        <f t="shared" si="6"/>
        <v>#REF!</v>
      </c>
      <c r="P26" s="629" t="s">
        <v>1071</v>
      </c>
      <c r="Q26" s="630" t="s">
        <v>1119</v>
      </c>
      <c r="R26" s="630"/>
      <c r="S26" s="525" t="e">
        <f t="shared" ref="S26" si="8">S25-M26</f>
        <v>#REF!</v>
      </c>
    </row>
    <row r="27" spans="1:19" ht="11.25" hidden="1" customHeight="1">
      <c r="B27" s="620">
        <v>45312</v>
      </c>
      <c r="C27" s="632" t="s">
        <v>305</v>
      </c>
      <c r="D27" s="621"/>
      <c r="E27" s="621">
        <v>7</v>
      </c>
      <c r="F27" s="621" t="s">
        <v>105</v>
      </c>
      <c r="G27" s="621" t="s">
        <v>227</v>
      </c>
      <c r="H27" s="633"/>
      <c r="I27" s="634"/>
      <c r="J27" s="635"/>
      <c r="K27" s="636" t="e">
        <f>7000-K26</f>
        <v>#REF!</v>
      </c>
      <c r="L27" s="625" t="e">
        <f>'통장내역(환율표)'!#REF!</f>
        <v>#REF!</v>
      </c>
      <c r="M27" s="617" t="e">
        <f t="shared" ref="M27:M58" si="9">K27/L27</f>
        <v>#REF!</v>
      </c>
      <c r="N27" s="627" t="e">
        <f t="shared" si="5"/>
        <v>#REF!</v>
      </c>
      <c r="O27" s="628" t="e">
        <f t="shared" si="6"/>
        <v>#REF!</v>
      </c>
      <c r="P27" s="629" t="s">
        <v>1120</v>
      </c>
      <c r="Q27" s="630" t="s">
        <v>1121</v>
      </c>
      <c r="R27" s="630"/>
      <c r="S27" s="525" t="e">
        <f>53906-M27</f>
        <v>#REF!</v>
      </c>
    </row>
    <row r="28" spans="1:19" ht="11.25" customHeight="1">
      <c r="B28" s="568">
        <v>45312</v>
      </c>
      <c r="C28" s="573" t="s">
        <v>1107</v>
      </c>
      <c r="D28" s="569"/>
      <c r="E28" s="569">
        <v>8</v>
      </c>
      <c r="F28" s="569" t="s">
        <v>107</v>
      </c>
      <c r="G28" s="569"/>
      <c r="H28" s="571"/>
      <c r="I28" s="570"/>
      <c r="J28" s="572"/>
      <c r="K28" s="597">
        <v>6000</v>
      </c>
      <c r="L28" s="542" t="e">
        <f>'통장내역(환율표)'!#REF!</f>
        <v>#REF!</v>
      </c>
      <c r="M28" s="617" t="e">
        <f t="shared" si="9"/>
        <v>#REF!</v>
      </c>
      <c r="N28" s="613" t="e">
        <f t="shared" si="5"/>
        <v>#REF!</v>
      </c>
      <c r="O28" s="614" t="e">
        <f t="shared" si="6"/>
        <v>#REF!</v>
      </c>
      <c r="P28" s="608" t="s">
        <v>1120</v>
      </c>
      <c r="Q28" s="543" t="s">
        <v>1121</v>
      </c>
      <c r="R28" s="543"/>
      <c r="S28" s="525" t="e">
        <f>S27-M28</f>
        <v>#REF!</v>
      </c>
    </row>
    <row r="29" spans="1:19" ht="11.25" customHeight="1">
      <c r="B29" s="568">
        <v>45312</v>
      </c>
      <c r="C29" s="573" t="s">
        <v>1108</v>
      </c>
      <c r="D29" s="569"/>
      <c r="E29" s="569">
        <v>9</v>
      </c>
      <c r="F29" s="569" t="s">
        <v>107</v>
      </c>
      <c r="G29" s="569"/>
      <c r="H29" s="571"/>
      <c r="I29" s="570"/>
      <c r="J29" s="572"/>
      <c r="K29" s="597">
        <v>370</v>
      </c>
      <c r="L29" s="542" t="e">
        <f>'통장내역(환율표)'!#REF!</f>
        <v>#REF!</v>
      </c>
      <c r="M29" s="617" t="e">
        <f t="shared" si="9"/>
        <v>#REF!</v>
      </c>
      <c r="N29" s="613" t="e">
        <f t="shared" si="5"/>
        <v>#REF!</v>
      </c>
      <c r="O29" s="614" t="e">
        <f t="shared" si="6"/>
        <v>#REF!</v>
      </c>
      <c r="P29" s="608" t="s">
        <v>1120</v>
      </c>
      <c r="Q29" s="543" t="s">
        <v>1121</v>
      </c>
      <c r="R29" s="543"/>
      <c r="S29" s="525" t="e">
        <f t="shared" ref="S29:S92" si="10">S28-M29</f>
        <v>#REF!</v>
      </c>
    </row>
    <row r="30" spans="1:19" ht="11.25" customHeight="1">
      <c r="B30" s="568">
        <v>45312</v>
      </c>
      <c r="C30" s="573" t="s">
        <v>445</v>
      </c>
      <c r="D30" s="569"/>
      <c r="E30" s="569">
        <v>10</v>
      </c>
      <c r="F30" s="569" t="s">
        <v>107</v>
      </c>
      <c r="G30" s="569"/>
      <c r="H30" s="571"/>
      <c r="I30" s="570"/>
      <c r="J30" s="572"/>
      <c r="K30" s="597">
        <v>7.2</v>
      </c>
      <c r="L30" s="542" t="e">
        <f>'통장내역(환율표)'!#REF!</f>
        <v>#REF!</v>
      </c>
      <c r="M30" s="617" t="e">
        <f t="shared" si="9"/>
        <v>#REF!</v>
      </c>
      <c r="N30" s="613" t="e">
        <f t="shared" si="5"/>
        <v>#REF!</v>
      </c>
      <c r="O30" s="614" t="e">
        <f t="shared" si="6"/>
        <v>#REF!</v>
      </c>
      <c r="P30" s="608" t="s">
        <v>1120</v>
      </c>
      <c r="Q30" s="543" t="s">
        <v>1121</v>
      </c>
      <c r="R30" s="543"/>
      <c r="S30" s="525" t="e">
        <f t="shared" si="10"/>
        <v>#REF!</v>
      </c>
    </row>
    <row r="31" spans="1:19" ht="11.25" hidden="1" customHeight="1">
      <c r="B31" s="568">
        <v>45312</v>
      </c>
      <c r="C31" s="573" t="s">
        <v>304</v>
      </c>
      <c r="D31" s="569"/>
      <c r="E31" s="569">
        <v>11</v>
      </c>
      <c r="F31" s="569" t="s">
        <v>105</v>
      </c>
      <c r="G31" s="569" t="s">
        <v>1122</v>
      </c>
      <c r="H31" s="571"/>
      <c r="I31" s="570"/>
      <c r="J31" s="572"/>
      <c r="K31" s="646">
        <v>20023</v>
      </c>
      <c r="L31" s="542" t="e">
        <f>'통장내역(환율표)'!#REF!</f>
        <v>#REF!</v>
      </c>
      <c r="M31" s="617" t="e">
        <f t="shared" si="9"/>
        <v>#REF!</v>
      </c>
      <c r="N31" s="613" t="e">
        <f t="shared" si="5"/>
        <v>#REF!</v>
      </c>
      <c r="O31" s="614" t="e">
        <f t="shared" si="6"/>
        <v>#REF!</v>
      </c>
      <c r="P31" s="608" t="s">
        <v>1120</v>
      </c>
      <c r="Q31" s="543" t="s">
        <v>1121</v>
      </c>
      <c r="R31" s="543" t="s">
        <v>304</v>
      </c>
      <c r="S31" s="525" t="e">
        <f t="shared" si="10"/>
        <v>#REF!</v>
      </c>
    </row>
    <row r="32" spans="1:19" ht="11.25" customHeight="1">
      <c r="B32" s="568">
        <v>45312</v>
      </c>
      <c r="C32" s="573" t="s">
        <v>445</v>
      </c>
      <c r="D32" s="569"/>
      <c r="E32" s="569">
        <v>12</v>
      </c>
      <c r="F32" s="569" t="s">
        <v>107</v>
      </c>
      <c r="G32" s="569"/>
      <c r="H32" s="571"/>
      <c r="I32" s="570"/>
      <c r="J32" s="572"/>
      <c r="K32" s="647">
        <v>7.2</v>
      </c>
      <c r="L32" s="542" t="e">
        <f>'통장내역(환율표)'!#REF!</f>
        <v>#REF!</v>
      </c>
      <c r="M32" s="617" t="e">
        <f t="shared" si="9"/>
        <v>#REF!</v>
      </c>
      <c r="N32" s="613" t="e">
        <f t="shared" si="5"/>
        <v>#REF!</v>
      </c>
      <c r="O32" s="614" t="e">
        <f t="shared" si="6"/>
        <v>#REF!</v>
      </c>
      <c r="P32" s="608" t="s">
        <v>1120</v>
      </c>
      <c r="Q32" s="543" t="s">
        <v>1121</v>
      </c>
      <c r="R32" s="543"/>
      <c r="S32" s="525" t="e">
        <f t="shared" si="10"/>
        <v>#REF!</v>
      </c>
    </row>
    <row r="33" spans="2:19" ht="11.25" customHeight="1">
      <c r="B33" s="568">
        <v>45312</v>
      </c>
      <c r="C33" s="573" t="s">
        <v>732</v>
      </c>
      <c r="D33" s="569"/>
      <c r="E33" s="569">
        <v>13</v>
      </c>
      <c r="F33" s="569" t="s">
        <v>107</v>
      </c>
      <c r="G33" s="569"/>
      <c r="H33" s="571"/>
      <c r="I33" s="570"/>
      <c r="J33" s="572"/>
      <c r="K33" s="604">
        <v>606.72</v>
      </c>
      <c r="L33" s="542" t="e">
        <f>'통장내역(환율표)'!#REF!</f>
        <v>#REF!</v>
      </c>
      <c r="M33" s="617" t="e">
        <f t="shared" si="9"/>
        <v>#REF!</v>
      </c>
      <c r="N33" s="613" t="e">
        <f t="shared" si="5"/>
        <v>#REF!</v>
      </c>
      <c r="O33" s="614" t="e">
        <f t="shared" si="6"/>
        <v>#REF!</v>
      </c>
      <c r="P33" s="608" t="s">
        <v>1120</v>
      </c>
      <c r="Q33" s="543" t="s">
        <v>1121</v>
      </c>
      <c r="R33" s="543" t="s">
        <v>732</v>
      </c>
      <c r="S33" s="525" t="e">
        <f t="shared" si="10"/>
        <v>#REF!</v>
      </c>
    </row>
    <row r="34" spans="2:19" ht="11.25" customHeight="1">
      <c r="B34" s="568">
        <v>45312</v>
      </c>
      <c r="C34" s="573" t="s">
        <v>445</v>
      </c>
      <c r="D34" s="569"/>
      <c r="E34" s="569">
        <v>14</v>
      </c>
      <c r="F34" s="569" t="s">
        <v>107</v>
      </c>
      <c r="G34" s="569"/>
      <c r="H34" s="571"/>
      <c r="I34" s="570"/>
      <c r="J34" s="572"/>
      <c r="K34" s="604">
        <v>3.6</v>
      </c>
      <c r="L34" s="542" t="e">
        <f>'통장내역(환율표)'!#REF!</f>
        <v>#REF!</v>
      </c>
      <c r="M34" s="617" t="e">
        <f t="shared" si="9"/>
        <v>#REF!</v>
      </c>
      <c r="N34" s="613" t="e">
        <f t="shared" si="5"/>
        <v>#REF!</v>
      </c>
      <c r="O34" s="614" t="e">
        <f t="shared" si="6"/>
        <v>#REF!</v>
      </c>
      <c r="P34" s="608" t="s">
        <v>1120</v>
      </c>
      <c r="Q34" s="543" t="s">
        <v>1121</v>
      </c>
      <c r="R34" s="543"/>
      <c r="S34" s="525" t="e">
        <f t="shared" si="10"/>
        <v>#REF!</v>
      </c>
    </row>
    <row r="35" spans="2:19" ht="11.25" customHeight="1">
      <c r="B35" s="568">
        <v>45312</v>
      </c>
      <c r="C35" s="573" t="s">
        <v>878</v>
      </c>
      <c r="D35" s="569"/>
      <c r="E35" s="569">
        <v>15</v>
      </c>
      <c r="F35" s="569" t="s">
        <v>107</v>
      </c>
      <c r="G35" s="569"/>
      <c r="H35" s="571"/>
      <c r="I35" s="570"/>
      <c r="J35" s="572"/>
      <c r="K35" s="637">
        <v>1010</v>
      </c>
      <c r="L35" s="542" t="e">
        <f>'통장내역(환율표)'!#REF!</f>
        <v>#REF!</v>
      </c>
      <c r="M35" s="617" t="e">
        <f t="shared" si="9"/>
        <v>#REF!</v>
      </c>
      <c r="N35" s="613" t="e">
        <f t="shared" si="5"/>
        <v>#REF!</v>
      </c>
      <c r="O35" s="614" t="e">
        <f t="shared" si="6"/>
        <v>#REF!</v>
      </c>
      <c r="P35" s="608" t="s">
        <v>1120</v>
      </c>
      <c r="Q35" s="543" t="s">
        <v>1121</v>
      </c>
      <c r="R35" s="543" t="s">
        <v>878</v>
      </c>
      <c r="S35" s="525" t="e">
        <f t="shared" si="10"/>
        <v>#REF!</v>
      </c>
    </row>
    <row r="36" spans="2:19" ht="11.25" customHeight="1">
      <c r="B36" s="568">
        <v>45312</v>
      </c>
      <c r="C36" s="573" t="s">
        <v>445</v>
      </c>
      <c r="D36" s="569"/>
      <c r="E36" s="569">
        <v>16</v>
      </c>
      <c r="F36" s="569" t="s">
        <v>107</v>
      </c>
      <c r="G36" s="569"/>
      <c r="H36" s="571"/>
      <c r="I36" s="570"/>
      <c r="J36" s="572"/>
      <c r="K36" s="637">
        <v>3.6</v>
      </c>
      <c r="L36" s="542" t="e">
        <f>'통장내역(환율표)'!#REF!</f>
        <v>#REF!</v>
      </c>
      <c r="M36" s="617" t="e">
        <f t="shared" si="9"/>
        <v>#REF!</v>
      </c>
      <c r="N36" s="613" t="e">
        <f t="shared" si="5"/>
        <v>#REF!</v>
      </c>
      <c r="O36" s="614" t="e">
        <f t="shared" si="6"/>
        <v>#REF!</v>
      </c>
      <c r="P36" s="608" t="s">
        <v>1120</v>
      </c>
      <c r="Q36" s="543" t="s">
        <v>1121</v>
      </c>
      <c r="R36" s="543"/>
      <c r="S36" s="525" t="e">
        <f t="shared" si="10"/>
        <v>#REF!</v>
      </c>
    </row>
    <row r="37" spans="2:19" ht="11.25" customHeight="1">
      <c r="B37" s="568">
        <v>45312</v>
      </c>
      <c r="C37" s="598" t="s">
        <v>885</v>
      </c>
      <c r="D37" s="569"/>
      <c r="E37" s="569">
        <v>17</v>
      </c>
      <c r="F37" s="569" t="s">
        <v>107</v>
      </c>
      <c r="G37" s="569"/>
      <c r="H37" s="571"/>
      <c r="I37" s="570"/>
      <c r="J37" s="572"/>
      <c r="K37" s="596">
        <v>16000</v>
      </c>
      <c r="L37" s="542" t="e">
        <f>'통장내역(환율표)'!#REF!</f>
        <v>#REF!</v>
      </c>
      <c r="M37" s="617" t="e">
        <f t="shared" si="9"/>
        <v>#REF!</v>
      </c>
      <c r="N37" s="613" t="e">
        <f t="shared" si="5"/>
        <v>#REF!</v>
      </c>
      <c r="O37" s="614" t="e">
        <f t="shared" si="6"/>
        <v>#REF!</v>
      </c>
      <c r="P37" s="608" t="s">
        <v>1120</v>
      </c>
      <c r="Q37" s="543" t="s">
        <v>1121</v>
      </c>
      <c r="R37" s="599" t="s">
        <v>1110</v>
      </c>
      <c r="S37" s="525" t="e">
        <f t="shared" si="10"/>
        <v>#REF!</v>
      </c>
    </row>
    <row r="38" spans="2:19" ht="11.25" customHeight="1">
      <c r="B38" s="568">
        <v>45312</v>
      </c>
      <c r="C38" s="598" t="s">
        <v>938</v>
      </c>
      <c r="D38" s="569"/>
      <c r="E38" s="569">
        <v>17</v>
      </c>
      <c r="F38" s="569" t="s">
        <v>107</v>
      </c>
      <c r="G38" s="569"/>
      <c r="H38" s="571"/>
      <c r="I38" s="570"/>
      <c r="J38" s="572"/>
      <c r="K38" s="596">
        <v>24000</v>
      </c>
      <c r="L38" s="542" t="e">
        <f>'통장내역(환율표)'!#REF!</f>
        <v>#REF!</v>
      </c>
      <c r="M38" s="617" t="e">
        <f t="shared" si="9"/>
        <v>#REF!</v>
      </c>
      <c r="N38" s="613" t="e">
        <f t="shared" si="5"/>
        <v>#REF!</v>
      </c>
      <c r="O38" s="614" t="e">
        <f t="shared" si="6"/>
        <v>#REF!</v>
      </c>
      <c r="P38" s="608" t="s">
        <v>1120</v>
      </c>
      <c r="Q38" s="543" t="s">
        <v>1121</v>
      </c>
      <c r="R38" s="599" t="s">
        <v>1110</v>
      </c>
      <c r="S38" s="525" t="e">
        <f t="shared" si="10"/>
        <v>#REF!</v>
      </c>
    </row>
    <row r="39" spans="2:19" ht="11.25" customHeight="1">
      <c r="B39" s="568">
        <v>45312</v>
      </c>
      <c r="C39" s="598" t="s">
        <v>887</v>
      </c>
      <c r="D39" s="569"/>
      <c r="E39" s="569">
        <v>17</v>
      </c>
      <c r="F39" s="569" t="s">
        <v>107</v>
      </c>
      <c r="G39" s="569"/>
      <c r="H39" s="571"/>
      <c r="I39" s="570"/>
      <c r="J39" s="572"/>
      <c r="K39" s="638">
        <v>4957.0300000000007</v>
      </c>
      <c r="L39" s="542" t="e">
        <f>'통장내역(환율표)'!#REF!</f>
        <v>#REF!</v>
      </c>
      <c r="M39" s="617" t="e">
        <f t="shared" si="9"/>
        <v>#REF!</v>
      </c>
      <c r="N39" s="613" t="e">
        <f t="shared" si="5"/>
        <v>#REF!</v>
      </c>
      <c r="O39" s="614" t="e">
        <f t="shared" si="6"/>
        <v>#REF!</v>
      </c>
      <c r="P39" s="608" t="s">
        <v>1120</v>
      </c>
      <c r="Q39" s="543" t="s">
        <v>1121</v>
      </c>
      <c r="R39" s="599" t="s">
        <v>1110</v>
      </c>
      <c r="S39" s="525" t="e">
        <f t="shared" si="10"/>
        <v>#REF!</v>
      </c>
    </row>
    <row r="40" spans="2:19" ht="11.25" customHeight="1">
      <c r="B40" s="568">
        <v>45312</v>
      </c>
      <c r="C40" s="598" t="s">
        <v>888</v>
      </c>
      <c r="D40" s="569"/>
      <c r="E40" s="569">
        <v>17</v>
      </c>
      <c r="F40" s="569" t="s">
        <v>107</v>
      </c>
      <c r="G40" s="569"/>
      <c r="H40" s="571"/>
      <c r="I40" s="570"/>
      <c r="J40" s="572"/>
      <c r="K40" s="638">
        <v>1001.04</v>
      </c>
      <c r="L40" s="542" t="e">
        <f>'통장내역(환율표)'!#REF!</f>
        <v>#REF!</v>
      </c>
      <c r="M40" s="617" t="e">
        <f t="shared" si="9"/>
        <v>#REF!</v>
      </c>
      <c r="N40" s="613" t="e">
        <f t="shared" si="5"/>
        <v>#REF!</v>
      </c>
      <c r="O40" s="614" t="e">
        <f t="shared" si="6"/>
        <v>#REF!</v>
      </c>
      <c r="P40" s="608" t="s">
        <v>1120</v>
      </c>
      <c r="Q40" s="543" t="s">
        <v>1121</v>
      </c>
      <c r="R40" s="599" t="s">
        <v>1110</v>
      </c>
      <c r="S40" s="525" t="e">
        <f t="shared" si="10"/>
        <v>#REF!</v>
      </c>
    </row>
    <row r="41" spans="2:19" ht="11.25" customHeight="1">
      <c r="B41" s="568">
        <v>45312</v>
      </c>
      <c r="C41" s="598" t="s">
        <v>892</v>
      </c>
      <c r="D41" s="569"/>
      <c r="E41" s="569">
        <v>17</v>
      </c>
      <c r="F41" s="569" t="s">
        <v>107</v>
      </c>
      <c r="G41" s="569"/>
      <c r="H41" s="571"/>
      <c r="I41" s="570"/>
      <c r="J41" s="572"/>
      <c r="K41" s="638">
        <v>300</v>
      </c>
      <c r="L41" s="542" t="e">
        <f>'통장내역(환율표)'!#REF!</f>
        <v>#REF!</v>
      </c>
      <c r="M41" s="617" t="e">
        <f t="shared" si="9"/>
        <v>#REF!</v>
      </c>
      <c r="N41" s="613" t="e">
        <f t="shared" si="5"/>
        <v>#REF!</v>
      </c>
      <c r="O41" s="614" t="e">
        <f t="shared" si="6"/>
        <v>#REF!</v>
      </c>
      <c r="P41" s="608" t="s">
        <v>1120</v>
      </c>
      <c r="Q41" s="543" t="s">
        <v>1121</v>
      </c>
      <c r="R41" s="599" t="s">
        <v>1110</v>
      </c>
      <c r="S41" s="525" t="e">
        <f t="shared" si="10"/>
        <v>#REF!</v>
      </c>
    </row>
    <row r="42" spans="2:19" ht="11.25" customHeight="1">
      <c r="B42" s="568">
        <v>45312</v>
      </c>
      <c r="C42" s="598" t="s">
        <v>885</v>
      </c>
      <c r="D42" s="569"/>
      <c r="E42" s="569">
        <v>17</v>
      </c>
      <c r="F42" s="569" t="s">
        <v>107</v>
      </c>
      <c r="G42" s="569"/>
      <c r="H42" s="571"/>
      <c r="I42" s="570"/>
      <c r="J42" s="572"/>
      <c r="K42" s="596">
        <v>15000</v>
      </c>
      <c r="L42" s="542" t="e">
        <f>'통장내역(환율표)'!#REF!</f>
        <v>#REF!</v>
      </c>
      <c r="M42" s="617" t="e">
        <f t="shared" si="9"/>
        <v>#REF!</v>
      </c>
      <c r="N42" s="613" t="e">
        <f t="shared" si="5"/>
        <v>#REF!</v>
      </c>
      <c r="O42" s="614" t="e">
        <f t="shared" si="6"/>
        <v>#REF!</v>
      </c>
      <c r="P42" s="608" t="s">
        <v>1120</v>
      </c>
      <c r="Q42" s="543" t="s">
        <v>1121</v>
      </c>
      <c r="R42" s="599" t="s">
        <v>1111</v>
      </c>
      <c r="S42" s="525" t="e">
        <f t="shared" si="10"/>
        <v>#REF!</v>
      </c>
    </row>
    <row r="43" spans="2:19" ht="11.25" customHeight="1">
      <c r="B43" s="568">
        <v>45312</v>
      </c>
      <c r="C43" s="598" t="s">
        <v>938</v>
      </c>
      <c r="D43" s="569"/>
      <c r="E43" s="569">
        <v>17</v>
      </c>
      <c r="F43" s="569" t="s">
        <v>107</v>
      </c>
      <c r="G43" s="569"/>
      <c r="H43" s="571"/>
      <c r="I43" s="570"/>
      <c r="J43" s="572"/>
      <c r="K43" s="596">
        <v>22000</v>
      </c>
      <c r="L43" s="542" t="e">
        <f>'통장내역(환율표)'!#REF!</f>
        <v>#REF!</v>
      </c>
      <c r="M43" s="617" t="e">
        <f t="shared" si="9"/>
        <v>#REF!</v>
      </c>
      <c r="N43" s="613" t="e">
        <f t="shared" si="5"/>
        <v>#REF!</v>
      </c>
      <c r="O43" s="614" t="e">
        <f t="shared" si="6"/>
        <v>#REF!</v>
      </c>
      <c r="P43" s="608" t="s">
        <v>1120</v>
      </c>
      <c r="Q43" s="543" t="s">
        <v>1121</v>
      </c>
      <c r="R43" s="599" t="s">
        <v>1111</v>
      </c>
      <c r="S43" s="525" t="e">
        <f t="shared" si="10"/>
        <v>#REF!</v>
      </c>
    </row>
    <row r="44" spans="2:19" ht="11.25" customHeight="1">
      <c r="B44" s="568">
        <v>45312</v>
      </c>
      <c r="C44" s="598" t="s">
        <v>887</v>
      </c>
      <c r="D44" s="569"/>
      <c r="E44" s="569">
        <v>17</v>
      </c>
      <c r="F44" s="569" t="s">
        <v>107</v>
      </c>
      <c r="G44" s="569"/>
      <c r="H44" s="571"/>
      <c r="I44" s="570"/>
      <c r="J44" s="572"/>
      <c r="K44" s="638">
        <v>8399.7900000000009</v>
      </c>
      <c r="L44" s="542" t="e">
        <f>'통장내역(환율표)'!#REF!</f>
        <v>#REF!</v>
      </c>
      <c r="M44" s="617" t="e">
        <f t="shared" si="9"/>
        <v>#REF!</v>
      </c>
      <c r="N44" s="613" t="e">
        <f t="shared" si="5"/>
        <v>#REF!</v>
      </c>
      <c r="O44" s="614" t="e">
        <f t="shared" si="6"/>
        <v>#REF!</v>
      </c>
      <c r="P44" s="608" t="s">
        <v>1120</v>
      </c>
      <c r="Q44" s="543" t="s">
        <v>1121</v>
      </c>
      <c r="R44" s="599" t="s">
        <v>1111</v>
      </c>
      <c r="S44" s="525" t="e">
        <f t="shared" si="10"/>
        <v>#REF!</v>
      </c>
    </row>
    <row r="45" spans="2:19" ht="11.25" customHeight="1">
      <c r="B45" s="568">
        <v>45312</v>
      </c>
      <c r="C45" s="598" t="s">
        <v>888</v>
      </c>
      <c r="D45" s="569"/>
      <c r="E45" s="569">
        <v>17</v>
      </c>
      <c r="F45" s="569" t="s">
        <v>107</v>
      </c>
      <c r="G45" s="569"/>
      <c r="H45" s="571"/>
      <c r="I45" s="570"/>
      <c r="J45" s="572"/>
      <c r="K45" s="638">
        <v>860.1</v>
      </c>
      <c r="L45" s="542" t="e">
        <f>'통장내역(환율표)'!#REF!</f>
        <v>#REF!</v>
      </c>
      <c r="M45" s="617" t="e">
        <f t="shared" si="9"/>
        <v>#REF!</v>
      </c>
      <c r="N45" s="613" t="e">
        <f t="shared" si="5"/>
        <v>#REF!</v>
      </c>
      <c r="O45" s="614" t="e">
        <f t="shared" si="6"/>
        <v>#REF!</v>
      </c>
      <c r="P45" s="608" t="s">
        <v>1120</v>
      </c>
      <c r="Q45" s="543" t="s">
        <v>1121</v>
      </c>
      <c r="R45" s="599" t="s">
        <v>1111</v>
      </c>
      <c r="S45" s="525" t="e">
        <f t="shared" si="10"/>
        <v>#REF!</v>
      </c>
    </row>
    <row r="46" spans="2:19" ht="11.25" customHeight="1">
      <c r="B46" s="568">
        <v>45312</v>
      </c>
      <c r="C46" s="598" t="s">
        <v>892</v>
      </c>
      <c r="D46" s="569"/>
      <c r="E46" s="569">
        <v>17</v>
      </c>
      <c r="F46" s="569" t="s">
        <v>107</v>
      </c>
      <c r="G46" s="569"/>
      <c r="H46" s="571"/>
      <c r="I46" s="570"/>
      <c r="J46" s="572"/>
      <c r="K46" s="638">
        <v>300</v>
      </c>
      <c r="L46" s="542" t="e">
        <f>'통장내역(환율표)'!#REF!</f>
        <v>#REF!</v>
      </c>
      <c r="M46" s="617" t="e">
        <f t="shared" si="9"/>
        <v>#REF!</v>
      </c>
      <c r="N46" s="613" t="e">
        <f t="shared" si="5"/>
        <v>#REF!</v>
      </c>
      <c r="O46" s="614" t="e">
        <f t="shared" si="6"/>
        <v>#REF!</v>
      </c>
      <c r="P46" s="608" t="s">
        <v>1120</v>
      </c>
      <c r="Q46" s="543" t="s">
        <v>1121</v>
      </c>
      <c r="R46" s="599" t="s">
        <v>1111</v>
      </c>
      <c r="S46" s="525" t="e">
        <f t="shared" si="10"/>
        <v>#REF!</v>
      </c>
    </row>
    <row r="47" spans="2:19" ht="11.25" customHeight="1">
      <c r="B47" s="568">
        <v>45312</v>
      </c>
      <c r="C47" s="573" t="s">
        <v>891</v>
      </c>
      <c r="D47" s="569"/>
      <c r="E47" s="569">
        <v>17</v>
      </c>
      <c r="F47" s="569" t="s">
        <v>107</v>
      </c>
      <c r="G47" s="569"/>
      <c r="H47" s="571"/>
      <c r="I47" s="570"/>
      <c r="J47" s="572"/>
      <c r="K47" s="639">
        <v>25000</v>
      </c>
      <c r="L47" s="542" t="e">
        <f>'통장내역(환율표)'!#REF!</f>
        <v>#REF!</v>
      </c>
      <c r="M47" s="617" t="e">
        <f t="shared" si="9"/>
        <v>#REF!</v>
      </c>
      <c r="N47" s="613" t="e">
        <f t="shared" si="5"/>
        <v>#REF!</v>
      </c>
      <c r="O47" s="614" t="e">
        <f t="shared" si="6"/>
        <v>#REF!</v>
      </c>
      <c r="P47" s="608" t="s">
        <v>1120</v>
      </c>
      <c r="Q47" s="543" t="s">
        <v>1121</v>
      </c>
      <c r="R47" s="599" t="s">
        <v>1112</v>
      </c>
      <c r="S47" s="525" t="e">
        <f t="shared" si="10"/>
        <v>#REF!</v>
      </c>
    </row>
    <row r="48" spans="2:19" ht="11.25" customHeight="1">
      <c r="B48" s="568">
        <v>45312</v>
      </c>
      <c r="C48" s="573" t="s">
        <v>1109</v>
      </c>
      <c r="D48" s="569"/>
      <c r="E48" s="569">
        <v>17</v>
      </c>
      <c r="F48" s="569" t="s">
        <v>107</v>
      </c>
      <c r="G48" s="569"/>
      <c r="H48" s="571"/>
      <c r="I48" s="570"/>
      <c r="J48" s="572"/>
      <c r="K48" s="639">
        <v>62500</v>
      </c>
      <c r="L48" s="542" t="e">
        <f>'통장내역(환율표)'!#REF!</f>
        <v>#REF!</v>
      </c>
      <c r="M48" s="617" t="e">
        <f t="shared" si="9"/>
        <v>#REF!</v>
      </c>
      <c r="N48" s="613" t="e">
        <f t="shared" si="5"/>
        <v>#REF!</v>
      </c>
      <c r="O48" s="614" t="e">
        <f t="shared" si="6"/>
        <v>#REF!</v>
      </c>
      <c r="P48" s="608" t="s">
        <v>1120</v>
      </c>
      <c r="Q48" s="543" t="s">
        <v>1121</v>
      </c>
      <c r="R48" s="599" t="s">
        <v>1112</v>
      </c>
      <c r="S48" s="525" t="e">
        <f t="shared" si="10"/>
        <v>#REF!</v>
      </c>
    </row>
    <row r="49" spans="2:19" ht="11.25" customHeight="1">
      <c r="B49" s="568">
        <v>45312</v>
      </c>
      <c r="C49" s="573" t="s">
        <v>939</v>
      </c>
      <c r="D49" s="569"/>
      <c r="E49" s="569">
        <v>17</v>
      </c>
      <c r="F49" s="569" t="s">
        <v>107</v>
      </c>
      <c r="G49" s="569"/>
      <c r="H49" s="571"/>
      <c r="I49" s="570"/>
      <c r="J49" s="572"/>
      <c r="K49" s="638">
        <v>8047.44</v>
      </c>
      <c r="L49" s="542" t="e">
        <f>'통장내역(환율표)'!#REF!</f>
        <v>#REF!</v>
      </c>
      <c r="M49" s="617" t="e">
        <f t="shared" si="9"/>
        <v>#REF!</v>
      </c>
      <c r="N49" s="613" t="e">
        <f t="shared" si="5"/>
        <v>#REF!</v>
      </c>
      <c r="O49" s="614" t="e">
        <f t="shared" si="6"/>
        <v>#REF!</v>
      </c>
      <c r="P49" s="608" t="s">
        <v>1120</v>
      </c>
      <c r="Q49" s="543" t="s">
        <v>1121</v>
      </c>
      <c r="R49" s="599" t="s">
        <v>1112</v>
      </c>
      <c r="S49" s="525" t="e">
        <f t="shared" si="10"/>
        <v>#REF!</v>
      </c>
    </row>
    <row r="50" spans="2:19" ht="11.25" customHeight="1">
      <c r="B50" s="568">
        <v>45312</v>
      </c>
      <c r="C50" s="573" t="s">
        <v>892</v>
      </c>
      <c r="D50" s="569"/>
      <c r="E50" s="569">
        <v>17</v>
      </c>
      <c r="F50" s="569" t="s">
        <v>107</v>
      </c>
      <c r="G50" s="569"/>
      <c r="H50" s="571"/>
      <c r="I50" s="570"/>
      <c r="J50" s="572"/>
      <c r="K50" s="638">
        <v>300</v>
      </c>
      <c r="L50" s="542" t="e">
        <f>'통장내역(환율표)'!#REF!</f>
        <v>#REF!</v>
      </c>
      <c r="M50" s="617" t="e">
        <f t="shared" si="9"/>
        <v>#REF!</v>
      </c>
      <c r="N50" s="613" t="e">
        <f t="shared" si="5"/>
        <v>#REF!</v>
      </c>
      <c r="O50" s="614" t="e">
        <f t="shared" si="6"/>
        <v>#REF!</v>
      </c>
      <c r="P50" s="608" t="s">
        <v>1120</v>
      </c>
      <c r="Q50" s="543" t="s">
        <v>1121</v>
      </c>
      <c r="R50" s="599" t="s">
        <v>1112</v>
      </c>
      <c r="S50" s="525" t="e">
        <f t="shared" si="10"/>
        <v>#REF!</v>
      </c>
    </row>
    <row r="51" spans="2:19" ht="11.25" customHeight="1">
      <c r="B51" s="568">
        <v>45312</v>
      </c>
      <c r="C51" s="573" t="s">
        <v>983</v>
      </c>
      <c r="D51" s="569"/>
      <c r="E51" s="569">
        <v>17</v>
      </c>
      <c r="F51" s="569" t="s">
        <v>107</v>
      </c>
      <c r="G51" s="569"/>
      <c r="H51" s="571"/>
      <c r="I51" s="570"/>
      <c r="J51" s="572"/>
      <c r="K51" s="638">
        <v>1100</v>
      </c>
      <c r="L51" s="542" t="e">
        <f>'통장내역(환율표)'!#REF!</f>
        <v>#REF!</v>
      </c>
      <c r="M51" s="617" t="e">
        <f t="shared" si="9"/>
        <v>#REF!</v>
      </c>
      <c r="N51" s="613" t="e">
        <f t="shared" ref="N51:N82" si="11">N50+H51-K51</f>
        <v>#REF!</v>
      </c>
      <c r="O51" s="614" t="e">
        <f t="shared" ref="O51:O82" si="12">O50+J51-M51</f>
        <v>#REF!</v>
      </c>
      <c r="P51" s="608" t="s">
        <v>1120</v>
      </c>
      <c r="Q51" s="543" t="s">
        <v>1121</v>
      </c>
      <c r="R51" s="599" t="s">
        <v>1112</v>
      </c>
      <c r="S51" s="525" t="e">
        <f t="shared" si="10"/>
        <v>#REF!</v>
      </c>
    </row>
    <row r="52" spans="2:19" ht="11.25" customHeight="1">
      <c r="B52" s="568">
        <v>45312</v>
      </c>
      <c r="C52" s="573" t="s">
        <v>891</v>
      </c>
      <c r="D52" s="569"/>
      <c r="E52" s="569">
        <v>17</v>
      </c>
      <c r="F52" s="569" t="s">
        <v>107</v>
      </c>
      <c r="G52" s="569"/>
      <c r="H52" s="571"/>
      <c r="I52" s="570"/>
      <c r="J52" s="572"/>
      <c r="K52" s="639">
        <v>13000</v>
      </c>
      <c r="L52" s="542" t="e">
        <f>'통장내역(환율표)'!#REF!</f>
        <v>#REF!</v>
      </c>
      <c r="M52" s="617" t="e">
        <f t="shared" si="9"/>
        <v>#REF!</v>
      </c>
      <c r="N52" s="613" t="e">
        <f t="shared" si="11"/>
        <v>#REF!</v>
      </c>
      <c r="O52" s="614" t="e">
        <f t="shared" si="12"/>
        <v>#REF!</v>
      </c>
      <c r="P52" s="608" t="s">
        <v>1120</v>
      </c>
      <c r="Q52" s="543" t="s">
        <v>1121</v>
      </c>
      <c r="R52" s="640" t="s">
        <v>1113</v>
      </c>
      <c r="S52" s="525" t="e">
        <f t="shared" si="10"/>
        <v>#REF!</v>
      </c>
    </row>
    <row r="53" spans="2:19" ht="11.25" customHeight="1">
      <c r="B53" s="568">
        <v>45312</v>
      </c>
      <c r="C53" s="573" t="s">
        <v>1109</v>
      </c>
      <c r="D53" s="569"/>
      <c r="E53" s="569">
        <v>17</v>
      </c>
      <c r="F53" s="569" t="s">
        <v>107</v>
      </c>
      <c r="G53" s="569"/>
      <c r="H53" s="571"/>
      <c r="I53" s="570"/>
      <c r="J53" s="572"/>
      <c r="K53" s="639">
        <v>4000</v>
      </c>
      <c r="L53" s="542" t="e">
        <f>'통장내역(환율표)'!#REF!</f>
        <v>#REF!</v>
      </c>
      <c r="M53" s="617" t="e">
        <f t="shared" si="9"/>
        <v>#REF!</v>
      </c>
      <c r="N53" s="613" t="e">
        <f t="shared" si="11"/>
        <v>#REF!</v>
      </c>
      <c r="O53" s="614" t="e">
        <f t="shared" si="12"/>
        <v>#REF!</v>
      </c>
      <c r="P53" s="608" t="s">
        <v>1120</v>
      </c>
      <c r="Q53" s="543" t="s">
        <v>1121</v>
      </c>
      <c r="R53" s="640" t="s">
        <v>1113</v>
      </c>
      <c r="S53" s="525" t="e">
        <f t="shared" si="10"/>
        <v>#REF!</v>
      </c>
    </row>
    <row r="54" spans="2:19" ht="11.25" customHeight="1">
      <c r="B54" s="568">
        <v>45312</v>
      </c>
      <c r="C54" s="573" t="s">
        <v>939</v>
      </c>
      <c r="D54" s="569"/>
      <c r="E54" s="569">
        <v>17</v>
      </c>
      <c r="F54" s="569" t="s">
        <v>107</v>
      </c>
      <c r="G54" s="569"/>
      <c r="H54" s="571"/>
      <c r="I54" s="570"/>
      <c r="J54" s="572"/>
      <c r="K54" s="638">
        <v>2904.31</v>
      </c>
      <c r="L54" s="542" t="e">
        <f>'통장내역(환율표)'!#REF!</f>
        <v>#REF!</v>
      </c>
      <c r="M54" s="617" t="e">
        <f t="shared" si="9"/>
        <v>#REF!</v>
      </c>
      <c r="N54" s="613" t="e">
        <f t="shared" si="11"/>
        <v>#REF!</v>
      </c>
      <c r="O54" s="614" t="e">
        <f t="shared" si="12"/>
        <v>#REF!</v>
      </c>
      <c r="P54" s="608" t="s">
        <v>1120</v>
      </c>
      <c r="Q54" s="543" t="s">
        <v>1121</v>
      </c>
      <c r="R54" s="640" t="s">
        <v>1113</v>
      </c>
      <c r="S54" s="525" t="e">
        <f t="shared" si="10"/>
        <v>#REF!</v>
      </c>
    </row>
    <row r="55" spans="2:19" ht="11.25" customHeight="1">
      <c r="B55" s="568">
        <v>45312</v>
      </c>
      <c r="C55" s="573" t="s">
        <v>892</v>
      </c>
      <c r="D55" s="569"/>
      <c r="E55" s="569">
        <v>17</v>
      </c>
      <c r="F55" s="569" t="s">
        <v>107</v>
      </c>
      <c r="G55" s="569"/>
      <c r="H55" s="571"/>
      <c r="I55" s="570"/>
      <c r="J55" s="572"/>
      <c r="K55" s="638">
        <v>300</v>
      </c>
      <c r="L55" s="542" t="e">
        <f>'통장내역(환율표)'!#REF!</f>
        <v>#REF!</v>
      </c>
      <c r="M55" s="617" t="e">
        <f t="shared" si="9"/>
        <v>#REF!</v>
      </c>
      <c r="N55" s="613" t="e">
        <f t="shared" si="11"/>
        <v>#REF!</v>
      </c>
      <c r="O55" s="614" t="e">
        <f t="shared" si="12"/>
        <v>#REF!</v>
      </c>
      <c r="P55" s="608" t="s">
        <v>1120</v>
      </c>
      <c r="Q55" s="543" t="s">
        <v>1121</v>
      </c>
      <c r="R55" s="640" t="s">
        <v>1113</v>
      </c>
      <c r="S55" s="525" t="e">
        <f t="shared" si="10"/>
        <v>#REF!</v>
      </c>
    </row>
    <row r="56" spans="2:19" ht="10.95" customHeight="1">
      <c r="B56" s="568">
        <v>45312</v>
      </c>
      <c r="C56" s="573" t="s">
        <v>983</v>
      </c>
      <c r="D56" s="569"/>
      <c r="E56" s="569">
        <v>17</v>
      </c>
      <c r="F56" s="569" t="s">
        <v>107</v>
      </c>
      <c r="G56" s="569"/>
      <c r="H56" s="571"/>
      <c r="I56" s="570"/>
      <c r="J56" s="572"/>
      <c r="K56" s="638">
        <v>900</v>
      </c>
      <c r="L56" s="542" t="e">
        <f>'통장내역(환율표)'!#REF!</f>
        <v>#REF!</v>
      </c>
      <c r="M56" s="617" t="e">
        <f t="shared" si="9"/>
        <v>#REF!</v>
      </c>
      <c r="N56" s="613" t="e">
        <f t="shared" si="11"/>
        <v>#REF!</v>
      </c>
      <c r="O56" s="614" t="e">
        <f t="shared" si="12"/>
        <v>#REF!</v>
      </c>
      <c r="P56" s="608" t="s">
        <v>1120</v>
      </c>
      <c r="Q56" s="543" t="s">
        <v>1121</v>
      </c>
      <c r="R56" s="640" t="s">
        <v>1113</v>
      </c>
      <c r="S56" s="525" t="e">
        <f t="shared" si="10"/>
        <v>#REF!</v>
      </c>
    </row>
    <row r="57" spans="2:19" ht="11.25" customHeight="1">
      <c r="B57" s="568">
        <v>45312</v>
      </c>
      <c r="C57" s="573" t="s">
        <v>891</v>
      </c>
      <c r="D57" s="569"/>
      <c r="E57" s="569">
        <v>17</v>
      </c>
      <c r="F57" s="569" t="s">
        <v>107</v>
      </c>
      <c r="G57" s="569"/>
      <c r="H57" s="571"/>
      <c r="I57" s="570"/>
      <c r="J57" s="572"/>
      <c r="K57" s="639">
        <v>25000</v>
      </c>
      <c r="L57" s="542" t="e">
        <f>'통장내역(환율표)'!#REF!</f>
        <v>#REF!</v>
      </c>
      <c r="M57" s="617" t="e">
        <f t="shared" si="9"/>
        <v>#REF!</v>
      </c>
      <c r="N57" s="613" t="e">
        <f t="shared" si="11"/>
        <v>#REF!</v>
      </c>
      <c r="O57" s="614" t="e">
        <f t="shared" si="12"/>
        <v>#REF!</v>
      </c>
      <c r="P57" s="608" t="s">
        <v>1120</v>
      </c>
      <c r="Q57" s="543" t="s">
        <v>1121</v>
      </c>
      <c r="R57" s="599" t="s">
        <v>1114</v>
      </c>
      <c r="S57" s="525" t="e">
        <f t="shared" si="10"/>
        <v>#REF!</v>
      </c>
    </row>
    <row r="58" spans="2:19" ht="11.25" customHeight="1">
      <c r="B58" s="568">
        <v>45312</v>
      </c>
      <c r="C58" s="573" t="s">
        <v>1109</v>
      </c>
      <c r="D58" s="569"/>
      <c r="E58" s="569">
        <v>17</v>
      </c>
      <c r="F58" s="569" t="s">
        <v>107</v>
      </c>
      <c r="G58" s="569"/>
      <c r="H58" s="571"/>
      <c r="I58" s="570"/>
      <c r="J58" s="572"/>
      <c r="K58" s="639">
        <v>10000</v>
      </c>
      <c r="L58" s="542" t="e">
        <f>'통장내역(환율표)'!#REF!</f>
        <v>#REF!</v>
      </c>
      <c r="M58" s="617" t="e">
        <f t="shared" si="9"/>
        <v>#REF!</v>
      </c>
      <c r="N58" s="613" t="e">
        <f t="shared" si="11"/>
        <v>#REF!</v>
      </c>
      <c r="O58" s="614" t="e">
        <f t="shared" si="12"/>
        <v>#REF!</v>
      </c>
      <c r="P58" s="608" t="s">
        <v>1120</v>
      </c>
      <c r="Q58" s="543" t="s">
        <v>1121</v>
      </c>
      <c r="R58" s="599" t="s">
        <v>1114</v>
      </c>
      <c r="S58" s="525" t="e">
        <f t="shared" si="10"/>
        <v>#REF!</v>
      </c>
    </row>
    <row r="59" spans="2:19" ht="11.25" customHeight="1">
      <c r="B59" s="568">
        <v>45312</v>
      </c>
      <c r="C59" s="573" t="s">
        <v>939</v>
      </c>
      <c r="D59" s="569"/>
      <c r="E59" s="569">
        <v>17</v>
      </c>
      <c r="F59" s="569" t="s">
        <v>107</v>
      </c>
      <c r="G59" s="569"/>
      <c r="H59" s="571"/>
      <c r="I59" s="570"/>
      <c r="J59" s="572"/>
      <c r="K59" s="638">
        <v>6672.19</v>
      </c>
      <c r="L59" s="542" t="e">
        <f>'통장내역(환율표)'!#REF!</f>
        <v>#REF!</v>
      </c>
      <c r="M59" s="617" t="e">
        <f t="shared" ref="M59:M90" si="13">K59/L59</f>
        <v>#REF!</v>
      </c>
      <c r="N59" s="613" t="e">
        <f t="shared" si="11"/>
        <v>#REF!</v>
      </c>
      <c r="O59" s="614" t="e">
        <f t="shared" si="12"/>
        <v>#REF!</v>
      </c>
      <c r="P59" s="608" t="s">
        <v>1120</v>
      </c>
      <c r="Q59" s="543" t="s">
        <v>1121</v>
      </c>
      <c r="R59" s="599" t="s">
        <v>1114</v>
      </c>
      <c r="S59" s="525" t="e">
        <f t="shared" si="10"/>
        <v>#REF!</v>
      </c>
    </row>
    <row r="60" spans="2:19" ht="11.25" customHeight="1">
      <c r="B60" s="568">
        <v>45312</v>
      </c>
      <c r="C60" s="573" t="s">
        <v>892</v>
      </c>
      <c r="D60" s="569"/>
      <c r="E60" s="569">
        <v>17</v>
      </c>
      <c r="F60" s="569" t="s">
        <v>107</v>
      </c>
      <c r="G60" s="569"/>
      <c r="H60" s="571"/>
      <c r="I60" s="570"/>
      <c r="J60" s="572"/>
      <c r="K60" s="638">
        <v>300</v>
      </c>
      <c r="L60" s="542" t="e">
        <f>'통장내역(환율표)'!#REF!</f>
        <v>#REF!</v>
      </c>
      <c r="M60" s="617" t="e">
        <f t="shared" si="13"/>
        <v>#REF!</v>
      </c>
      <c r="N60" s="613" t="e">
        <f t="shared" si="11"/>
        <v>#REF!</v>
      </c>
      <c r="O60" s="614" t="e">
        <f t="shared" si="12"/>
        <v>#REF!</v>
      </c>
      <c r="P60" s="608" t="s">
        <v>1120</v>
      </c>
      <c r="Q60" s="543" t="s">
        <v>1121</v>
      </c>
      <c r="R60" s="599" t="s">
        <v>1114</v>
      </c>
      <c r="S60" s="525" t="e">
        <f t="shared" si="10"/>
        <v>#REF!</v>
      </c>
    </row>
    <row r="61" spans="2:19" ht="11.25" customHeight="1">
      <c r="B61" s="568">
        <v>45312</v>
      </c>
      <c r="C61" s="573" t="s">
        <v>983</v>
      </c>
      <c r="D61" s="569"/>
      <c r="E61" s="569">
        <v>17</v>
      </c>
      <c r="F61" s="569" t="s">
        <v>107</v>
      </c>
      <c r="G61" s="569"/>
      <c r="H61" s="571"/>
      <c r="I61" s="570"/>
      <c r="J61" s="572"/>
      <c r="K61" s="638">
        <v>300</v>
      </c>
      <c r="L61" s="542" t="e">
        <f>'통장내역(환율표)'!#REF!</f>
        <v>#REF!</v>
      </c>
      <c r="M61" s="617" t="e">
        <f t="shared" si="13"/>
        <v>#REF!</v>
      </c>
      <c r="N61" s="613" t="e">
        <f t="shared" si="11"/>
        <v>#REF!</v>
      </c>
      <c r="O61" s="614" t="e">
        <f t="shared" si="12"/>
        <v>#REF!</v>
      </c>
      <c r="P61" s="608" t="s">
        <v>1120</v>
      </c>
      <c r="Q61" s="543" t="s">
        <v>1121</v>
      </c>
      <c r="R61" s="599" t="s">
        <v>1114</v>
      </c>
      <c r="S61" s="525" t="e">
        <f t="shared" si="10"/>
        <v>#REF!</v>
      </c>
    </row>
    <row r="62" spans="2:19" ht="11.25" customHeight="1">
      <c r="B62" s="568">
        <v>45312</v>
      </c>
      <c r="C62" s="573" t="s">
        <v>445</v>
      </c>
      <c r="D62" s="569"/>
      <c r="E62" s="569">
        <v>18</v>
      </c>
      <c r="F62" s="569" t="s">
        <v>107</v>
      </c>
      <c r="G62" s="569"/>
      <c r="H62" s="571"/>
      <c r="I62" s="570"/>
      <c r="J62" s="572"/>
      <c r="K62" s="604">
        <v>12</v>
      </c>
      <c r="L62" s="542" t="e">
        <f>'통장내역(환율표)'!#REF!</f>
        <v>#REF!</v>
      </c>
      <c r="M62" s="617" t="e">
        <f t="shared" si="13"/>
        <v>#REF!</v>
      </c>
      <c r="N62" s="613" t="e">
        <f t="shared" si="11"/>
        <v>#REF!</v>
      </c>
      <c r="O62" s="614" t="e">
        <f t="shared" si="12"/>
        <v>#REF!</v>
      </c>
      <c r="P62" s="608" t="s">
        <v>1120</v>
      </c>
      <c r="Q62" s="543" t="s">
        <v>1121</v>
      </c>
      <c r="R62" s="641"/>
      <c r="S62" s="525" t="e">
        <f t="shared" si="10"/>
        <v>#REF!</v>
      </c>
    </row>
    <row r="63" spans="2:19" ht="11.25" hidden="1" customHeight="1">
      <c r="B63" s="568">
        <v>45312</v>
      </c>
      <c r="C63" s="600" t="s">
        <v>996</v>
      </c>
      <c r="D63" s="569"/>
      <c r="E63" s="569">
        <v>19</v>
      </c>
      <c r="F63" s="569" t="s">
        <v>146</v>
      </c>
      <c r="G63" s="569" t="s">
        <v>147</v>
      </c>
      <c r="H63" s="571"/>
      <c r="I63" s="570"/>
      <c r="J63" s="572"/>
      <c r="K63" s="604">
        <v>1783.3</v>
      </c>
      <c r="L63" s="542" t="e">
        <f>'통장내역(환율표)'!#REF!</f>
        <v>#REF!</v>
      </c>
      <c r="M63" s="617" t="e">
        <f t="shared" si="13"/>
        <v>#REF!</v>
      </c>
      <c r="N63" s="613" t="e">
        <f t="shared" si="11"/>
        <v>#REF!</v>
      </c>
      <c r="O63" s="614" t="e">
        <f t="shared" si="12"/>
        <v>#REF!</v>
      </c>
      <c r="P63" s="608" t="s">
        <v>1120</v>
      </c>
      <c r="Q63" s="543" t="s">
        <v>1121</v>
      </c>
      <c r="R63" s="641"/>
      <c r="S63" s="525" t="e">
        <f t="shared" si="10"/>
        <v>#REF!</v>
      </c>
    </row>
    <row r="64" spans="2:19" ht="11.25" hidden="1" customHeight="1">
      <c r="B64" s="568">
        <v>45312</v>
      </c>
      <c r="C64" s="600" t="s">
        <v>994</v>
      </c>
      <c r="D64" s="569"/>
      <c r="E64" s="569">
        <v>20</v>
      </c>
      <c r="F64" s="569" t="s">
        <v>146</v>
      </c>
      <c r="G64" s="569" t="s">
        <v>147</v>
      </c>
      <c r="H64" s="571"/>
      <c r="I64" s="570"/>
      <c r="J64" s="572"/>
      <c r="K64" s="604">
        <v>982</v>
      </c>
      <c r="L64" s="542" t="e">
        <f>'통장내역(환율표)'!#REF!</f>
        <v>#REF!</v>
      </c>
      <c r="M64" s="617" t="e">
        <f t="shared" si="13"/>
        <v>#REF!</v>
      </c>
      <c r="N64" s="613" t="e">
        <f t="shared" si="11"/>
        <v>#REF!</v>
      </c>
      <c r="O64" s="614" t="e">
        <f t="shared" si="12"/>
        <v>#REF!</v>
      </c>
      <c r="P64" s="608" t="s">
        <v>1120</v>
      </c>
      <c r="Q64" s="543" t="s">
        <v>1121</v>
      </c>
      <c r="R64" s="641"/>
      <c r="S64" s="525" t="e">
        <f t="shared" si="10"/>
        <v>#REF!</v>
      </c>
    </row>
    <row r="65" spans="2:20" ht="11.25" hidden="1" customHeight="1">
      <c r="B65" s="568">
        <v>45312</v>
      </c>
      <c r="C65" s="600" t="s">
        <v>995</v>
      </c>
      <c r="D65" s="569"/>
      <c r="E65" s="569">
        <v>21</v>
      </c>
      <c r="F65" s="569" t="s">
        <v>146</v>
      </c>
      <c r="G65" s="569" t="s">
        <v>147</v>
      </c>
      <c r="H65" s="571"/>
      <c r="I65" s="570"/>
      <c r="J65" s="572"/>
      <c r="K65" s="601">
        <v>348</v>
      </c>
      <c r="L65" s="542" t="e">
        <f>'통장내역(환율표)'!#REF!</f>
        <v>#REF!</v>
      </c>
      <c r="M65" s="617" t="e">
        <f t="shared" si="13"/>
        <v>#REF!</v>
      </c>
      <c r="N65" s="613" t="e">
        <f t="shared" si="11"/>
        <v>#REF!</v>
      </c>
      <c r="O65" s="614" t="e">
        <f t="shared" si="12"/>
        <v>#REF!</v>
      </c>
      <c r="P65" s="608" t="s">
        <v>1120</v>
      </c>
      <c r="Q65" s="543" t="s">
        <v>1121</v>
      </c>
      <c r="R65" s="641"/>
      <c r="S65" s="525" t="e">
        <f t="shared" si="10"/>
        <v>#REF!</v>
      </c>
    </row>
    <row r="66" spans="2:20" ht="10.95" customHeight="1">
      <c r="B66" s="568">
        <v>45312</v>
      </c>
      <c r="C66" s="600" t="s">
        <v>250</v>
      </c>
      <c r="D66" s="569"/>
      <c r="E66" s="569">
        <v>22</v>
      </c>
      <c r="F66" s="569" t="s">
        <v>107</v>
      </c>
      <c r="G66" s="569"/>
      <c r="H66" s="571"/>
      <c r="I66" s="570"/>
      <c r="J66" s="572"/>
      <c r="K66" s="601">
        <v>3.6</v>
      </c>
      <c r="L66" s="542" t="e">
        <f>'통장내역(환율표)'!#REF!</f>
        <v>#REF!</v>
      </c>
      <c r="M66" s="617" t="e">
        <f t="shared" si="13"/>
        <v>#REF!</v>
      </c>
      <c r="N66" s="613" t="e">
        <f t="shared" si="11"/>
        <v>#REF!</v>
      </c>
      <c r="O66" s="614" t="e">
        <f t="shared" si="12"/>
        <v>#REF!</v>
      </c>
      <c r="P66" s="608" t="s">
        <v>1120</v>
      </c>
      <c r="Q66" s="543" t="s">
        <v>1121</v>
      </c>
      <c r="R66" s="641"/>
      <c r="S66" s="525" t="e">
        <f t="shared" si="10"/>
        <v>#REF!</v>
      </c>
    </row>
    <row r="67" spans="2:20" ht="11.25" hidden="1" customHeight="1">
      <c r="B67" s="568">
        <v>45312</v>
      </c>
      <c r="C67" s="600" t="s">
        <v>999</v>
      </c>
      <c r="D67" s="569"/>
      <c r="E67" s="569">
        <v>23</v>
      </c>
      <c r="F67" s="569" t="s">
        <v>146</v>
      </c>
      <c r="G67" s="569" t="s">
        <v>147</v>
      </c>
      <c r="H67" s="571"/>
      <c r="I67" s="570"/>
      <c r="J67" s="572"/>
      <c r="K67" s="601">
        <v>2885</v>
      </c>
      <c r="L67" s="542" t="e">
        <f>'통장내역(환율표)'!#REF!</f>
        <v>#REF!</v>
      </c>
      <c r="M67" s="617" t="e">
        <f t="shared" si="13"/>
        <v>#REF!</v>
      </c>
      <c r="N67" s="613" t="e">
        <f t="shared" si="11"/>
        <v>#REF!</v>
      </c>
      <c r="O67" s="614" t="e">
        <f t="shared" si="12"/>
        <v>#REF!</v>
      </c>
      <c r="P67" s="608" t="s">
        <v>1120</v>
      </c>
      <c r="Q67" s="543" t="s">
        <v>1121</v>
      </c>
      <c r="R67" s="543"/>
      <c r="S67" s="525" t="e">
        <f t="shared" si="10"/>
        <v>#REF!</v>
      </c>
    </row>
    <row r="68" spans="2:20" ht="11.25" hidden="1" customHeight="1">
      <c r="B68" s="568">
        <v>45312</v>
      </c>
      <c r="C68" s="600" t="s">
        <v>997</v>
      </c>
      <c r="D68" s="569"/>
      <c r="E68" s="569">
        <v>24</v>
      </c>
      <c r="F68" s="569" t="s">
        <v>146</v>
      </c>
      <c r="G68" s="569" t="s">
        <v>147</v>
      </c>
      <c r="H68" s="571"/>
      <c r="I68" s="570"/>
      <c r="J68" s="572"/>
      <c r="K68" s="601">
        <v>1147</v>
      </c>
      <c r="L68" s="542" t="e">
        <f>'통장내역(환율표)'!#REF!</f>
        <v>#REF!</v>
      </c>
      <c r="M68" s="617" t="e">
        <f t="shared" si="13"/>
        <v>#REF!</v>
      </c>
      <c r="N68" s="613" t="e">
        <f t="shared" si="11"/>
        <v>#REF!</v>
      </c>
      <c r="O68" s="614" t="e">
        <f t="shared" si="12"/>
        <v>#REF!</v>
      </c>
      <c r="P68" s="608" t="s">
        <v>1120</v>
      </c>
      <c r="Q68" s="543" t="s">
        <v>1121</v>
      </c>
      <c r="R68" s="543"/>
      <c r="S68" s="525" t="e">
        <f t="shared" si="10"/>
        <v>#REF!</v>
      </c>
    </row>
    <row r="69" spans="2:20" ht="11.25" hidden="1" customHeight="1">
      <c r="B69" s="568">
        <v>45312</v>
      </c>
      <c r="C69" s="600" t="s">
        <v>998</v>
      </c>
      <c r="D69" s="569"/>
      <c r="E69" s="569">
        <v>25</v>
      </c>
      <c r="F69" s="569" t="s">
        <v>146</v>
      </c>
      <c r="G69" s="569" t="s">
        <v>147</v>
      </c>
      <c r="H69" s="571"/>
      <c r="I69" s="570"/>
      <c r="J69" s="572"/>
      <c r="K69" s="601">
        <v>281</v>
      </c>
      <c r="L69" s="542" t="e">
        <f>'통장내역(환율표)'!#REF!</f>
        <v>#REF!</v>
      </c>
      <c r="M69" s="617" t="e">
        <f t="shared" si="13"/>
        <v>#REF!</v>
      </c>
      <c r="N69" s="613" t="e">
        <f t="shared" si="11"/>
        <v>#REF!</v>
      </c>
      <c r="O69" s="614" t="e">
        <f t="shared" si="12"/>
        <v>#REF!</v>
      </c>
      <c r="P69" s="608" t="s">
        <v>1120</v>
      </c>
      <c r="Q69" s="543" t="s">
        <v>1121</v>
      </c>
      <c r="R69" s="543"/>
      <c r="S69" s="525" t="e">
        <f t="shared" si="10"/>
        <v>#REF!</v>
      </c>
    </row>
    <row r="70" spans="2:20" ht="10.95" customHeight="1">
      <c r="B70" s="568">
        <v>45312</v>
      </c>
      <c r="C70" s="600" t="s">
        <v>250</v>
      </c>
      <c r="D70" s="569"/>
      <c r="E70" s="569">
        <v>26</v>
      </c>
      <c r="F70" s="569" t="s">
        <v>107</v>
      </c>
      <c r="G70" s="569"/>
      <c r="H70" s="571"/>
      <c r="I70" s="570"/>
      <c r="J70" s="572"/>
      <c r="K70" s="601">
        <v>3.6</v>
      </c>
      <c r="L70" s="542" t="e">
        <f>'통장내역(환율표)'!#REF!</f>
        <v>#REF!</v>
      </c>
      <c r="M70" s="617" t="e">
        <f t="shared" si="13"/>
        <v>#REF!</v>
      </c>
      <c r="N70" s="613" t="e">
        <f t="shared" si="11"/>
        <v>#REF!</v>
      </c>
      <c r="O70" s="614" t="e">
        <f t="shared" si="12"/>
        <v>#REF!</v>
      </c>
      <c r="P70" s="608" t="s">
        <v>1120</v>
      </c>
      <c r="Q70" s="543" t="s">
        <v>1121</v>
      </c>
      <c r="R70" s="543"/>
      <c r="S70" s="525" t="e">
        <f t="shared" si="10"/>
        <v>#REF!</v>
      </c>
    </row>
    <row r="71" spans="2:20" ht="11.25" hidden="1" customHeight="1">
      <c r="B71" s="568">
        <v>45312</v>
      </c>
      <c r="C71" s="600" t="s">
        <v>1090</v>
      </c>
      <c r="D71" s="569"/>
      <c r="E71" s="569">
        <v>27</v>
      </c>
      <c r="F71" s="569" t="s">
        <v>146</v>
      </c>
      <c r="G71" s="569" t="s">
        <v>147</v>
      </c>
      <c r="H71" s="571"/>
      <c r="I71" s="570"/>
      <c r="J71" s="572"/>
      <c r="K71" s="603">
        <v>914.11</v>
      </c>
      <c r="L71" s="542" t="e">
        <f>'통장내역(환율표)'!#REF!</f>
        <v>#REF!</v>
      </c>
      <c r="M71" s="617" t="e">
        <f t="shared" si="13"/>
        <v>#REF!</v>
      </c>
      <c r="N71" s="613" t="e">
        <f t="shared" si="11"/>
        <v>#REF!</v>
      </c>
      <c r="O71" s="614" t="e">
        <f t="shared" si="12"/>
        <v>#REF!</v>
      </c>
      <c r="P71" s="608" t="s">
        <v>1120</v>
      </c>
      <c r="Q71" s="543" t="s">
        <v>1121</v>
      </c>
      <c r="R71" s="543"/>
      <c r="S71" s="525" t="e">
        <f t="shared" si="10"/>
        <v>#REF!</v>
      </c>
    </row>
    <row r="72" spans="2:20" ht="11.25" hidden="1" customHeight="1">
      <c r="B72" s="568">
        <v>45312</v>
      </c>
      <c r="C72" s="600" t="s">
        <v>1089</v>
      </c>
      <c r="D72" s="569"/>
      <c r="E72" s="569">
        <v>28</v>
      </c>
      <c r="F72" s="569" t="s">
        <v>146</v>
      </c>
      <c r="G72" s="569" t="s">
        <v>147</v>
      </c>
      <c r="H72" s="571"/>
      <c r="I72" s="570"/>
      <c r="J72" s="572"/>
      <c r="K72" s="603">
        <v>4929</v>
      </c>
      <c r="L72" s="542" t="e">
        <f>'통장내역(환율표)'!#REF!</f>
        <v>#REF!</v>
      </c>
      <c r="M72" s="617" t="e">
        <f t="shared" si="13"/>
        <v>#REF!</v>
      </c>
      <c r="N72" s="613" t="e">
        <f t="shared" si="11"/>
        <v>#REF!</v>
      </c>
      <c r="O72" s="614" t="e">
        <f t="shared" si="12"/>
        <v>#REF!</v>
      </c>
      <c r="P72" s="608" t="s">
        <v>1120</v>
      </c>
      <c r="Q72" s="543" t="s">
        <v>1121</v>
      </c>
      <c r="R72" s="543"/>
      <c r="S72" s="525" t="e">
        <f t="shared" si="10"/>
        <v>#REF!</v>
      </c>
    </row>
    <row r="73" spans="2:20" ht="11.25" customHeight="1">
      <c r="B73" s="568">
        <v>45312</v>
      </c>
      <c r="C73" s="600" t="s">
        <v>1007</v>
      </c>
      <c r="D73" s="569"/>
      <c r="E73" s="569">
        <v>29</v>
      </c>
      <c r="F73" s="569" t="s">
        <v>107</v>
      </c>
      <c r="G73" s="569"/>
      <c r="H73" s="571"/>
      <c r="I73" s="570"/>
      <c r="J73" s="572"/>
      <c r="K73" s="603">
        <v>374.7</v>
      </c>
      <c r="L73" s="542" t="e">
        <f>'통장내역(환율표)'!#REF!</f>
        <v>#REF!</v>
      </c>
      <c r="M73" s="617" t="e">
        <f t="shared" si="13"/>
        <v>#REF!</v>
      </c>
      <c r="N73" s="613" t="e">
        <f t="shared" si="11"/>
        <v>#REF!</v>
      </c>
      <c r="O73" s="614" t="e">
        <f t="shared" si="12"/>
        <v>#REF!</v>
      </c>
      <c r="P73" s="608" t="s">
        <v>1120</v>
      </c>
      <c r="Q73" s="543" t="s">
        <v>1121</v>
      </c>
      <c r="R73" s="543"/>
      <c r="S73" s="525" t="e">
        <f t="shared" si="10"/>
        <v>#REF!</v>
      </c>
    </row>
    <row r="74" spans="2:20" ht="11.25" customHeight="1">
      <c r="B74" s="568">
        <v>45312</v>
      </c>
      <c r="C74" s="600" t="s">
        <v>1115</v>
      </c>
      <c r="D74" s="569"/>
      <c r="E74" s="569">
        <v>30</v>
      </c>
      <c r="F74" s="569" t="s">
        <v>107</v>
      </c>
      <c r="G74" s="569"/>
      <c r="H74" s="571"/>
      <c r="I74" s="570"/>
      <c r="J74" s="572"/>
      <c r="K74" s="603">
        <v>64.78</v>
      </c>
      <c r="L74" s="542" t="e">
        <f>'통장내역(환율표)'!#REF!</f>
        <v>#REF!</v>
      </c>
      <c r="M74" s="617" t="e">
        <f t="shared" si="13"/>
        <v>#REF!</v>
      </c>
      <c r="N74" s="613" t="e">
        <f t="shared" si="11"/>
        <v>#REF!</v>
      </c>
      <c r="O74" s="614" t="e">
        <f t="shared" si="12"/>
        <v>#REF!</v>
      </c>
      <c r="P74" s="608" t="s">
        <v>1120</v>
      </c>
      <c r="Q74" s="543" t="s">
        <v>1121</v>
      </c>
      <c r="R74" s="543"/>
      <c r="S74" s="525" t="e">
        <f t="shared" si="10"/>
        <v>#REF!</v>
      </c>
    </row>
    <row r="75" spans="2:20" ht="11.25" customHeight="1">
      <c r="B75" s="568">
        <v>45312</v>
      </c>
      <c r="C75" s="600" t="s">
        <v>250</v>
      </c>
      <c r="D75" s="569"/>
      <c r="E75" s="569">
        <v>31</v>
      </c>
      <c r="F75" s="569" t="s">
        <v>107</v>
      </c>
      <c r="G75" s="569"/>
      <c r="H75" s="571"/>
      <c r="I75" s="570"/>
      <c r="J75" s="572"/>
      <c r="K75" s="603">
        <v>3.6</v>
      </c>
      <c r="L75" s="542" t="e">
        <f>'통장내역(환율표)'!#REF!</f>
        <v>#REF!</v>
      </c>
      <c r="M75" s="617" t="e">
        <f t="shared" si="13"/>
        <v>#REF!</v>
      </c>
      <c r="N75" s="613" t="e">
        <f t="shared" si="11"/>
        <v>#REF!</v>
      </c>
      <c r="O75" s="614" t="e">
        <f t="shared" si="12"/>
        <v>#REF!</v>
      </c>
      <c r="P75" s="608" t="s">
        <v>1120</v>
      </c>
      <c r="Q75" s="543" t="s">
        <v>1121</v>
      </c>
      <c r="R75" s="543"/>
      <c r="S75" s="525" t="e">
        <f t="shared" si="10"/>
        <v>#REF!</v>
      </c>
    </row>
    <row r="76" spans="2:20" ht="11.25" hidden="1" customHeight="1">
      <c r="B76" s="568">
        <v>45312</v>
      </c>
      <c r="C76" s="573" t="s">
        <v>1116</v>
      </c>
      <c r="D76" s="569"/>
      <c r="E76" s="569">
        <v>32</v>
      </c>
      <c r="F76" s="569" t="s">
        <v>146</v>
      </c>
      <c r="G76" s="569" t="s">
        <v>147</v>
      </c>
      <c r="H76" s="571"/>
      <c r="I76" s="570"/>
      <c r="J76" s="572"/>
      <c r="K76" s="603">
        <v>2640</v>
      </c>
      <c r="L76" s="542" t="e">
        <f>'통장내역(환율표)'!#REF!</f>
        <v>#REF!</v>
      </c>
      <c r="M76" s="617" t="e">
        <f t="shared" si="13"/>
        <v>#REF!</v>
      </c>
      <c r="N76" s="613" t="e">
        <f t="shared" si="11"/>
        <v>#REF!</v>
      </c>
      <c r="O76" s="614" t="e">
        <f t="shared" si="12"/>
        <v>#REF!</v>
      </c>
      <c r="P76" s="608" t="s">
        <v>1120</v>
      </c>
      <c r="Q76" s="543" t="s">
        <v>1121</v>
      </c>
      <c r="R76" s="543"/>
      <c r="S76" s="525" t="e">
        <f t="shared" si="10"/>
        <v>#REF!</v>
      </c>
      <c r="T76" s="574"/>
    </row>
    <row r="77" spans="2:20" ht="11.25" hidden="1" customHeight="1">
      <c r="B77" s="568">
        <v>45312</v>
      </c>
      <c r="C77" s="600" t="s">
        <v>1093</v>
      </c>
      <c r="D77" s="569"/>
      <c r="E77" s="569">
        <v>33</v>
      </c>
      <c r="F77" s="569" t="s">
        <v>146</v>
      </c>
      <c r="G77" s="569" t="s">
        <v>147</v>
      </c>
      <c r="H77" s="571"/>
      <c r="I77" s="570"/>
      <c r="J77" s="572"/>
      <c r="K77" s="603">
        <v>2844.66</v>
      </c>
      <c r="L77" s="542" t="e">
        <f>'통장내역(환율표)'!#REF!</f>
        <v>#REF!</v>
      </c>
      <c r="M77" s="617" t="e">
        <f t="shared" si="13"/>
        <v>#REF!</v>
      </c>
      <c r="N77" s="613" t="e">
        <f t="shared" si="11"/>
        <v>#REF!</v>
      </c>
      <c r="O77" s="614" t="e">
        <f t="shared" si="12"/>
        <v>#REF!</v>
      </c>
      <c r="P77" s="608" t="s">
        <v>1120</v>
      </c>
      <c r="Q77" s="543" t="s">
        <v>1121</v>
      </c>
      <c r="R77" s="543"/>
      <c r="S77" s="525" t="e">
        <f t="shared" si="10"/>
        <v>#REF!</v>
      </c>
      <c r="T77" s="574"/>
    </row>
    <row r="78" spans="2:20" ht="11.25" customHeight="1">
      <c r="B78" s="568">
        <v>45312</v>
      </c>
      <c r="C78" s="600" t="s">
        <v>1092</v>
      </c>
      <c r="D78" s="569"/>
      <c r="E78" s="569">
        <v>34</v>
      </c>
      <c r="F78" s="569" t="s">
        <v>107</v>
      </c>
      <c r="G78" s="569"/>
      <c r="H78" s="571"/>
      <c r="I78" s="570"/>
      <c r="J78" s="572"/>
      <c r="K78" s="603">
        <v>331.89</v>
      </c>
      <c r="L78" s="542" t="e">
        <f>'통장내역(환율표)'!#REF!</f>
        <v>#REF!</v>
      </c>
      <c r="M78" s="617" t="e">
        <f t="shared" si="13"/>
        <v>#REF!</v>
      </c>
      <c r="N78" s="613" t="e">
        <f t="shared" si="11"/>
        <v>#REF!</v>
      </c>
      <c r="O78" s="614" t="e">
        <f t="shared" si="12"/>
        <v>#REF!</v>
      </c>
      <c r="P78" s="608" t="s">
        <v>1120</v>
      </c>
      <c r="Q78" s="543" t="s">
        <v>1121</v>
      </c>
      <c r="R78" s="543"/>
      <c r="S78" s="525" t="e">
        <f t="shared" si="10"/>
        <v>#REF!</v>
      </c>
      <c r="T78" s="574"/>
    </row>
    <row r="79" spans="2:20" ht="11.25" hidden="1" customHeight="1">
      <c r="B79" s="568">
        <v>45312</v>
      </c>
      <c r="C79" s="600" t="s">
        <v>1091</v>
      </c>
      <c r="D79" s="569"/>
      <c r="E79" s="569">
        <v>35</v>
      </c>
      <c r="F79" s="569" t="s">
        <v>116</v>
      </c>
      <c r="G79" s="569" t="s">
        <v>140</v>
      </c>
      <c r="H79" s="571"/>
      <c r="I79" s="570"/>
      <c r="J79" s="572"/>
      <c r="K79" s="603">
        <v>98.5</v>
      </c>
      <c r="L79" s="542" t="e">
        <f>'통장내역(환율표)'!#REF!</f>
        <v>#REF!</v>
      </c>
      <c r="M79" s="617" t="e">
        <f t="shared" si="13"/>
        <v>#REF!</v>
      </c>
      <c r="N79" s="613" t="e">
        <f t="shared" si="11"/>
        <v>#REF!</v>
      </c>
      <c r="O79" s="614" t="e">
        <f t="shared" si="12"/>
        <v>#REF!</v>
      </c>
      <c r="P79" s="608" t="s">
        <v>1120</v>
      </c>
      <c r="Q79" s="543" t="s">
        <v>1121</v>
      </c>
      <c r="R79" s="543"/>
      <c r="S79" s="525" t="e">
        <f t="shared" si="10"/>
        <v>#REF!</v>
      </c>
      <c r="T79" s="574"/>
    </row>
    <row r="80" spans="2:20" ht="11.25" customHeight="1">
      <c r="B80" s="568">
        <v>45312</v>
      </c>
      <c r="C80" s="600" t="s">
        <v>250</v>
      </c>
      <c r="D80" s="569"/>
      <c r="E80" s="569">
        <v>36</v>
      </c>
      <c r="F80" s="569" t="s">
        <v>107</v>
      </c>
      <c r="G80" s="569"/>
      <c r="H80" s="571"/>
      <c r="I80" s="570"/>
      <c r="J80" s="572"/>
      <c r="K80" s="603">
        <v>3.6</v>
      </c>
      <c r="L80" s="542" t="e">
        <f>'통장내역(환율표)'!#REF!</f>
        <v>#REF!</v>
      </c>
      <c r="M80" s="617" t="e">
        <f t="shared" si="13"/>
        <v>#REF!</v>
      </c>
      <c r="N80" s="613" t="e">
        <f t="shared" si="11"/>
        <v>#REF!</v>
      </c>
      <c r="O80" s="614" t="e">
        <f t="shared" si="12"/>
        <v>#REF!</v>
      </c>
      <c r="P80" s="608" t="s">
        <v>1120</v>
      </c>
      <c r="Q80" s="543" t="s">
        <v>1121</v>
      </c>
      <c r="R80" s="543"/>
      <c r="S80" s="525" t="e">
        <f t="shared" si="10"/>
        <v>#REF!</v>
      </c>
      <c r="T80" s="574"/>
    </row>
    <row r="81" spans="2:20" ht="11.25" hidden="1" customHeight="1">
      <c r="B81" s="568">
        <v>45312</v>
      </c>
      <c r="C81" s="600" t="s">
        <v>1094</v>
      </c>
      <c r="D81" s="569"/>
      <c r="E81" s="569">
        <v>37</v>
      </c>
      <c r="F81" s="569" t="s">
        <v>146</v>
      </c>
      <c r="G81" s="569" t="s">
        <v>147</v>
      </c>
      <c r="H81" s="571"/>
      <c r="I81" s="570"/>
      <c r="J81" s="572"/>
      <c r="K81" s="603">
        <f>1640+2822+1583.46</f>
        <v>6045.46</v>
      </c>
      <c r="L81" s="542" t="e">
        <f>'통장내역(환율표)'!#REF!</f>
        <v>#REF!</v>
      </c>
      <c r="M81" s="617" t="e">
        <f t="shared" si="13"/>
        <v>#REF!</v>
      </c>
      <c r="N81" s="613" t="e">
        <f t="shared" si="11"/>
        <v>#REF!</v>
      </c>
      <c r="O81" s="614" t="e">
        <f t="shared" si="12"/>
        <v>#REF!</v>
      </c>
      <c r="P81" s="608" t="s">
        <v>1120</v>
      </c>
      <c r="Q81" s="543" t="s">
        <v>1121</v>
      </c>
      <c r="R81" s="543"/>
      <c r="S81" s="525" t="e">
        <f t="shared" si="10"/>
        <v>#REF!</v>
      </c>
      <c r="T81" s="574"/>
    </row>
    <row r="82" spans="2:20" ht="11.25" hidden="1" customHeight="1">
      <c r="B82" s="568">
        <v>45312</v>
      </c>
      <c r="C82" s="600" t="s">
        <v>1015</v>
      </c>
      <c r="D82" s="569"/>
      <c r="E82" s="569">
        <v>38</v>
      </c>
      <c r="F82" s="569" t="s">
        <v>125</v>
      </c>
      <c r="G82" s="569" t="s">
        <v>145</v>
      </c>
      <c r="H82" s="571"/>
      <c r="I82" s="570"/>
      <c r="J82" s="572"/>
      <c r="K82" s="603">
        <f>11346.5-5568</f>
        <v>5778.5</v>
      </c>
      <c r="L82" s="542" t="e">
        <f>'통장내역(환율표)'!#REF!</f>
        <v>#REF!</v>
      </c>
      <c r="M82" s="617" t="e">
        <f t="shared" si="13"/>
        <v>#REF!</v>
      </c>
      <c r="N82" s="613" t="e">
        <f t="shared" si="11"/>
        <v>#REF!</v>
      </c>
      <c r="O82" s="614" t="e">
        <f t="shared" si="12"/>
        <v>#REF!</v>
      </c>
      <c r="P82" s="608" t="s">
        <v>1120</v>
      </c>
      <c r="Q82" s="543" t="s">
        <v>1121</v>
      </c>
      <c r="R82" s="543" t="s">
        <v>1124</v>
      </c>
      <c r="S82" s="525" t="e">
        <f t="shared" si="10"/>
        <v>#REF!</v>
      </c>
      <c r="T82" s="574"/>
    </row>
    <row r="83" spans="2:20" ht="11.25" hidden="1" customHeight="1">
      <c r="B83" s="568">
        <v>45312</v>
      </c>
      <c r="C83" s="600" t="s">
        <v>1095</v>
      </c>
      <c r="D83" s="569"/>
      <c r="E83" s="569">
        <v>39</v>
      </c>
      <c r="F83" s="569" t="s">
        <v>146</v>
      </c>
      <c r="G83" s="569" t="s">
        <v>147</v>
      </c>
      <c r="H83" s="571"/>
      <c r="I83" s="570"/>
      <c r="J83" s="572"/>
      <c r="K83" s="603">
        <v>843.52</v>
      </c>
      <c r="L83" s="542" t="e">
        <f>'통장내역(환율표)'!#REF!</f>
        <v>#REF!</v>
      </c>
      <c r="M83" s="617" t="e">
        <f t="shared" si="13"/>
        <v>#REF!</v>
      </c>
      <c r="N83" s="613" t="e">
        <f t="shared" ref="N83:N95" si="14">N82+H83-K83</f>
        <v>#REF!</v>
      </c>
      <c r="O83" s="614" t="e">
        <f t="shared" ref="O83:O95" si="15">O82+J83-M83</f>
        <v>#REF!</v>
      </c>
      <c r="P83" s="608" t="s">
        <v>1120</v>
      </c>
      <c r="Q83" s="543" t="s">
        <v>1121</v>
      </c>
      <c r="R83" s="543"/>
      <c r="S83" s="525" t="e">
        <f t="shared" si="10"/>
        <v>#REF!</v>
      </c>
      <c r="T83" s="574"/>
    </row>
    <row r="84" spans="2:20" ht="11.25" customHeight="1">
      <c r="B84" s="568">
        <v>45312</v>
      </c>
      <c r="C84" s="600" t="s">
        <v>1117</v>
      </c>
      <c r="D84" s="569"/>
      <c r="E84" s="569">
        <v>40</v>
      </c>
      <c r="F84" s="569" t="s">
        <v>107</v>
      </c>
      <c r="G84" s="569"/>
      <c r="H84" s="571"/>
      <c r="I84" s="570"/>
      <c r="J84" s="572"/>
      <c r="K84" s="603">
        <f>139.9-0.6</f>
        <v>139.30000000000001</v>
      </c>
      <c r="L84" s="542" t="e">
        <f>'통장내역(환율표)'!#REF!</f>
        <v>#REF!</v>
      </c>
      <c r="M84" s="617" t="e">
        <f t="shared" si="13"/>
        <v>#REF!</v>
      </c>
      <c r="N84" s="613" t="e">
        <f t="shared" si="14"/>
        <v>#REF!</v>
      </c>
      <c r="O84" s="614" t="e">
        <f t="shared" si="15"/>
        <v>#REF!</v>
      </c>
      <c r="P84" s="608" t="s">
        <v>1120</v>
      </c>
      <c r="Q84" s="543" t="s">
        <v>1121</v>
      </c>
      <c r="R84" s="543" t="s">
        <v>1118</v>
      </c>
      <c r="S84" s="525" t="e">
        <f t="shared" si="10"/>
        <v>#REF!</v>
      </c>
      <c r="T84" s="574"/>
    </row>
    <row r="85" spans="2:20" ht="11.25" customHeight="1">
      <c r="B85" s="568">
        <v>45312</v>
      </c>
      <c r="C85" s="600" t="s">
        <v>250</v>
      </c>
      <c r="D85" s="569"/>
      <c r="E85" s="569">
        <v>41</v>
      </c>
      <c r="F85" s="569" t="s">
        <v>107</v>
      </c>
      <c r="G85" s="569"/>
      <c r="H85" s="571"/>
      <c r="I85" s="570"/>
      <c r="J85" s="572"/>
      <c r="K85" s="603">
        <v>7.2</v>
      </c>
      <c r="L85" s="542" t="e">
        <f>'통장내역(환율표)'!#REF!</f>
        <v>#REF!</v>
      </c>
      <c r="M85" s="617" t="e">
        <f t="shared" si="13"/>
        <v>#REF!</v>
      </c>
      <c r="N85" s="613" t="e">
        <f t="shared" si="14"/>
        <v>#REF!</v>
      </c>
      <c r="O85" s="614" t="e">
        <f t="shared" si="15"/>
        <v>#REF!</v>
      </c>
      <c r="P85" s="608" t="s">
        <v>1120</v>
      </c>
      <c r="Q85" s="543" t="s">
        <v>1121</v>
      </c>
      <c r="R85" s="543"/>
      <c r="S85" s="525" t="e">
        <f t="shared" si="10"/>
        <v>#REF!</v>
      </c>
      <c r="T85" s="574"/>
    </row>
    <row r="86" spans="2:20" ht="11.25" hidden="1" customHeight="1">
      <c r="B86" s="568">
        <v>45312</v>
      </c>
      <c r="C86" s="600" t="s">
        <v>1096</v>
      </c>
      <c r="D86" s="569"/>
      <c r="E86" s="569">
        <v>42</v>
      </c>
      <c r="F86" s="569" t="s">
        <v>146</v>
      </c>
      <c r="G86" s="569" t="s">
        <v>147</v>
      </c>
      <c r="H86" s="571"/>
      <c r="I86" s="570"/>
      <c r="J86" s="572"/>
      <c r="K86" s="603">
        <v>4523.26</v>
      </c>
      <c r="L86" s="542" t="e">
        <f>'통장내역(환율표)'!#REF!</f>
        <v>#REF!</v>
      </c>
      <c r="M86" s="617" t="e">
        <f t="shared" si="13"/>
        <v>#REF!</v>
      </c>
      <c r="N86" s="613" t="e">
        <f t="shared" si="14"/>
        <v>#REF!</v>
      </c>
      <c r="O86" s="614" t="e">
        <f t="shared" si="15"/>
        <v>#REF!</v>
      </c>
      <c r="P86" s="608" t="s">
        <v>1120</v>
      </c>
      <c r="Q86" s="543" t="s">
        <v>1121</v>
      </c>
      <c r="R86" s="543"/>
      <c r="S86" s="525" t="e">
        <f t="shared" si="10"/>
        <v>#REF!</v>
      </c>
      <c r="T86" s="574"/>
    </row>
    <row r="87" spans="2:20" ht="11.25" hidden="1" customHeight="1">
      <c r="B87" s="568">
        <v>45312</v>
      </c>
      <c r="C87" s="600" t="s">
        <v>807</v>
      </c>
      <c r="D87" s="569"/>
      <c r="E87" s="569">
        <v>43</v>
      </c>
      <c r="F87" s="569" t="s">
        <v>125</v>
      </c>
      <c r="G87" s="569" t="s">
        <v>145</v>
      </c>
      <c r="H87" s="571"/>
      <c r="I87" s="570"/>
      <c r="J87" s="572"/>
      <c r="K87" s="603">
        <v>8316.77</v>
      </c>
      <c r="L87" s="542" t="e">
        <f>'통장내역(환율표)'!#REF!</f>
        <v>#REF!</v>
      </c>
      <c r="M87" s="617" t="e">
        <f t="shared" si="13"/>
        <v>#REF!</v>
      </c>
      <c r="N87" s="613" t="e">
        <f t="shared" si="14"/>
        <v>#REF!</v>
      </c>
      <c r="O87" s="614" t="e">
        <f t="shared" si="15"/>
        <v>#REF!</v>
      </c>
      <c r="P87" s="608" t="s">
        <v>1120</v>
      </c>
      <c r="Q87" s="543" t="s">
        <v>1121</v>
      </c>
      <c r="R87" s="543"/>
      <c r="S87" s="525" t="e">
        <f t="shared" si="10"/>
        <v>#REF!</v>
      </c>
      <c r="T87" s="574"/>
    </row>
    <row r="88" spans="2:20" ht="11.25" hidden="1" customHeight="1">
      <c r="B88" s="568">
        <v>45312</v>
      </c>
      <c r="C88" s="600" t="s">
        <v>1097</v>
      </c>
      <c r="D88" s="569"/>
      <c r="E88" s="569">
        <v>44</v>
      </c>
      <c r="F88" s="569" t="s">
        <v>116</v>
      </c>
      <c r="G88" s="569" t="s">
        <v>140</v>
      </c>
      <c r="H88" s="571"/>
      <c r="I88" s="570"/>
      <c r="J88" s="572"/>
      <c r="K88" s="603">
        <v>300</v>
      </c>
      <c r="L88" s="542" t="e">
        <f>'통장내역(환율표)'!#REF!</f>
        <v>#REF!</v>
      </c>
      <c r="M88" s="617" t="e">
        <f t="shared" si="13"/>
        <v>#REF!</v>
      </c>
      <c r="N88" s="613" t="e">
        <f t="shared" si="14"/>
        <v>#REF!</v>
      </c>
      <c r="O88" s="614" t="e">
        <f t="shared" si="15"/>
        <v>#REF!</v>
      </c>
      <c r="P88" s="608" t="s">
        <v>1120</v>
      </c>
      <c r="Q88" s="543" t="s">
        <v>1121</v>
      </c>
      <c r="R88" s="543"/>
      <c r="S88" s="525" t="e">
        <f t="shared" si="10"/>
        <v>#REF!</v>
      </c>
      <c r="T88" s="574"/>
    </row>
    <row r="89" spans="2:20" ht="11.25" customHeight="1">
      <c r="B89" s="568">
        <v>45312</v>
      </c>
      <c r="C89" s="600" t="s">
        <v>250</v>
      </c>
      <c r="D89" s="569"/>
      <c r="E89" s="569">
        <v>45</v>
      </c>
      <c r="F89" s="569" t="s">
        <v>107</v>
      </c>
      <c r="G89" s="569"/>
      <c r="H89" s="571"/>
      <c r="I89" s="570"/>
      <c r="J89" s="572"/>
      <c r="K89" s="603">
        <v>7.2</v>
      </c>
      <c r="L89" s="542" t="e">
        <f>'통장내역(환율표)'!#REF!</f>
        <v>#REF!</v>
      </c>
      <c r="M89" s="617" t="e">
        <f t="shared" si="13"/>
        <v>#REF!</v>
      </c>
      <c r="N89" s="613" t="e">
        <f t="shared" si="14"/>
        <v>#REF!</v>
      </c>
      <c r="O89" s="614" t="e">
        <f t="shared" si="15"/>
        <v>#REF!</v>
      </c>
      <c r="P89" s="608" t="s">
        <v>1120</v>
      </c>
      <c r="Q89" s="543" t="s">
        <v>1121</v>
      </c>
      <c r="R89" s="543"/>
      <c r="S89" s="525" t="e">
        <f t="shared" si="10"/>
        <v>#REF!</v>
      </c>
      <c r="T89" s="574"/>
    </row>
    <row r="90" spans="2:20" ht="11.25" hidden="1" customHeight="1">
      <c r="B90" s="568">
        <v>45312</v>
      </c>
      <c r="C90" s="600" t="s">
        <v>1098</v>
      </c>
      <c r="D90" s="569"/>
      <c r="E90" s="569">
        <v>46</v>
      </c>
      <c r="F90" s="569" t="s">
        <v>146</v>
      </c>
      <c r="G90" s="569" t="s">
        <v>147</v>
      </c>
      <c r="H90" s="571"/>
      <c r="I90" s="570"/>
      <c r="J90" s="572"/>
      <c r="K90" s="601">
        <v>5324.14</v>
      </c>
      <c r="L90" s="542" t="e">
        <f>'통장내역(환율표)'!#REF!</f>
        <v>#REF!</v>
      </c>
      <c r="M90" s="617" t="e">
        <f t="shared" si="13"/>
        <v>#REF!</v>
      </c>
      <c r="N90" s="613" t="e">
        <f t="shared" si="14"/>
        <v>#REF!</v>
      </c>
      <c r="O90" s="614" t="e">
        <f t="shared" si="15"/>
        <v>#REF!</v>
      </c>
      <c r="P90" s="608" t="s">
        <v>1120</v>
      </c>
      <c r="Q90" s="543" t="s">
        <v>1121</v>
      </c>
      <c r="R90" s="543"/>
      <c r="S90" s="525" t="e">
        <f t="shared" si="10"/>
        <v>#REF!</v>
      </c>
      <c r="T90" s="574"/>
    </row>
    <row r="91" spans="2:20" ht="11.25" customHeight="1">
      <c r="B91" s="568">
        <v>45312</v>
      </c>
      <c r="C91" s="600" t="s">
        <v>1099</v>
      </c>
      <c r="D91" s="569"/>
      <c r="E91" s="569">
        <v>47</v>
      </c>
      <c r="F91" s="569" t="s">
        <v>107</v>
      </c>
      <c r="G91" s="569"/>
      <c r="H91" s="571"/>
      <c r="I91" s="570"/>
      <c r="J91" s="572"/>
      <c r="K91" s="601">
        <v>404.8</v>
      </c>
      <c r="L91" s="542" t="e">
        <f>'통장내역(환율표)'!#REF!</f>
        <v>#REF!</v>
      </c>
      <c r="M91" s="617" t="e">
        <f t="shared" ref="M91:M95" si="16">K91/L91</f>
        <v>#REF!</v>
      </c>
      <c r="N91" s="613" t="e">
        <f t="shared" si="14"/>
        <v>#REF!</v>
      </c>
      <c r="O91" s="614" t="e">
        <f t="shared" si="15"/>
        <v>#REF!</v>
      </c>
      <c r="P91" s="608" t="s">
        <v>1120</v>
      </c>
      <c r="Q91" s="543" t="s">
        <v>1121</v>
      </c>
      <c r="R91" s="543"/>
      <c r="S91" s="525" t="e">
        <f t="shared" si="10"/>
        <v>#REF!</v>
      </c>
      <c r="T91" s="574"/>
    </row>
    <row r="92" spans="2:20" ht="11.25" hidden="1" customHeight="1">
      <c r="B92" s="568">
        <v>45312</v>
      </c>
      <c r="C92" s="600" t="s">
        <v>1100</v>
      </c>
      <c r="D92" s="569"/>
      <c r="E92" s="569">
        <v>48</v>
      </c>
      <c r="F92" s="569" t="s">
        <v>116</v>
      </c>
      <c r="G92" s="569" t="s">
        <v>140</v>
      </c>
      <c r="H92" s="571"/>
      <c r="I92" s="570"/>
      <c r="J92" s="572"/>
      <c r="K92" s="601">
        <v>399</v>
      </c>
      <c r="L92" s="542" t="e">
        <f>'통장내역(환율표)'!#REF!</f>
        <v>#REF!</v>
      </c>
      <c r="M92" s="617" t="e">
        <f t="shared" si="16"/>
        <v>#REF!</v>
      </c>
      <c r="N92" s="613" t="e">
        <f t="shared" si="14"/>
        <v>#REF!</v>
      </c>
      <c r="O92" s="614" t="e">
        <f t="shared" si="15"/>
        <v>#REF!</v>
      </c>
      <c r="P92" s="608" t="s">
        <v>1120</v>
      </c>
      <c r="Q92" s="543" t="s">
        <v>1121</v>
      </c>
      <c r="R92" s="543"/>
      <c r="S92" s="525" t="e">
        <f t="shared" si="10"/>
        <v>#REF!</v>
      </c>
      <c r="T92" s="574"/>
    </row>
    <row r="93" spans="2:20" ht="11.25" hidden="1" customHeight="1">
      <c r="B93" s="568">
        <v>45312</v>
      </c>
      <c r="C93" s="600" t="s">
        <v>845</v>
      </c>
      <c r="D93" s="569"/>
      <c r="E93" s="569">
        <v>49</v>
      </c>
      <c r="F93" s="569" t="s">
        <v>125</v>
      </c>
      <c r="G93" s="569" t="s">
        <v>145</v>
      </c>
      <c r="H93" s="571"/>
      <c r="I93" s="570"/>
      <c r="J93" s="572"/>
      <c r="K93" s="601">
        <f>8968.5-6000</f>
        <v>2968.5</v>
      </c>
      <c r="L93" s="542" t="e">
        <f>'통장내역(환율표)'!#REF!</f>
        <v>#REF!</v>
      </c>
      <c r="M93" s="617" t="e">
        <f t="shared" si="16"/>
        <v>#REF!</v>
      </c>
      <c r="N93" s="613" t="e">
        <f t="shared" si="14"/>
        <v>#REF!</v>
      </c>
      <c r="O93" s="614" t="e">
        <f t="shared" si="15"/>
        <v>#REF!</v>
      </c>
      <c r="P93" s="608" t="s">
        <v>1120</v>
      </c>
      <c r="Q93" s="543" t="s">
        <v>1121</v>
      </c>
      <c r="R93" s="543" t="s">
        <v>1125</v>
      </c>
      <c r="S93" s="525" t="e">
        <f t="shared" ref="S93:S95" si="17">S92-M93</f>
        <v>#REF!</v>
      </c>
      <c r="T93" s="574"/>
    </row>
    <row r="94" spans="2:20" ht="11.25" hidden="1" customHeight="1">
      <c r="B94" s="568">
        <v>45312</v>
      </c>
      <c r="C94" s="600" t="s">
        <v>844</v>
      </c>
      <c r="D94" s="569"/>
      <c r="E94" s="569">
        <v>50</v>
      </c>
      <c r="F94" s="569" t="s">
        <v>146</v>
      </c>
      <c r="G94" s="569" t="s">
        <v>147</v>
      </c>
      <c r="H94" s="571"/>
      <c r="I94" s="570"/>
      <c r="J94" s="572"/>
      <c r="K94" s="601">
        <v>22</v>
      </c>
      <c r="L94" s="542" t="e">
        <f>'통장내역(환율표)'!#REF!</f>
        <v>#REF!</v>
      </c>
      <c r="M94" s="617" t="e">
        <f t="shared" si="16"/>
        <v>#REF!</v>
      </c>
      <c r="N94" s="613" t="e">
        <f t="shared" si="14"/>
        <v>#REF!</v>
      </c>
      <c r="O94" s="614" t="e">
        <f t="shared" si="15"/>
        <v>#REF!</v>
      </c>
      <c r="P94" s="608" t="s">
        <v>1120</v>
      </c>
      <c r="Q94" s="543" t="s">
        <v>1121</v>
      </c>
      <c r="R94" s="543"/>
      <c r="S94" s="525" t="e">
        <f t="shared" si="17"/>
        <v>#REF!</v>
      </c>
      <c r="T94" s="574"/>
    </row>
    <row r="95" spans="2:20" ht="10.95" customHeight="1">
      <c r="B95" s="568">
        <v>45312</v>
      </c>
      <c r="C95" s="600" t="s">
        <v>250</v>
      </c>
      <c r="D95" s="569"/>
      <c r="E95" s="569">
        <v>51</v>
      </c>
      <c r="F95" s="569" t="s">
        <v>107</v>
      </c>
      <c r="G95" s="569"/>
      <c r="H95" s="571"/>
      <c r="I95" s="570"/>
      <c r="J95" s="572"/>
      <c r="K95" s="601">
        <v>7.2</v>
      </c>
      <c r="L95" s="542" t="e">
        <f>'통장내역(환율표)'!#REF!</f>
        <v>#REF!</v>
      </c>
      <c r="M95" s="617" t="e">
        <f t="shared" si="16"/>
        <v>#REF!</v>
      </c>
      <c r="N95" s="613" t="e">
        <f t="shared" si="14"/>
        <v>#REF!</v>
      </c>
      <c r="O95" s="614" t="e">
        <f t="shared" si="15"/>
        <v>#REF!</v>
      </c>
      <c r="P95" s="608" t="s">
        <v>1120</v>
      </c>
      <c r="Q95" s="543" t="s">
        <v>1121</v>
      </c>
      <c r="R95" s="543"/>
      <c r="S95" s="525" t="e">
        <f t="shared" si="17"/>
        <v>#REF!</v>
      </c>
      <c r="T95" s="574"/>
    </row>
    <row r="96" spans="2:20" ht="11.25" hidden="1" customHeight="1" thickBot="1">
      <c r="B96" s="582">
        <v>45291</v>
      </c>
      <c r="C96" s="583"/>
      <c r="D96" s="584"/>
      <c r="E96" s="583"/>
      <c r="F96" s="585"/>
      <c r="G96" s="586"/>
      <c r="H96" s="587"/>
      <c r="I96" s="588"/>
      <c r="J96" s="589"/>
      <c r="K96" s="590"/>
      <c r="L96" s="591"/>
      <c r="M96" s="592"/>
      <c r="N96" s="615"/>
      <c r="O96" s="616"/>
      <c r="P96" s="593"/>
      <c r="Q96" s="594"/>
      <c r="R96" s="595"/>
      <c r="S96" s="525" t="e">
        <f t="shared" ref="S96" si="18">S95-M96</f>
        <v>#REF!</v>
      </c>
    </row>
    <row r="97" spans="3:11" ht="11.25" customHeight="1">
      <c r="C97" s="519"/>
      <c r="D97" s="519"/>
      <c r="E97" s="519"/>
      <c r="F97" s="519"/>
      <c r="G97" s="519"/>
      <c r="H97" s="519"/>
      <c r="K97" s="461"/>
    </row>
    <row r="98" spans="3:11" ht="11.25" customHeight="1">
      <c r="C98" s="519"/>
      <c r="D98" s="519"/>
      <c r="E98" s="519"/>
      <c r="F98" s="519"/>
      <c r="G98" s="519"/>
      <c r="H98" s="519"/>
      <c r="K98" s="461"/>
    </row>
    <row r="99" spans="3:11" ht="11.25" customHeight="1">
      <c r="C99" s="519"/>
      <c r="D99" s="519"/>
      <c r="E99" s="519"/>
      <c r="F99" s="519"/>
      <c r="G99" s="519"/>
      <c r="H99" s="519"/>
      <c r="K99" s="461"/>
    </row>
    <row r="100" spans="3:11" ht="11.25" customHeight="1">
      <c r="C100" s="519"/>
      <c r="D100" s="519"/>
      <c r="E100" s="519"/>
      <c r="F100" s="519"/>
      <c r="G100" s="519"/>
      <c r="H100" s="519"/>
      <c r="K100" s="461"/>
    </row>
    <row r="101" spans="3:11" ht="11.25" customHeight="1">
      <c r="C101" s="519"/>
      <c r="D101" s="519"/>
      <c r="E101" s="519"/>
      <c r="F101" s="519"/>
      <c r="G101" s="519"/>
      <c r="H101" s="519"/>
      <c r="K101" s="461"/>
    </row>
    <row r="102" spans="3:11" ht="11.25" customHeight="1">
      <c r="C102" s="519"/>
      <c r="D102" s="519"/>
      <c r="E102" s="519"/>
      <c r="F102" s="519"/>
      <c r="G102" s="519"/>
      <c r="H102" s="519"/>
      <c r="K102" s="461"/>
    </row>
    <row r="103" spans="3:11" ht="11.25" customHeight="1">
      <c r="C103" s="519"/>
      <c r="D103" s="519"/>
      <c r="E103" s="519"/>
      <c r="F103" s="519"/>
      <c r="G103" s="519"/>
      <c r="H103" s="519"/>
    </row>
    <row r="104" spans="3:11" ht="11.25" customHeight="1">
      <c r="C104" s="519"/>
      <c r="D104" s="519"/>
      <c r="E104" s="519"/>
      <c r="F104" s="519"/>
      <c r="G104" s="519"/>
      <c r="H104" s="519"/>
    </row>
    <row r="105" spans="3:11" ht="11.25" customHeight="1">
      <c r="C105" s="519"/>
      <c r="D105" s="519"/>
      <c r="E105" s="519"/>
      <c r="F105" s="519"/>
      <c r="G105" s="519"/>
      <c r="H105" s="519"/>
    </row>
    <row r="106" spans="3:11" ht="11.25" customHeight="1">
      <c r="C106" s="519"/>
      <c r="D106" s="519"/>
      <c r="E106" s="519"/>
      <c r="F106" s="519"/>
      <c r="G106" s="519"/>
      <c r="H106" s="519"/>
    </row>
    <row r="107" spans="3:11" ht="11.25" customHeight="1">
      <c r="C107" s="519"/>
      <c r="D107" s="519"/>
      <c r="E107" s="519"/>
      <c r="F107" s="519"/>
      <c r="G107" s="519"/>
      <c r="H107" s="519"/>
    </row>
    <row r="108" spans="3:11" ht="11.25" customHeight="1">
      <c r="C108" s="519"/>
      <c r="D108" s="519"/>
      <c r="E108" s="519"/>
      <c r="F108" s="519"/>
      <c r="G108" s="519"/>
      <c r="H108" s="519"/>
    </row>
    <row r="109" spans="3:11" ht="11.25" customHeight="1">
      <c r="C109" s="519"/>
      <c r="D109" s="519"/>
      <c r="E109" s="519"/>
      <c r="F109" s="519"/>
      <c r="G109" s="519"/>
      <c r="H109" s="519"/>
    </row>
    <row r="110" spans="3:11" ht="11.25" customHeight="1">
      <c r="C110" s="519"/>
      <c r="D110" s="519"/>
      <c r="E110" s="519"/>
      <c r="F110" s="519"/>
      <c r="G110" s="519"/>
      <c r="H110" s="519"/>
    </row>
    <row r="111" spans="3:11" ht="11.25" customHeight="1">
      <c r="C111" s="519"/>
      <c r="D111" s="519"/>
      <c r="E111" s="519"/>
      <c r="F111" s="519"/>
      <c r="G111" s="519"/>
      <c r="H111" s="519"/>
    </row>
  </sheetData>
  <autoFilter ref="B17:R96" xr:uid="{00000000-0009-0000-0000-000001000000}">
    <filterColumn colId="4">
      <filters>
        <filter val="해외지사비"/>
      </filters>
    </filterColumn>
    <filterColumn colId="14" showButton="0"/>
    <sortState xmlns:xlrd2="http://schemas.microsoft.com/office/spreadsheetml/2017/richdata2" ref="B18:R96">
      <sortCondition sortBy="cellColor" ref="M17:M96" dxfId="29"/>
    </sortState>
  </autoFilter>
  <mergeCells count="5">
    <mergeCell ref="K16:M16"/>
    <mergeCell ref="N16:O16"/>
    <mergeCell ref="P16:Q16"/>
    <mergeCell ref="P17:Q17"/>
    <mergeCell ref="H16:J16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B5EB-05F0-4711-887E-43522B0FF5A8}">
  <sheetPr>
    <tabColor theme="4" tint="-0.499984740745262"/>
  </sheetPr>
  <dimension ref="A1:X110"/>
  <sheetViews>
    <sheetView showGridLines="0" zoomScaleNormal="100" workbookViewId="0">
      <pane ySplit="18" topLeftCell="A49" activePane="bottomLeft" state="frozen"/>
      <selection activeCell="C114" sqref="C114"/>
      <selection pane="bottomLeft" activeCell="F41" sqref="F41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5" style="489" customWidth="1"/>
    <col min="5" max="5" width="9.29687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4" width="12.296875" style="461" customWidth="1"/>
    <col min="15" max="15" width="9.796875" style="461" customWidth="1"/>
    <col min="16" max="16" width="9.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4" ht="4.5" customHeight="1">
      <c r="A1" s="449"/>
      <c r="B1" s="450"/>
      <c r="C1" s="451"/>
      <c r="D1" s="452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4" s="466" customFormat="1" ht="15" customHeight="1">
      <c r="A2" s="462"/>
      <c r="B2" s="463" t="s">
        <v>1141</v>
      </c>
      <c r="C2" s="464"/>
      <c r="D2" s="465"/>
      <c r="F2" s="467"/>
      <c r="G2" s="468" t="s">
        <v>1047</v>
      </c>
      <c r="H2" s="469" t="s">
        <v>1047</v>
      </c>
      <c r="I2" s="470"/>
      <c r="J2" s="470"/>
      <c r="K2" s="471"/>
      <c r="L2" s="470"/>
      <c r="M2" s="470"/>
      <c r="N2" s="472" t="s">
        <v>1048</v>
      </c>
      <c r="O2" s="473"/>
      <c r="Q2" s="470"/>
      <c r="R2" s="468"/>
      <c r="S2" s="474"/>
      <c r="T2" s="461"/>
      <c r="U2" s="574"/>
      <c r="V2" s="461"/>
      <c r="W2" s="461"/>
      <c r="X2" s="461"/>
    </row>
    <row r="3" spans="1:24" s="483" customFormat="1" ht="11.25" customHeight="1">
      <c r="A3" s="475"/>
      <c r="B3" s="476" t="s">
        <v>1123</v>
      </c>
      <c r="C3" s="477"/>
      <c r="D3" s="478"/>
      <c r="E3" s="477"/>
      <c r="F3" s="479"/>
      <c r="G3" s="480"/>
      <c r="H3" s="476" t="s">
        <v>1129</v>
      </c>
      <c r="I3" s="477"/>
      <c r="J3" s="478"/>
      <c r="K3" s="478"/>
      <c r="L3" s="479"/>
      <c r="M3" s="470"/>
      <c r="N3" s="472" t="s">
        <v>1073</v>
      </c>
      <c r="O3" s="473"/>
      <c r="P3" s="466"/>
      <c r="Q3" s="470"/>
      <c r="R3" s="468"/>
      <c r="S3" s="482"/>
      <c r="T3" s="461"/>
      <c r="U3" s="574"/>
      <c r="V3" s="461"/>
      <c r="W3" s="461"/>
      <c r="X3" s="461"/>
    </row>
    <row r="4" spans="1:24" ht="11.25" customHeight="1">
      <c r="A4" s="449"/>
      <c r="B4" s="484" t="s">
        <v>1</v>
      </c>
      <c r="C4" s="485" t="s">
        <v>2</v>
      </c>
      <c r="D4" s="486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470"/>
      <c r="N4" s="472" t="s">
        <v>1073</v>
      </c>
      <c r="O4" s="473"/>
      <c r="P4" s="466"/>
      <c r="Q4" s="470"/>
      <c r="R4" s="468"/>
      <c r="S4" s="491"/>
    </row>
    <row r="5" spans="1:24" ht="11.25" customHeight="1">
      <c r="A5" s="492">
        <v>51131050</v>
      </c>
      <c r="B5" s="493" t="s">
        <v>1052</v>
      </c>
      <c r="C5" s="494" t="s">
        <v>12</v>
      </c>
      <c r="D5" s="495"/>
      <c r="E5" s="496"/>
      <c r="F5" s="497">
        <f t="shared" ref="F5:F12" si="0">ROUND(E5*1312.1,0)</f>
        <v>0</v>
      </c>
      <c r="G5" s="498"/>
      <c r="H5" s="499" t="s">
        <v>11</v>
      </c>
      <c r="I5" s="499" t="s">
        <v>12</v>
      </c>
      <c r="J5" s="693">
        <v>17032</v>
      </c>
      <c r="K5" s="693">
        <v>2371.89</v>
      </c>
      <c r="L5" s="497">
        <f>ROUND(K5*1327.2,0)</f>
        <v>3147972</v>
      </c>
      <c r="M5" s="470"/>
      <c r="N5" s="472" t="s">
        <v>1073</v>
      </c>
      <c r="O5" s="473"/>
      <c r="P5" s="466"/>
      <c r="Q5" s="470"/>
      <c r="R5" s="468"/>
      <c r="S5" s="501"/>
    </row>
    <row r="6" spans="1:24" ht="11.25" customHeight="1">
      <c r="A6" s="492">
        <v>51061030</v>
      </c>
      <c r="B6" s="493" t="s">
        <v>1053</v>
      </c>
      <c r="C6" s="494" t="s">
        <v>1054</v>
      </c>
      <c r="D6" s="495"/>
      <c r="E6" s="500"/>
      <c r="F6" s="497">
        <f t="shared" si="0"/>
        <v>0</v>
      </c>
      <c r="G6" s="502"/>
      <c r="H6" s="499" t="s">
        <v>13</v>
      </c>
      <c r="I6" s="499" t="s">
        <v>14</v>
      </c>
      <c r="J6" s="693">
        <v>33167.440000000002</v>
      </c>
      <c r="K6" s="693">
        <v>4618.92</v>
      </c>
      <c r="L6" s="497">
        <f t="shared" ref="L6:L11" si="1">ROUND(K6*1327.2,0)</f>
        <v>6130231</v>
      </c>
      <c r="M6" s="470"/>
      <c r="N6" s="472" t="s">
        <v>1073</v>
      </c>
      <c r="O6" s="473"/>
      <c r="P6" s="466"/>
      <c r="Q6" s="470"/>
      <c r="R6" s="468"/>
      <c r="S6" s="501"/>
    </row>
    <row r="7" spans="1:24" ht="11.25" customHeight="1">
      <c r="A7" s="492">
        <v>51201020</v>
      </c>
      <c r="B7" s="493" t="s">
        <v>15</v>
      </c>
      <c r="C7" s="494" t="s">
        <v>180</v>
      </c>
      <c r="D7" s="495"/>
      <c r="E7" s="496"/>
      <c r="F7" s="497">
        <f t="shared" si="0"/>
        <v>0</v>
      </c>
      <c r="G7" s="503"/>
      <c r="H7" s="499" t="s">
        <v>15</v>
      </c>
      <c r="I7" s="499" t="s">
        <v>1055</v>
      </c>
      <c r="J7" s="694">
        <v>20023</v>
      </c>
      <c r="K7" s="694">
        <v>2788.42</v>
      </c>
      <c r="L7" s="651">
        <f t="shared" si="1"/>
        <v>3700791</v>
      </c>
      <c r="M7" s="470"/>
      <c r="N7" s="472" t="s">
        <v>1073</v>
      </c>
      <c r="O7" s="473"/>
      <c r="P7" s="466"/>
      <c r="Q7" s="470"/>
      <c r="R7" s="468"/>
      <c r="S7" s="501"/>
    </row>
    <row r="8" spans="1:24" ht="11.25" customHeight="1">
      <c r="A8" s="492">
        <v>51201030</v>
      </c>
      <c r="B8" s="493" t="s">
        <v>1056</v>
      </c>
      <c r="C8" s="494" t="s">
        <v>17</v>
      </c>
      <c r="D8" s="495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694">
        <v>2437.06</v>
      </c>
      <c r="L8" s="651">
        <f t="shared" si="1"/>
        <v>3234466</v>
      </c>
      <c r="M8" s="470"/>
      <c r="N8" s="472" t="s">
        <v>1073</v>
      </c>
      <c r="O8" s="473"/>
      <c r="P8" s="466"/>
      <c r="Q8" s="470"/>
      <c r="R8" s="468"/>
      <c r="S8" s="501"/>
    </row>
    <row r="9" spans="1:24" ht="11.25" customHeight="1">
      <c r="A9" s="492">
        <v>51071700</v>
      </c>
      <c r="B9" s="493" t="s">
        <v>19</v>
      </c>
      <c r="C9" s="494" t="s">
        <v>20</v>
      </c>
      <c r="D9" s="131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1341.28</v>
      </c>
      <c r="K9" s="693">
        <v>186.79</v>
      </c>
      <c r="L9" s="497">
        <f t="shared" si="1"/>
        <v>247908</v>
      </c>
      <c r="M9" s="470"/>
      <c r="N9" s="472" t="s">
        <v>1073</v>
      </c>
      <c r="O9" s="473"/>
      <c r="P9" s="466"/>
      <c r="Q9" s="470"/>
      <c r="R9" s="468"/>
      <c r="S9" s="501"/>
    </row>
    <row r="10" spans="1:24" ht="11.25" customHeight="1">
      <c r="A10" s="492">
        <v>51321010</v>
      </c>
      <c r="B10" s="493" t="s">
        <v>21</v>
      </c>
      <c r="C10" s="494"/>
      <c r="D10" s="495">
        <v>45885.589639298028</v>
      </c>
      <c r="E10" s="500">
        <v>6421.7999999999993</v>
      </c>
      <c r="F10" s="497">
        <f t="shared" si="0"/>
        <v>8426044</v>
      </c>
      <c r="G10" s="505"/>
      <c r="H10" s="499" t="s">
        <v>21</v>
      </c>
      <c r="I10" s="499"/>
      <c r="J10" s="693">
        <v>147343.42000000001</v>
      </c>
      <c r="K10" s="693">
        <v>20545.145058143244</v>
      </c>
      <c r="L10" s="497">
        <f t="shared" si="1"/>
        <v>27267517</v>
      </c>
      <c r="M10" s="470"/>
      <c r="N10" s="472" t="s">
        <v>1073</v>
      </c>
      <c r="O10" s="473"/>
      <c r="P10" s="466"/>
      <c r="Q10" s="470"/>
      <c r="R10" s="468"/>
      <c r="S10" s="501"/>
    </row>
    <row r="11" spans="1:24" ht="11.25" customHeight="1">
      <c r="A11" s="492">
        <v>51031020</v>
      </c>
      <c r="B11" s="506" t="s">
        <v>1057</v>
      </c>
      <c r="C11" s="507" t="s">
        <v>1058</v>
      </c>
      <c r="D11" s="508"/>
      <c r="E11" s="508"/>
      <c r="F11" s="509">
        <f t="shared" si="0"/>
        <v>0</v>
      </c>
      <c r="G11" s="510">
        <f>G13/G12</f>
        <v>1325.0380316821365</v>
      </c>
      <c r="H11" s="506" t="s">
        <v>1057</v>
      </c>
      <c r="I11" s="507" t="s">
        <v>1058</v>
      </c>
      <c r="J11" s="511">
        <v>39365</v>
      </c>
      <c r="K11" s="511">
        <v>5482</v>
      </c>
      <c r="L11" s="509">
        <f t="shared" si="1"/>
        <v>7275710</v>
      </c>
      <c r="M11" s="470"/>
      <c r="N11" s="472" t="s">
        <v>1073</v>
      </c>
      <c r="O11" s="473"/>
      <c r="P11" s="466"/>
      <c r="Q11" s="470"/>
      <c r="R11" s="468"/>
      <c r="S11" s="501"/>
    </row>
    <row r="12" spans="1:24" ht="11.25" customHeight="1">
      <c r="A12" s="492">
        <v>52981010</v>
      </c>
      <c r="B12" s="499" t="s">
        <v>1059</v>
      </c>
      <c r="C12" s="499" t="s">
        <v>1060</v>
      </c>
      <c r="D12" s="495"/>
      <c r="E12" s="500"/>
      <c r="F12" s="497">
        <f t="shared" si="0"/>
        <v>0</v>
      </c>
      <c r="G12" s="512">
        <f>E13+K13+Q13</f>
        <v>44852.025058143248</v>
      </c>
      <c r="H12" s="499" t="s">
        <v>1059</v>
      </c>
      <c r="I12" s="499" t="s">
        <v>1060</v>
      </c>
      <c r="J12" s="495"/>
      <c r="K12" s="500"/>
      <c r="L12" s="497">
        <f t="shared" ref="L12" si="2">ROUND(K12*1307.9,0)</f>
        <v>0</v>
      </c>
      <c r="M12" s="470"/>
      <c r="N12" s="472" t="s">
        <v>1073</v>
      </c>
      <c r="O12" s="473"/>
      <c r="P12" s="466"/>
      <c r="Q12" s="470"/>
      <c r="R12" s="468"/>
      <c r="S12" s="501"/>
    </row>
    <row r="13" spans="1:24" ht="11.25" customHeight="1">
      <c r="A13" s="449"/>
      <c r="B13" s="513" t="s">
        <v>22</v>
      </c>
      <c r="C13" s="514"/>
      <c r="D13" s="515">
        <f>SUM(D5:D11)-D12</f>
        <v>45885.589639298028</v>
      </c>
      <c r="E13" s="516">
        <f>SUM(E5:E11)-E12</f>
        <v>6421.7999999999993</v>
      </c>
      <c r="F13" s="517">
        <f>SUM(F5:F11)-F12</f>
        <v>8426044</v>
      </c>
      <c r="G13" s="518">
        <f>F13+L13+R13</f>
        <v>59430639</v>
      </c>
      <c r="H13" s="513" t="s">
        <v>22</v>
      </c>
      <c r="I13" s="514"/>
      <c r="J13" s="515">
        <f>SUM(J5:J11)-J12</f>
        <v>275772.14</v>
      </c>
      <c r="K13" s="516">
        <f>SUM(K5:K11)-K12</f>
        <v>38430.225058143245</v>
      </c>
      <c r="L13" s="517">
        <f>SUM(L5:L11)-L12</f>
        <v>51004595</v>
      </c>
      <c r="M13" s="470"/>
      <c r="N13" s="643"/>
      <c r="O13" s="473"/>
      <c r="P13" s="466"/>
      <c r="Q13" s="470"/>
      <c r="R13" s="468"/>
      <c r="S13" s="501"/>
    </row>
    <row r="14" spans="1:24" ht="14.25" customHeight="1">
      <c r="A14" s="449"/>
      <c r="C14" s="520"/>
      <c r="D14" s="521"/>
      <c r="E14" s="522"/>
      <c r="F14" s="523"/>
      <c r="G14" s="524"/>
      <c r="I14" s="525"/>
      <c r="J14" s="648">
        <f>J13+D13</f>
        <v>321657.72963929805</v>
      </c>
      <c r="K14" s="648">
        <f>K13+E13</f>
        <v>44852.025058143248</v>
      </c>
      <c r="L14" s="649">
        <f t="shared" ref="L14" si="3">L13+F13</f>
        <v>59430639</v>
      </c>
      <c r="M14" s="470"/>
      <c r="N14" s="525"/>
      <c r="Q14" s="525"/>
    </row>
    <row r="15" spans="1:24" ht="18.75" customHeight="1" thickBot="1">
      <c r="A15" s="449"/>
      <c r="C15" s="520"/>
      <c r="D15" s="521"/>
      <c r="E15" s="522"/>
      <c r="F15" s="523"/>
      <c r="G15" s="524"/>
      <c r="I15" s="525"/>
      <c r="J15" s="526"/>
      <c r="K15" s="652" t="e">
        <f>SUBTOTAL(9,K18:K124)</f>
        <v>#REF!</v>
      </c>
      <c r="L15" s="137"/>
      <c r="M15" s="652" t="e">
        <f>SUBTOTAL(9,M18:M124)</f>
        <v>#REF!</v>
      </c>
      <c r="N15" s="525"/>
      <c r="Q15" s="525"/>
    </row>
    <row r="16" spans="1:24" ht="11.25" customHeight="1">
      <c r="A16" s="449"/>
      <c r="B16" s="527" t="s">
        <v>24</v>
      </c>
      <c r="C16" s="528" t="s">
        <v>25</v>
      </c>
      <c r="D16" s="529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8"/>
      <c r="R16" s="533" t="s">
        <v>1062</v>
      </c>
    </row>
    <row r="17" spans="1:19" ht="11.25" customHeight="1">
      <c r="A17" s="449"/>
      <c r="B17" s="534" t="s">
        <v>1063</v>
      </c>
      <c r="C17" s="535" t="s">
        <v>1064</v>
      </c>
      <c r="D17" s="536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81" t="s">
        <v>32</v>
      </c>
      <c r="Q17" s="2082"/>
      <c r="R17" s="539" t="s">
        <v>1062</v>
      </c>
    </row>
    <row r="18" spans="1:19" ht="11.25" customHeight="1">
      <c r="B18" s="657">
        <v>45322</v>
      </c>
      <c r="C18" s="658"/>
      <c r="D18" s="659"/>
      <c r="E18" s="660"/>
      <c r="F18" s="658"/>
      <c r="G18" s="661"/>
      <c r="H18" s="662"/>
      <c r="I18" s="658"/>
      <c r="J18" s="661"/>
      <c r="K18" s="682"/>
      <c r="L18" s="663"/>
      <c r="M18" s="679"/>
      <c r="N18" s="682">
        <v>45866.78999999995</v>
      </c>
      <c r="O18" s="683">
        <v>6421.8048613895744</v>
      </c>
      <c r="P18" s="681"/>
      <c r="Q18" s="660"/>
      <c r="R18" s="665"/>
      <c r="S18" s="645">
        <v>6421.8</v>
      </c>
    </row>
    <row r="19" spans="1:19" ht="11.25" customHeight="1">
      <c r="B19" s="620">
        <v>45342</v>
      </c>
      <c r="C19" s="655" t="s">
        <v>823</v>
      </c>
      <c r="D19" s="621"/>
      <c r="E19" s="621">
        <v>1</v>
      </c>
      <c r="F19" s="621"/>
      <c r="G19" s="621"/>
      <c r="H19" s="622">
        <v>366169.4</v>
      </c>
      <c r="I19" s="623"/>
      <c r="J19" s="622">
        <v>51019</v>
      </c>
      <c r="K19" s="624"/>
      <c r="L19" s="625"/>
      <c r="M19" s="619"/>
      <c r="N19" s="627">
        <f>N18+H19-K19</f>
        <v>412036.18999999994</v>
      </c>
      <c r="O19" s="628">
        <f>O18+J19-M19</f>
        <v>57440.804861389573</v>
      </c>
      <c r="P19" s="629"/>
      <c r="Q19" s="630"/>
      <c r="R19" s="630"/>
      <c r="S19" s="525">
        <f>S18-M19</f>
        <v>6421.8</v>
      </c>
    </row>
    <row r="20" spans="1:19" ht="11.25" customHeight="1">
      <c r="B20" s="620">
        <v>45342</v>
      </c>
      <c r="C20" s="655" t="s">
        <v>250</v>
      </c>
      <c r="D20" s="621"/>
      <c r="E20" s="621">
        <v>1</v>
      </c>
      <c r="F20" s="621" t="s">
        <v>107</v>
      </c>
      <c r="G20" s="621"/>
      <c r="H20" s="626"/>
      <c r="I20" s="623"/>
      <c r="J20" s="626"/>
      <c r="K20" s="624"/>
      <c r="L20" s="625" t="e">
        <f>'통장내역(환율표)'!#REF!</f>
        <v>#REF!</v>
      </c>
      <c r="M20" s="692">
        <v>26</v>
      </c>
      <c r="N20" s="627">
        <f t="shared" ref="N20" si="4">N19+H20-K20</f>
        <v>412036.18999999994</v>
      </c>
      <c r="O20" s="628">
        <f t="shared" ref="O20" si="5">O19+J20-M20</f>
        <v>57414.804861389573</v>
      </c>
      <c r="P20" s="629" t="s">
        <v>1134</v>
      </c>
      <c r="Q20" s="630" t="s">
        <v>1137</v>
      </c>
      <c r="R20" s="630"/>
      <c r="S20" s="525"/>
    </row>
    <row r="21" spans="1:19" ht="11.25" customHeight="1">
      <c r="B21" s="568">
        <v>45342</v>
      </c>
      <c r="C21" s="666" t="s">
        <v>700</v>
      </c>
      <c r="D21" s="667"/>
      <c r="E21" s="668">
        <v>2</v>
      </c>
      <c r="F21" s="569" t="s">
        <v>107</v>
      </c>
      <c r="G21" s="569"/>
      <c r="H21" s="571"/>
      <c r="I21" s="570"/>
      <c r="J21" s="572"/>
      <c r="K21" s="697">
        <v>1010</v>
      </c>
      <c r="L21" s="542" t="e">
        <f>'통장내역(환율표)'!#REF!</f>
        <v>#REF!</v>
      </c>
      <c r="M21" s="631" t="e">
        <f>K21/L21</f>
        <v>#REF!</v>
      </c>
      <c r="N21" s="613">
        <f>N20+H21-K21</f>
        <v>411026.18999999994</v>
      </c>
      <c r="O21" s="614" t="e">
        <f>O20+J21-M21</f>
        <v>#REF!</v>
      </c>
      <c r="P21" s="608" t="s">
        <v>1120</v>
      </c>
      <c r="Q21" s="543" t="s">
        <v>1135</v>
      </c>
      <c r="R21" s="543"/>
      <c r="S21" s="525" t="e">
        <f>S19-M21</f>
        <v>#REF!</v>
      </c>
    </row>
    <row r="22" spans="1:19" ht="11.25" customHeight="1">
      <c r="B22" s="568">
        <v>45342</v>
      </c>
      <c r="C22" s="656" t="s">
        <v>250</v>
      </c>
      <c r="D22" s="667"/>
      <c r="E22" s="668">
        <v>3</v>
      </c>
      <c r="F22" s="569" t="s">
        <v>107</v>
      </c>
      <c r="G22" s="569"/>
      <c r="H22" s="571"/>
      <c r="I22" s="570"/>
      <c r="J22" s="572"/>
      <c r="K22" s="697">
        <v>3.6</v>
      </c>
      <c r="L22" s="542" t="e">
        <f>'통장내역(환율표)'!#REF!</f>
        <v>#REF!</v>
      </c>
      <c r="M22" s="631" t="e">
        <f>K22/L22</f>
        <v>#REF!</v>
      </c>
      <c r="N22" s="613">
        <f>N21+H22-K22</f>
        <v>411022.58999999997</v>
      </c>
      <c r="O22" s="614" t="e">
        <f>O21+J22-M22</f>
        <v>#REF!</v>
      </c>
      <c r="P22" s="608" t="s">
        <v>1120</v>
      </c>
      <c r="Q22" s="543" t="s">
        <v>1135</v>
      </c>
      <c r="R22" s="543"/>
      <c r="S22" s="525" t="e">
        <f>S21-M22</f>
        <v>#REF!</v>
      </c>
    </row>
    <row r="23" spans="1:19" ht="11.25" customHeight="1">
      <c r="B23" s="568">
        <v>45342</v>
      </c>
      <c r="C23" s="669" t="s">
        <v>885</v>
      </c>
      <c r="D23" s="667"/>
      <c r="E23" s="668">
        <v>4</v>
      </c>
      <c r="F23" s="569" t="s">
        <v>107</v>
      </c>
      <c r="G23" s="569"/>
      <c r="H23" s="571"/>
      <c r="I23" s="570"/>
      <c r="J23" s="572"/>
      <c r="K23" s="596">
        <v>16000</v>
      </c>
      <c r="L23" s="542" t="e">
        <f>'통장내역(환율표)'!#REF!</f>
        <v>#REF!</v>
      </c>
      <c r="M23" s="631" t="e">
        <f>K23/L23</f>
        <v>#REF!</v>
      </c>
      <c r="N23" s="613">
        <f>N22+H23-K23</f>
        <v>395022.58999999997</v>
      </c>
      <c r="O23" s="614" t="e">
        <f>O22+J23-M23</f>
        <v>#REF!</v>
      </c>
      <c r="P23" s="608" t="s">
        <v>1120</v>
      </c>
      <c r="Q23" s="543" t="s">
        <v>1135</v>
      </c>
      <c r="R23" s="599" t="s">
        <v>1110</v>
      </c>
      <c r="S23" s="525" t="e">
        <f t="shared" ref="S23:S25" si="6">S22-M23</f>
        <v>#REF!</v>
      </c>
    </row>
    <row r="24" spans="1:19" ht="11.25" customHeight="1">
      <c r="B24" s="568">
        <v>45342</v>
      </c>
      <c r="C24" s="669" t="s">
        <v>938</v>
      </c>
      <c r="D24" s="667"/>
      <c r="E24" s="668">
        <v>4</v>
      </c>
      <c r="F24" s="569" t="s">
        <v>107</v>
      </c>
      <c r="G24" s="569"/>
      <c r="H24" s="571"/>
      <c r="I24" s="570"/>
      <c r="J24" s="572"/>
      <c r="K24" s="596">
        <v>24000</v>
      </c>
      <c r="L24" s="542" t="e">
        <f>'통장내역(환율표)'!#REF!</f>
        <v>#REF!</v>
      </c>
      <c r="M24" s="631" t="e">
        <f>K24/L24</f>
        <v>#REF!</v>
      </c>
      <c r="N24" s="613">
        <f>N23+H24-K24</f>
        <v>371022.58999999997</v>
      </c>
      <c r="O24" s="614" t="e">
        <f>O23+J24-M24</f>
        <v>#REF!</v>
      </c>
      <c r="P24" s="608" t="s">
        <v>1120</v>
      </c>
      <c r="Q24" s="543" t="s">
        <v>1135</v>
      </c>
      <c r="R24" s="599" t="s">
        <v>1110</v>
      </c>
      <c r="S24" s="525" t="e">
        <f t="shared" si="6"/>
        <v>#REF!</v>
      </c>
    </row>
    <row r="25" spans="1:19" ht="11.25" customHeight="1">
      <c r="B25" s="568">
        <v>45342</v>
      </c>
      <c r="C25" s="669" t="s">
        <v>887</v>
      </c>
      <c r="D25" s="667"/>
      <c r="E25" s="668">
        <v>4</v>
      </c>
      <c r="F25" s="569" t="s">
        <v>107</v>
      </c>
      <c r="G25" s="569"/>
      <c r="H25" s="571"/>
      <c r="I25" s="570"/>
      <c r="J25" s="572"/>
      <c r="K25" s="638" t="e">
        <f>L25*M25</f>
        <v>#REF!</v>
      </c>
      <c r="L25" s="542" t="e">
        <f>'통장내역(환율표)'!#REF!</f>
        <v>#REF!</v>
      </c>
      <c r="M25" s="631">
        <v>681.84681316264187</v>
      </c>
      <c r="N25" s="613" t="e">
        <f>N24+H25-K25</f>
        <v>#REF!</v>
      </c>
      <c r="O25" s="614" t="e">
        <f>O24+J25-M25</f>
        <v>#REF!</v>
      </c>
      <c r="P25" s="608" t="s">
        <v>1120</v>
      </c>
      <c r="Q25" s="543" t="s">
        <v>1135</v>
      </c>
      <c r="R25" s="599" t="s">
        <v>1110</v>
      </c>
      <c r="S25" s="525" t="e">
        <f t="shared" si="6"/>
        <v>#REF!</v>
      </c>
    </row>
    <row r="26" spans="1:19" ht="11.25" customHeight="1">
      <c r="B26" s="568">
        <v>45342</v>
      </c>
      <c r="C26" s="669" t="s">
        <v>887</v>
      </c>
      <c r="D26" s="667"/>
      <c r="E26" s="668">
        <v>4</v>
      </c>
      <c r="F26" s="569" t="s">
        <v>107</v>
      </c>
      <c r="G26" s="569"/>
      <c r="H26" s="571"/>
      <c r="I26" s="570"/>
      <c r="J26" s="572"/>
      <c r="K26" s="638" t="e">
        <f>4957.03-K25</f>
        <v>#REF!</v>
      </c>
      <c r="L26" s="542" t="e">
        <f>'통장내역(환율표)'!#REF!</f>
        <v>#REF!</v>
      </c>
      <c r="M26" s="692" t="e">
        <f t="shared" ref="M26:M85" si="7">K26/L26</f>
        <v>#REF!</v>
      </c>
      <c r="N26" s="613" t="e">
        <f t="shared" ref="N26:N89" si="8">N25+H26-K26</f>
        <v>#REF!</v>
      </c>
      <c r="O26" s="614" t="e">
        <f t="shared" ref="O26:O89" si="9">O25+J26-M26</f>
        <v>#REF!</v>
      </c>
      <c r="P26" s="608" t="s">
        <v>1133</v>
      </c>
      <c r="Q26" s="543" t="s">
        <v>1136</v>
      </c>
      <c r="R26" s="599" t="s">
        <v>1110</v>
      </c>
      <c r="S26" s="525" t="e">
        <f>50993-M26</f>
        <v>#REF!</v>
      </c>
    </row>
    <row r="27" spans="1:19" ht="11.25" customHeight="1">
      <c r="B27" s="568">
        <v>45342</v>
      </c>
      <c r="C27" s="669" t="s">
        <v>888</v>
      </c>
      <c r="D27" s="667"/>
      <c r="E27" s="668">
        <v>4</v>
      </c>
      <c r="F27" s="569" t="s">
        <v>107</v>
      </c>
      <c r="G27" s="569"/>
      <c r="H27" s="571"/>
      <c r="I27" s="570"/>
      <c r="J27" s="572"/>
      <c r="K27" s="638">
        <v>3152.5600000000004</v>
      </c>
      <c r="L27" s="542" t="e">
        <f>'통장내역(환율표)'!#REF!</f>
        <v>#REF!</v>
      </c>
      <c r="M27" s="692" t="e">
        <f t="shared" si="7"/>
        <v>#REF!</v>
      </c>
      <c r="N27" s="613" t="e">
        <f t="shared" si="8"/>
        <v>#REF!</v>
      </c>
      <c r="O27" s="614" t="e">
        <f t="shared" si="9"/>
        <v>#REF!</v>
      </c>
      <c r="P27" s="608" t="s">
        <v>1133</v>
      </c>
      <c r="Q27" s="543" t="s">
        <v>1136</v>
      </c>
      <c r="R27" s="599" t="s">
        <v>1110</v>
      </c>
      <c r="S27" s="525" t="e">
        <f>S26-M27</f>
        <v>#REF!</v>
      </c>
    </row>
    <row r="28" spans="1:19" ht="11.25" customHeight="1">
      <c r="B28" s="568">
        <v>45342</v>
      </c>
      <c r="C28" s="669" t="s">
        <v>892</v>
      </c>
      <c r="D28" s="667"/>
      <c r="E28" s="668">
        <v>4</v>
      </c>
      <c r="F28" s="569" t="s">
        <v>107</v>
      </c>
      <c r="G28" s="569"/>
      <c r="H28" s="571"/>
      <c r="I28" s="570"/>
      <c r="J28" s="572"/>
      <c r="K28" s="638">
        <v>300</v>
      </c>
      <c r="L28" s="542" t="e">
        <f>'통장내역(환율표)'!#REF!</f>
        <v>#REF!</v>
      </c>
      <c r="M28" s="692" t="e">
        <f t="shared" si="7"/>
        <v>#REF!</v>
      </c>
      <c r="N28" s="613" t="e">
        <f t="shared" si="8"/>
        <v>#REF!</v>
      </c>
      <c r="O28" s="614" t="e">
        <f t="shared" si="9"/>
        <v>#REF!</v>
      </c>
      <c r="P28" s="608" t="s">
        <v>1133</v>
      </c>
      <c r="Q28" s="543" t="s">
        <v>1136</v>
      </c>
      <c r="R28" s="599" t="s">
        <v>1110</v>
      </c>
      <c r="S28" s="525" t="e">
        <f t="shared" ref="S28:S91" si="10">S27-M28</f>
        <v>#REF!</v>
      </c>
    </row>
    <row r="29" spans="1:19" ht="11.25" customHeight="1">
      <c r="B29" s="568">
        <v>45342</v>
      </c>
      <c r="C29" s="669" t="s">
        <v>885</v>
      </c>
      <c r="D29" s="667"/>
      <c r="E29" s="668">
        <v>4</v>
      </c>
      <c r="F29" s="569" t="s">
        <v>107</v>
      </c>
      <c r="G29" s="569"/>
      <c r="H29" s="571"/>
      <c r="I29" s="570"/>
      <c r="J29" s="572"/>
      <c r="K29" s="596">
        <v>15000</v>
      </c>
      <c r="L29" s="542" t="e">
        <f>'통장내역(환율표)'!#REF!</f>
        <v>#REF!</v>
      </c>
      <c r="M29" s="692" t="e">
        <f t="shared" si="7"/>
        <v>#REF!</v>
      </c>
      <c r="N29" s="613" t="e">
        <f t="shared" si="8"/>
        <v>#REF!</v>
      </c>
      <c r="O29" s="614" t="e">
        <f t="shared" si="9"/>
        <v>#REF!</v>
      </c>
      <c r="P29" s="608" t="s">
        <v>1133</v>
      </c>
      <c r="Q29" s="543" t="s">
        <v>1136</v>
      </c>
      <c r="R29" s="599" t="s">
        <v>1111</v>
      </c>
      <c r="S29" s="525" t="e">
        <f t="shared" si="10"/>
        <v>#REF!</v>
      </c>
    </row>
    <row r="30" spans="1:19" ht="11.25" customHeight="1">
      <c r="B30" s="568">
        <v>45342</v>
      </c>
      <c r="C30" s="669" t="s">
        <v>938</v>
      </c>
      <c r="D30" s="667"/>
      <c r="E30" s="668">
        <v>4</v>
      </c>
      <c r="F30" s="569" t="s">
        <v>107</v>
      </c>
      <c r="G30" s="569"/>
      <c r="H30" s="571"/>
      <c r="I30" s="570"/>
      <c r="J30" s="572"/>
      <c r="K30" s="596">
        <v>22000</v>
      </c>
      <c r="L30" s="542" t="e">
        <f>'통장내역(환율표)'!#REF!</f>
        <v>#REF!</v>
      </c>
      <c r="M30" s="692" t="e">
        <f t="shared" si="7"/>
        <v>#REF!</v>
      </c>
      <c r="N30" s="613" t="e">
        <f t="shared" si="8"/>
        <v>#REF!</v>
      </c>
      <c r="O30" s="614" t="e">
        <f t="shared" si="9"/>
        <v>#REF!</v>
      </c>
      <c r="P30" s="608" t="s">
        <v>1133</v>
      </c>
      <c r="Q30" s="543" t="s">
        <v>1136</v>
      </c>
      <c r="R30" s="599" t="s">
        <v>1111</v>
      </c>
      <c r="S30" s="525" t="e">
        <f t="shared" si="10"/>
        <v>#REF!</v>
      </c>
    </row>
    <row r="31" spans="1:19" ht="11.25" customHeight="1">
      <c r="B31" s="568">
        <v>45342</v>
      </c>
      <c r="C31" s="669" t="s">
        <v>887</v>
      </c>
      <c r="D31" s="667"/>
      <c r="E31" s="668">
        <v>4</v>
      </c>
      <c r="F31" s="569" t="s">
        <v>107</v>
      </c>
      <c r="G31" s="569"/>
      <c r="H31" s="571"/>
      <c r="I31" s="570"/>
      <c r="J31" s="572"/>
      <c r="K31" s="638">
        <v>8399.7900000000009</v>
      </c>
      <c r="L31" s="542" t="e">
        <f>'통장내역(환율표)'!#REF!</f>
        <v>#REF!</v>
      </c>
      <c r="M31" s="692" t="e">
        <f t="shared" si="7"/>
        <v>#REF!</v>
      </c>
      <c r="N31" s="613" t="e">
        <f t="shared" si="8"/>
        <v>#REF!</v>
      </c>
      <c r="O31" s="614" t="e">
        <f t="shared" si="9"/>
        <v>#REF!</v>
      </c>
      <c r="P31" s="608" t="s">
        <v>1133</v>
      </c>
      <c r="Q31" s="543" t="s">
        <v>1136</v>
      </c>
      <c r="R31" s="599" t="s">
        <v>1111</v>
      </c>
      <c r="S31" s="525" t="e">
        <f t="shared" si="10"/>
        <v>#REF!</v>
      </c>
    </row>
    <row r="32" spans="1:19" ht="11.25" customHeight="1">
      <c r="B32" s="568">
        <v>45342</v>
      </c>
      <c r="C32" s="669" t="s">
        <v>888</v>
      </c>
      <c r="D32" s="667"/>
      <c r="E32" s="668">
        <v>4</v>
      </c>
      <c r="F32" s="569" t="s">
        <v>107</v>
      </c>
      <c r="G32" s="569"/>
      <c r="H32" s="571"/>
      <c r="I32" s="570"/>
      <c r="J32" s="572"/>
      <c r="K32" s="638">
        <v>2353.9</v>
      </c>
      <c r="L32" s="542" t="e">
        <f>'통장내역(환율표)'!#REF!</f>
        <v>#REF!</v>
      </c>
      <c r="M32" s="692" t="e">
        <f t="shared" si="7"/>
        <v>#REF!</v>
      </c>
      <c r="N32" s="613" t="e">
        <f t="shared" si="8"/>
        <v>#REF!</v>
      </c>
      <c r="O32" s="614" t="e">
        <f t="shared" si="9"/>
        <v>#REF!</v>
      </c>
      <c r="P32" s="608" t="s">
        <v>1133</v>
      </c>
      <c r="Q32" s="543" t="s">
        <v>1136</v>
      </c>
      <c r="R32" s="599" t="s">
        <v>1111</v>
      </c>
      <c r="S32" s="525" t="e">
        <f t="shared" si="10"/>
        <v>#REF!</v>
      </c>
    </row>
    <row r="33" spans="2:19" ht="11.25" customHeight="1">
      <c r="B33" s="568">
        <v>45342</v>
      </c>
      <c r="C33" s="669" t="s">
        <v>892</v>
      </c>
      <c r="D33" s="667"/>
      <c r="E33" s="668">
        <v>4</v>
      </c>
      <c r="F33" s="569" t="s">
        <v>107</v>
      </c>
      <c r="G33" s="569"/>
      <c r="H33" s="571"/>
      <c r="I33" s="570"/>
      <c r="J33" s="572"/>
      <c r="K33" s="638">
        <v>300</v>
      </c>
      <c r="L33" s="542" t="e">
        <f>'통장내역(환율표)'!#REF!</f>
        <v>#REF!</v>
      </c>
      <c r="M33" s="692" t="e">
        <f t="shared" si="7"/>
        <v>#REF!</v>
      </c>
      <c r="N33" s="613" t="e">
        <f t="shared" si="8"/>
        <v>#REF!</v>
      </c>
      <c r="O33" s="614" t="e">
        <f t="shared" si="9"/>
        <v>#REF!</v>
      </c>
      <c r="P33" s="608" t="s">
        <v>1133</v>
      </c>
      <c r="Q33" s="543" t="s">
        <v>1136</v>
      </c>
      <c r="R33" s="599" t="s">
        <v>1111</v>
      </c>
      <c r="S33" s="525" t="e">
        <f t="shared" si="10"/>
        <v>#REF!</v>
      </c>
    </row>
    <row r="34" spans="2:19" ht="11.25" customHeight="1">
      <c r="B34" s="568">
        <v>45342</v>
      </c>
      <c r="C34" s="669" t="s">
        <v>891</v>
      </c>
      <c r="D34" s="667"/>
      <c r="E34" s="668">
        <v>4</v>
      </c>
      <c r="F34" s="569" t="s">
        <v>107</v>
      </c>
      <c r="G34" s="569"/>
      <c r="H34" s="571"/>
      <c r="I34" s="570"/>
      <c r="J34" s="572"/>
      <c r="K34" s="639">
        <v>25000</v>
      </c>
      <c r="L34" s="542" t="e">
        <f>'통장내역(환율표)'!#REF!</f>
        <v>#REF!</v>
      </c>
      <c r="M34" s="692" t="e">
        <f t="shared" si="7"/>
        <v>#REF!</v>
      </c>
      <c r="N34" s="613" t="e">
        <f t="shared" si="8"/>
        <v>#REF!</v>
      </c>
      <c r="O34" s="614" t="e">
        <f t="shared" si="9"/>
        <v>#REF!</v>
      </c>
      <c r="P34" s="608" t="s">
        <v>1133</v>
      </c>
      <c r="Q34" s="543" t="s">
        <v>1136</v>
      </c>
      <c r="R34" s="599" t="s">
        <v>1112</v>
      </c>
      <c r="S34" s="525" t="e">
        <f t="shared" si="10"/>
        <v>#REF!</v>
      </c>
    </row>
    <row r="35" spans="2:19" ht="11.25" customHeight="1">
      <c r="B35" s="568">
        <v>45342</v>
      </c>
      <c r="C35" s="669" t="s">
        <v>939</v>
      </c>
      <c r="D35" s="667"/>
      <c r="E35" s="668">
        <v>4</v>
      </c>
      <c r="F35" s="569" t="s">
        <v>107</v>
      </c>
      <c r="G35" s="569"/>
      <c r="H35" s="571"/>
      <c r="I35" s="570"/>
      <c r="J35" s="572"/>
      <c r="K35" s="638">
        <v>6672.19</v>
      </c>
      <c r="L35" s="542" t="e">
        <f>'통장내역(환율표)'!#REF!</f>
        <v>#REF!</v>
      </c>
      <c r="M35" s="692" t="e">
        <f t="shared" si="7"/>
        <v>#REF!</v>
      </c>
      <c r="N35" s="613" t="e">
        <f t="shared" si="8"/>
        <v>#REF!</v>
      </c>
      <c r="O35" s="614" t="e">
        <f t="shared" si="9"/>
        <v>#REF!</v>
      </c>
      <c r="P35" s="608" t="s">
        <v>1133</v>
      </c>
      <c r="Q35" s="543" t="s">
        <v>1136</v>
      </c>
      <c r="R35" s="599" t="s">
        <v>1112</v>
      </c>
      <c r="S35" s="525" t="e">
        <f t="shared" si="10"/>
        <v>#REF!</v>
      </c>
    </row>
    <row r="36" spans="2:19" ht="11.25" customHeight="1">
      <c r="B36" s="568">
        <v>45342</v>
      </c>
      <c r="C36" s="669" t="s">
        <v>892</v>
      </c>
      <c r="D36" s="667"/>
      <c r="E36" s="668">
        <v>4</v>
      </c>
      <c r="F36" s="569" t="s">
        <v>107</v>
      </c>
      <c r="G36" s="569"/>
      <c r="H36" s="571"/>
      <c r="I36" s="570"/>
      <c r="J36" s="572"/>
      <c r="K36" s="638">
        <v>300</v>
      </c>
      <c r="L36" s="542" t="e">
        <f>'통장내역(환율표)'!#REF!</f>
        <v>#REF!</v>
      </c>
      <c r="M36" s="692" t="e">
        <f t="shared" si="7"/>
        <v>#REF!</v>
      </c>
      <c r="N36" s="613" t="e">
        <f t="shared" si="8"/>
        <v>#REF!</v>
      </c>
      <c r="O36" s="614" t="e">
        <f t="shared" si="9"/>
        <v>#REF!</v>
      </c>
      <c r="P36" s="608" t="s">
        <v>1133</v>
      </c>
      <c r="Q36" s="543" t="s">
        <v>1136</v>
      </c>
      <c r="R36" s="599" t="s">
        <v>1112</v>
      </c>
      <c r="S36" s="525" t="e">
        <f t="shared" si="10"/>
        <v>#REF!</v>
      </c>
    </row>
    <row r="37" spans="2:19" ht="11.25" customHeight="1">
      <c r="B37" s="568">
        <v>45342</v>
      </c>
      <c r="C37" s="669" t="s">
        <v>983</v>
      </c>
      <c r="D37" s="667"/>
      <c r="E37" s="668">
        <v>4</v>
      </c>
      <c r="F37" s="569" t="s">
        <v>107</v>
      </c>
      <c r="G37" s="569"/>
      <c r="H37" s="571"/>
      <c r="I37" s="570"/>
      <c r="J37" s="572"/>
      <c r="K37" s="638">
        <v>1200</v>
      </c>
      <c r="L37" s="542" t="e">
        <f>'통장내역(환율표)'!#REF!</f>
        <v>#REF!</v>
      </c>
      <c r="M37" s="692" t="e">
        <f t="shared" si="7"/>
        <v>#REF!</v>
      </c>
      <c r="N37" s="613" t="e">
        <f t="shared" si="8"/>
        <v>#REF!</v>
      </c>
      <c r="O37" s="614" t="e">
        <f t="shared" si="9"/>
        <v>#REF!</v>
      </c>
      <c r="P37" s="608" t="s">
        <v>1133</v>
      </c>
      <c r="Q37" s="543" t="s">
        <v>1136</v>
      </c>
      <c r="R37" s="599" t="s">
        <v>1112</v>
      </c>
      <c r="S37" s="525" t="e">
        <f t="shared" si="10"/>
        <v>#REF!</v>
      </c>
    </row>
    <row r="38" spans="2:19" ht="11.25" customHeight="1">
      <c r="B38" s="568">
        <v>45342</v>
      </c>
      <c r="C38" s="669" t="s">
        <v>891</v>
      </c>
      <c r="D38" s="667"/>
      <c r="E38" s="668">
        <v>4</v>
      </c>
      <c r="F38" s="569" t="s">
        <v>107</v>
      </c>
      <c r="G38" s="569"/>
      <c r="H38" s="571"/>
      <c r="I38" s="570"/>
      <c r="J38" s="572"/>
      <c r="K38" s="639">
        <v>13000</v>
      </c>
      <c r="L38" s="542" t="e">
        <f>'통장내역(환율표)'!#REF!</f>
        <v>#REF!</v>
      </c>
      <c r="M38" s="692" t="e">
        <f t="shared" si="7"/>
        <v>#REF!</v>
      </c>
      <c r="N38" s="613" t="e">
        <f t="shared" si="8"/>
        <v>#REF!</v>
      </c>
      <c r="O38" s="614" t="e">
        <f t="shared" si="9"/>
        <v>#REF!</v>
      </c>
      <c r="P38" s="608" t="s">
        <v>1133</v>
      </c>
      <c r="Q38" s="543" t="s">
        <v>1136</v>
      </c>
      <c r="R38" s="640" t="s">
        <v>1113</v>
      </c>
      <c r="S38" s="525" t="e">
        <f t="shared" si="10"/>
        <v>#REF!</v>
      </c>
    </row>
    <row r="39" spans="2:19" ht="11.25" customHeight="1">
      <c r="B39" s="568">
        <v>45342</v>
      </c>
      <c r="C39" s="669" t="s">
        <v>1109</v>
      </c>
      <c r="D39" s="667"/>
      <c r="E39" s="668">
        <v>4</v>
      </c>
      <c r="F39" s="569" t="s">
        <v>1138</v>
      </c>
      <c r="G39" s="569"/>
      <c r="H39" s="571"/>
      <c r="I39" s="570"/>
      <c r="J39" s="572"/>
      <c r="K39" s="639">
        <v>16523</v>
      </c>
      <c r="L39" s="542" t="e">
        <f>'통장내역(환율표)'!#REF!</f>
        <v>#REF!</v>
      </c>
      <c r="M39" s="692" t="e">
        <f t="shared" si="7"/>
        <v>#REF!</v>
      </c>
      <c r="N39" s="613" t="e">
        <f t="shared" si="8"/>
        <v>#REF!</v>
      </c>
      <c r="O39" s="614" t="e">
        <f t="shared" si="9"/>
        <v>#REF!</v>
      </c>
      <c r="P39" s="608" t="s">
        <v>1133</v>
      </c>
      <c r="Q39" s="543" t="s">
        <v>1136</v>
      </c>
      <c r="R39" s="640" t="s">
        <v>1113</v>
      </c>
      <c r="S39" s="525" t="e">
        <f t="shared" si="10"/>
        <v>#REF!</v>
      </c>
    </row>
    <row r="40" spans="2:19" ht="11.25" customHeight="1">
      <c r="B40" s="568">
        <v>45342</v>
      </c>
      <c r="C40" s="669" t="s">
        <v>939</v>
      </c>
      <c r="D40" s="667"/>
      <c r="E40" s="668">
        <v>4</v>
      </c>
      <c r="F40" s="569" t="s">
        <v>107</v>
      </c>
      <c r="G40" s="569"/>
      <c r="H40" s="571"/>
      <c r="I40" s="570"/>
      <c r="J40" s="572"/>
      <c r="K40" s="638">
        <v>2904.31</v>
      </c>
      <c r="L40" s="542" t="e">
        <f>'통장내역(환율표)'!#REF!</f>
        <v>#REF!</v>
      </c>
      <c r="M40" s="692" t="e">
        <f t="shared" si="7"/>
        <v>#REF!</v>
      </c>
      <c r="N40" s="613" t="e">
        <f t="shared" si="8"/>
        <v>#REF!</v>
      </c>
      <c r="O40" s="614" t="e">
        <f t="shared" si="9"/>
        <v>#REF!</v>
      </c>
      <c r="P40" s="608" t="s">
        <v>1133</v>
      </c>
      <c r="Q40" s="543" t="s">
        <v>1136</v>
      </c>
      <c r="R40" s="640" t="s">
        <v>1113</v>
      </c>
      <c r="S40" s="525" t="e">
        <f t="shared" si="10"/>
        <v>#REF!</v>
      </c>
    </row>
    <row r="41" spans="2:19" ht="11.25" customHeight="1">
      <c r="B41" s="568">
        <v>45342</v>
      </c>
      <c r="C41" s="669" t="s">
        <v>892</v>
      </c>
      <c r="D41" s="667"/>
      <c r="E41" s="668">
        <v>4</v>
      </c>
      <c r="F41" s="569" t="s">
        <v>107</v>
      </c>
      <c r="G41" s="569"/>
      <c r="H41" s="571"/>
      <c r="I41" s="570"/>
      <c r="J41" s="572"/>
      <c r="K41" s="638">
        <v>300</v>
      </c>
      <c r="L41" s="542" t="e">
        <f>'통장내역(환율표)'!#REF!</f>
        <v>#REF!</v>
      </c>
      <c r="M41" s="692" t="e">
        <f t="shared" si="7"/>
        <v>#REF!</v>
      </c>
      <c r="N41" s="613" t="e">
        <f t="shared" si="8"/>
        <v>#REF!</v>
      </c>
      <c r="O41" s="614" t="e">
        <f t="shared" si="9"/>
        <v>#REF!</v>
      </c>
      <c r="P41" s="608" t="s">
        <v>1133</v>
      </c>
      <c r="Q41" s="543" t="s">
        <v>1136</v>
      </c>
      <c r="R41" s="640" t="s">
        <v>1113</v>
      </c>
      <c r="S41" s="525" t="e">
        <f t="shared" si="10"/>
        <v>#REF!</v>
      </c>
    </row>
    <row r="42" spans="2:19" ht="11.25" customHeight="1">
      <c r="B42" s="568">
        <v>45342</v>
      </c>
      <c r="C42" s="669" t="s">
        <v>983</v>
      </c>
      <c r="D42" s="667"/>
      <c r="E42" s="668">
        <v>4</v>
      </c>
      <c r="F42" s="569" t="s">
        <v>107</v>
      </c>
      <c r="G42" s="569"/>
      <c r="H42" s="571"/>
      <c r="I42" s="570"/>
      <c r="J42" s="572"/>
      <c r="K42" s="638">
        <v>200</v>
      </c>
      <c r="L42" s="542" t="e">
        <f>'통장내역(환율표)'!#REF!</f>
        <v>#REF!</v>
      </c>
      <c r="M42" s="692" t="e">
        <f t="shared" si="7"/>
        <v>#REF!</v>
      </c>
      <c r="N42" s="613" t="e">
        <f t="shared" si="8"/>
        <v>#REF!</v>
      </c>
      <c r="O42" s="614" t="e">
        <f t="shared" si="9"/>
        <v>#REF!</v>
      </c>
      <c r="P42" s="608" t="s">
        <v>1133</v>
      </c>
      <c r="Q42" s="543" t="s">
        <v>1136</v>
      </c>
      <c r="R42" s="640" t="s">
        <v>1113</v>
      </c>
      <c r="S42" s="525" t="e">
        <f t="shared" si="10"/>
        <v>#REF!</v>
      </c>
    </row>
    <row r="43" spans="2:19" ht="11.25" customHeight="1">
      <c r="B43" s="568">
        <v>45342</v>
      </c>
      <c r="C43" s="669" t="s">
        <v>891</v>
      </c>
      <c r="D43" s="667"/>
      <c r="E43" s="668">
        <v>4</v>
      </c>
      <c r="F43" s="569" t="s">
        <v>107</v>
      </c>
      <c r="G43" s="569"/>
      <c r="H43" s="571"/>
      <c r="I43" s="570"/>
      <c r="J43" s="572"/>
      <c r="K43" s="639">
        <v>25000</v>
      </c>
      <c r="L43" s="542" t="e">
        <f>'통장내역(환율표)'!#REF!</f>
        <v>#REF!</v>
      </c>
      <c r="M43" s="692" t="e">
        <f t="shared" si="7"/>
        <v>#REF!</v>
      </c>
      <c r="N43" s="613" t="e">
        <f t="shared" si="8"/>
        <v>#REF!</v>
      </c>
      <c r="O43" s="614" t="e">
        <f t="shared" si="9"/>
        <v>#REF!</v>
      </c>
      <c r="P43" s="608" t="s">
        <v>1133</v>
      </c>
      <c r="Q43" s="543" t="s">
        <v>1136</v>
      </c>
      <c r="R43" s="599" t="s">
        <v>1114</v>
      </c>
      <c r="S43" s="525" t="e">
        <f t="shared" si="10"/>
        <v>#REF!</v>
      </c>
    </row>
    <row r="44" spans="2:19" ht="11.25" customHeight="1">
      <c r="B44" s="568">
        <v>45342</v>
      </c>
      <c r="C44" s="669" t="s">
        <v>1109</v>
      </c>
      <c r="D44" s="667"/>
      <c r="E44" s="668">
        <v>4</v>
      </c>
      <c r="F44" s="569" t="s">
        <v>1138</v>
      </c>
      <c r="G44" s="569"/>
      <c r="H44" s="571"/>
      <c r="I44" s="570"/>
      <c r="J44" s="572"/>
      <c r="K44" s="639">
        <v>22842</v>
      </c>
      <c r="L44" s="542" t="e">
        <f>'통장내역(환율표)'!#REF!</f>
        <v>#REF!</v>
      </c>
      <c r="M44" s="692" t="e">
        <f t="shared" si="7"/>
        <v>#REF!</v>
      </c>
      <c r="N44" s="613" t="e">
        <f t="shared" si="8"/>
        <v>#REF!</v>
      </c>
      <c r="O44" s="614" t="e">
        <f t="shared" si="9"/>
        <v>#REF!</v>
      </c>
      <c r="P44" s="608" t="s">
        <v>1133</v>
      </c>
      <c r="Q44" s="543" t="s">
        <v>1136</v>
      </c>
      <c r="R44" s="599" t="s">
        <v>1114</v>
      </c>
      <c r="S44" s="525" t="e">
        <f t="shared" si="10"/>
        <v>#REF!</v>
      </c>
    </row>
    <row r="45" spans="2:19" ht="11.25" customHeight="1">
      <c r="B45" s="568">
        <v>45342</v>
      </c>
      <c r="C45" s="669" t="s">
        <v>939</v>
      </c>
      <c r="D45" s="667"/>
      <c r="E45" s="668">
        <v>4</v>
      </c>
      <c r="F45" s="569" t="s">
        <v>107</v>
      </c>
      <c r="G45" s="569"/>
      <c r="H45" s="571"/>
      <c r="I45" s="570"/>
      <c r="J45" s="572"/>
      <c r="K45" s="638">
        <v>6672.19</v>
      </c>
      <c r="L45" s="542" t="e">
        <f>'통장내역(환율표)'!#REF!</f>
        <v>#REF!</v>
      </c>
      <c r="M45" s="692" t="e">
        <f t="shared" si="7"/>
        <v>#REF!</v>
      </c>
      <c r="N45" s="613" t="e">
        <f t="shared" si="8"/>
        <v>#REF!</v>
      </c>
      <c r="O45" s="614" t="e">
        <f t="shared" si="9"/>
        <v>#REF!</v>
      </c>
      <c r="P45" s="608" t="s">
        <v>1133</v>
      </c>
      <c r="Q45" s="543" t="s">
        <v>1136</v>
      </c>
      <c r="R45" s="599" t="s">
        <v>1114</v>
      </c>
      <c r="S45" s="525" t="e">
        <f t="shared" si="10"/>
        <v>#REF!</v>
      </c>
    </row>
    <row r="46" spans="2:19" ht="11.25" customHeight="1">
      <c r="B46" s="568">
        <v>45342</v>
      </c>
      <c r="C46" s="669" t="s">
        <v>892</v>
      </c>
      <c r="D46" s="667"/>
      <c r="E46" s="668">
        <v>4</v>
      </c>
      <c r="F46" s="569" t="s">
        <v>107</v>
      </c>
      <c r="G46" s="569"/>
      <c r="H46" s="571"/>
      <c r="I46" s="570"/>
      <c r="J46" s="572"/>
      <c r="K46" s="638">
        <v>300</v>
      </c>
      <c r="L46" s="542" t="e">
        <f>'통장내역(환율표)'!#REF!</f>
        <v>#REF!</v>
      </c>
      <c r="M46" s="692" t="e">
        <f t="shared" si="7"/>
        <v>#REF!</v>
      </c>
      <c r="N46" s="613" t="e">
        <f t="shared" si="8"/>
        <v>#REF!</v>
      </c>
      <c r="O46" s="614" t="e">
        <f t="shared" si="9"/>
        <v>#REF!</v>
      </c>
      <c r="P46" s="608" t="s">
        <v>1133</v>
      </c>
      <c r="Q46" s="543" t="s">
        <v>1136</v>
      </c>
      <c r="R46" s="599" t="s">
        <v>1114</v>
      </c>
      <c r="S46" s="525" t="e">
        <f t="shared" si="10"/>
        <v>#REF!</v>
      </c>
    </row>
    <row r="47" spans="2:19" ht="11.25" customHeight="1">
      <c r="B47" s="568">
        <v>45342</v>
      </c>
      <c r="C47" s="669" t="s">
        <v>983</v>
      </c>
      <c r="D47" s="667"/>
      <c r="E47" s="668">
        <v>4</v>
      </c>
      <c r="F47" s="569" t="s">
        <v>107</v>
      </c>
      <c r="G47" s="569"/>
      <c r="H47" s="571"/>
      <c r="I47" s="570"/>
      <c r="J47" s="572"/>
      <c r="K47" s="638">
        <v>200</v>
      </c>
      <c r="L47" s="542" t="e">
        <f>'통장내역(환율표)'!#REF!</f>
        <v>#REF!</v>
      </c>
      <c r="M47" s="692" t="e">
        <f t="shared" si="7"/>
        <v>#REF!</v>
      </c>
      <c r="N47" s="613" t="e">
        <f t="shared" si="8"/>
        <v>#REF!</v>
      </c>
      <c r="O47" s="614" t="e">
        <f t="shared" si="9"/>
        <v>#REF!</v>
      </c>
      <c r="P47" s="608" t="s">
        <v>1133</v>
      </c>
      <c r="Q47" s="543" t="s">
        <v>1136</v>
      </c>
      <c r="R47" s="599" t="s">
        <v>1114</v>
      </c>
      <c r="S47" s="525" t="e">
        <f t="shared" si="10"/>
        <v>#REF!</v>
      </c>
    </row>
    <row r="48" spans="2:19" ht="11.25" customHeight="1">
      <c r="B48" s="568">
        <v>45342</v>
      </c>
      <c r="C48" s="656" t="s">
        <v>250</v>
      </c>
      <c r="D48" s="667"/>
      <c r="E48" s="668">
        <v>5</v>
      </c>
      <c r="F48" s="569" t="s">
        <v>107</v>
      </c>
      <c r="G48" s="569"/>
      <c r="H48" s="571"/>
      <c r="I48" s="570"/>
      <c r="J48" s="572"/>
      <c r="K48" s="697">
        <v>12</v>
      </c>
      <c r="L48" s="542" t="e">
        <f>'통장내역(환율표)'!#REF!</f>
        <v>#REF!</v>
      </c>
      <c r="M48" s="692" t="e">
        <f t="shared" si="7"/>
        <v>#REF!</v>
      </c>
      <c r="N48" s="613" t="e">
        <f t="shared" si="8"/>
        <v>#REF!</v>
      </c>
      <c r="O48" s="614" t="e">
        <f t="shared" si="9"/>
        <v>#REF!</v>
      </c>
      <c r="P48" s="608" t="s">
        <v>1133</v>
      </c>
      <c r="Q48" s="543" t="s">
        <v>1136</v>
      </c>
      <c r="R48" s="641"/>
      <c r="S48" s="525" t="e">
        <f t="shared" si="10"/>
        <v>#REF!</v>
      </c>
    </row>
    <row r="49" spans="2:19" ht="11.25" customHeight="1">
      <c r="B49" s="568">
        <v>45342</v>
      </c>
      <c r="C49" s="571" t="s">
        <v>304</v>
      </c>
      <c r="D49" s="667"/>
      <c r="E49" s="668">
        <v>6</v>
      </c>
      <c r="F49" s="569" t="s">
        <v>105</v>
      </c>
      <c r="G49" s="569" t="s">
        <v>1122</v>
      </c>
      <c r="H49" s="571"/>
      <c r="I49" s="570"/>
      <c r="J49" s="572"/>
      <c r="K49" s="697">
        <f>20030.2-7.2</f>
        <v>20023</v>
      </c>
      <c r="L49" s="542" t="e">
        <f>'통장내역(환율표)'!#REF!</f>
        <v>#REF!</v>
      </c>
      <c r="M49" s="696">
        <v>2788.42</v>
      </c>
      <c r="N49" s="613" t="e">
        <f t="shared" si="8"/>
        <v>#REF!</v>
      </c>
      <c r="O49" s="614" t="e">
        <f t="shared" si="9"/>
        <v>#REF!</v>
      </c>
      <c r="P49" s="608" t="s">
        <v>1133</v>
      </c>
      <c r="Q49" s="543" t="s">
        <v>1136</v>
      </c>
      <c r="R49" s="641"/>
      <c r="S49" s="525" t="e">
        <f t="shared" si="10"/>
        <v>#REF!</v>
      </c>
    </row>
    <row r="50" spans="2:19" ht="11.25" customHeight="1">
      <c r="B50" s="568">
        <v>45342</v>
      </c>
      <c r="C50" s="571" t="s">
        <v>445</v>
      </c>
      <c r="D50" s="667"/>
      <c r="E50" s="668">
        <v>7</v>
      </c>
      <c r="F50" s="569" t="s">
        <v>107</v>
      </c>
      <c r="G50" s="569"/>
      <c r="H50" s="571"/>
      <c r="I50" s="570"/>
      <c r="J50" s="572"/>
      <c r="K50" s="697">
        <v>7.2</v>
      </c>
      <c r="L50" s="542" t="e">
        <f>'통장내역(환율표)'!#REF!</f>
        <v>#REF!</v>
      </c>
      <c r="M50" s="692" t="e">
        <f t="shared" si="7"/>
        <v>#REF!</v>
      </c>
      <c r="N50" s="613" t="e">
        <f t="shared" si="8"/>
        <v>#REF!</v>
      </c>
      <c r="O50" s="614" t="e">
        <f t="shared" si="9"/>
        <v>#REF!</v>
      </c>
      <c r="P50" s="608" t="s">
        <v>1133</v>
      </c>
      <c r="Q50" s="543" t="s">
        <v>1136</v>
      </c>
      <c r="R50" s="641"/>
      <c r="S50" s="525" t="e">
        <f t="shared" si="10"/>
        <v>#REF!</v>
      </c>
    </row>
    <row r="51" spans="2:19" ht="11.25" customHeight="1">
      <c r="B51" s="568">
        <v>45342</v>
      </c>
      <c r="C51" s="666" t="s">
        <v>699</v>
      </c>
      <c r="D51" s="667"/>
      <c r="E51" s="668">
        <v>8</v>
      </c>
      <c r="F51" s="569" t="s">
        <v>107</v>
      </c>
      <c r="G51" s="569"/>
      <c r="H51" s="571"/>
      <c r="I51" s="570"/>
      <c r="J51" s="572"/>
      <c r="K51" s="697">
        <v>237.16</v>
      </c>
      <c r="L51" s="542" t="e">
        <f>'통장내역(환율표)'!#REF!</f>
        <v>#REF!</v>
      </c>
      <c r="M51" s="692" t="e">
        <f t="shared" si="7"/>
        <v>#REF!</v>
      </c>
      <c r="N51" s="613" t="e">
        <f t="shared" si="8"/>
        <v>#REF!</v>
      </c>
      <c r="O51" s="614" t="e">
        <f t="shared" si="9"/>
        <v>#REF!</v>
      </c>
      <c r="P51" s="608" t="s">
        <v>1133</v>
      </c>
      <c r="Q51" s="543" t="s">
        <v>1136</v>
      </c>
      <c r="R51" s="641"/>
      <c r="S51" s="525" t="e">
        <f t="shared" si="10"/>
        <v>#REF!</v>
      </c>
    </row>
    <row r="52" spans="2:19" ht="11.25" customHeight="1">
      <c r="B52" s="568">
        <v>45342</v>
      </c>
      <c r="C52" s="571" t="s">
        <v>445</v>
      </c>
      <c r="D52" s="667"/>
      <c r="E52" s="668">
        <v>9</v>
      </c>
      <c r="F52" s="569" t="s">
        <v>107</v>
      </c>
      <c r="G52" s="569"/>
      <c r="H52" s="571"/>
      <c r="I52" s="570"/>
      <c r="J52" s="572"/>
      <c r="K52" s="697">
        <v>3.6</v>
      </c>
      <c r="L52" s="542" t="e">
        <f>'통장내역(환율표)'!#REF!</f>
        <v>#REF!</v>
      </c>
      <c r="M52" s="692" t="e">
        <f t="shared" si="7"/>
        <v>#REF!</v>
      </c>
      <c r="N52" s="613" t="e">
        <f t="shared" si="8"/>
        <v>#REF!</v>
      </c>
      <c r="O52" s="614" t="e">
        <f t="shared" si="9"/>
        <v>#REF!</v>
      </c>
      <c r="P52" s="608" t="s">
        <v>1133</v>
      </c>
      <c r="Q52" s="543" t="s">
        <v>1136</v>
      </c>
      <c r="R52" s="641"/>
      <c r="S52" s="525" t="e">
        <f t="shared" si="10"/>
        <v>#REF!</v>
      </c>
    </row>
    <row r="53" spans="2:19" ht="11.25" customHeight="1">
      <c r="B53" s="568">
        <v>45342</v>
      </c>
      <c r="C53" s="669" t="s">
        <v>305</v>
      </c>
      <c r="D53" s="667"/>
      <c r="E53" s="668">
        <v>10</v>
      </c>
      <c r="F53" s="569" t="s">
        <v>105</v>
      </c>
      <c r="G53" s="569" t="s">
        <v>227</v>
      </c>
      <c r="H53" s="571"/>
      <c r="I53" s="570"/>
      <c r="J53" s="572"/>
      <c r="K53" s="596">
        <v>10500</v>
      </c>
      <c r="L53" s="542" t="e">
        <f>'통장내역(환율표)'!#REF!</f>
        <v>#REF!</v>
      </c>
      <c r="M53" s="696">
        <v>1462.24</v>
      </c>
      <c r="N53" s="613" t="e">
        <f t="shared" si="8"/>
        <v>#REF!</v>
      </c>
      <c r="O53" s="614" t="e">
        <f t="shared" si="9"/>
        <v>#REF!</v>
      </c>
      <c r="P53" s="608" t="s">
        <v>1133</v>
      </c>
      <c r="Q53" s="543" t="s">
        <v>1136</v>
      </c>
      <c r="R53" s="641"/>
      <c r="S53" s="525" t="e">
        <f t="shared" si="10"/>
        <v>#REF!</v>
      </c>
    </row>
    <row r="54" spans="2:19" ht="11.25" customHeight="1">
      <c r="B54" s="568">
        <v>45342</v>
      </c>
      <c r="C54" s="669" t="s">
        <v>1107</v>
      </c>
      <c r="D54" s="667"/>
      <c r="E54" s="668">
        <v>11</v>
      </c>
      <c r="F54" s="569" t="s">
        <v>107</v>
      </c>
      <c r="G54" s="569"/>
      <c r="H54" s="571"/>
      <c r="I54" s="686"/>
      <c r="J54" s="572"/>
      <c r="K54" s="596">
        <v>6000</v>
      </c>
      <c r="L54" s="542" t="e">
        <f>'통장내역(환율표)'!#REF!</f>
        <v>#REF!</v>
      </c>
      <c r="M54" s="692" t="e">
        <f t="shared" si="7"/>
        <v>#REF!</v>
      </c>
      <c r="N54" s="687" t="e">
        <f t="shared" si="8"/>
        <v>#REF!</v>
      </c>
      <c r="O54" s="688" t="e">
        <f t="shared" si="9"/>
        <v>#REF!</v>
      </c>
      <c r="P54" s="689" t="s">
        <v>1133</v>
      </c>
      <c r="Q54" s="641" t="s">
        <v>1136</v>
      </c>
      <c r="R54" s="641"/>
      <c r="S54" s="525" t="e">
        <f t="shared" si="10"/>
        <v>#REF!</v>
      </c>
    </row>
    <row r="55" spans="2:19" ht="11.25" customHeight="1">
      <c r="B55" s="568">
        <v>45342</v>
      </c>
      <c r="C55" s="669" t="s">
        <v>1108</v>
      </c>
      <c r="D55" s="667"/>
      <c r="E55" s="668">
        <v>12</v>
      </c>
      <c r="F55" s="569" t="s">
        <v>107</v>
      </c>
      <c r="G55" s="569"/>
      <c r="H55" s="571"/>
      <c r="I55" s="686"/>
      <c r="J55" s="572"/>
      <c r="K55" s="697">
        <v>560</v>
      </c>
      <c r="L55" s="542" t="e">
        <f>'통장내역(환율표)'!#REF!</f>
        <v>#REF!</v>
      </c>
      <c r="M55" s="692" t="e">
        <f t="shared" si="7"/>
        <v>#REF!</v>
      </c>
      <c r="N55" s="687" t="e">
        <f t="shared" si="8"/>
        <v>#REF!</v>
      </c>
      <c r="O55" s="688" t="e">
        <f t="shared" si="9"/>
        <v>#REF!</v>
      </c>
      <c r="P55" s="689" t="s">
        <v>1133</v>
      </c>
      <c r="Q55" s="641" t="s">
        <v>1136</v>
      </c>
      <c r="R55" s="641"/>
      <c r="S55" s="525" t="e">
        <f t="shared" si="10"/>
        <v>#REF!</v>
      </c>
    </row>
    <row r="56" spans="2:19" ht="11.25" customHeight="1">
      <c r="B56" s="568">
        <v>45342</v>
      </c>
      <c r="C56" s="669" t="s">
        <v>305</v>
      </c>
      <c r="D56" s="667"/>
      <c r="E56" s="668">
        <v>13</v>
      </c>
      <c r="F56" s="569" t="s">
        <v>105</v>
      </c>
      <c r="G56" s="569" t="s">
        <v>227</v>
      </c>
      <c r="H56" s="571"/>
      <c r="I56" s="686"/>
      <c r="J56" s="572"/>
      <c r="K56" s="697">
        <v>7000</v>
      </c>
      <c r="L56" s="542" t="e">
        <f>'통장내역(환율표)'!#REF!</f>
        <v>#REF!</v>
      </c>
      <c r="M56" s="692" t="e">
        <f t="shared" si="7"/>
        <v>#REF!</v>
      </c>
      <c r="N56" s="687" t="e">
        <f t="shared" si="8"/>
        <v>#REF!</v>
      </c>
      <c r="O56" s="688" t="e">
        <f t="shared" si="9"/>
        <v>#REF!</v>
      </c>
      <c r="P56" s="689" t="s">
        <v>1133</v>
      </c>
      <c r="Q56" s="641" t="s">
        <v>1136</v>
      </c>
      <c r="R56" s="641"/>
      <c r="S56" s="525" t="e">
        <f t="shared" si="10"/>
        <v>#REF!</v>
      </c>
    </row>
    <row r="57" spans="2:19" ht="11.25" customHeight="1">
      <c r="B57" s="568">
        <v>45342</v>
      </c>
      <c r="C57" s="669" t="s">
        <v>1107</v>
      </c>
      <c r="D57" s="667"/>
      <c r="E57" s="668">
        <v>14</v>
      </c>
      <c r="F57" s="569" t="s">
        <v>107</v>
      </c>
      <c r="G57" s="569"/>
      <c r="H57" s="571"/>
      <c r="I57" s="686"/>
      <c r="J57" s="572"/>
      <c r="K57" s="697">
        <v>6000</v>
      </c>
      <c r="L57" s="542" t="e">
        <f>'통장내역(환율표)'!#REF!</f>
        <v>#REF!</v>
      </c>
      <c r="M57" s="692" t="e">
        <f t="shared" si="7"/>
        <v>#REF!</v>
      </c>
      <c r="N57" s="687" t="e">
        <f t="shared" si="8"/>
        <v>#REF!</v>
      </c>
      <c r="O57" s="688" t="e">
        <f t="shared" si="9"/>
        <v>#REF!</v>
      </c>
      <c r="P57" s="689" t="s">
        <v>1133</v>
      </c>
      <c r="Q57" s="641" t="s">
        <v>1136</v>
      </c>
      <c r="R57" s="641"/>
      <c r="S57" s="525" t="e">
        <f t="shared" si="10"/>
        <v>#REF!</v>
      </c>
    </row>
    <row r="58" spans="2:19" ht="11.25" customHeight="1">
      <c r="B58" s="568">
        <v>45342</v>
      </c>
      <c r="C58" s="669" t="s">
        <v>1108</v>
      </c>
      <c r="D58" s="667"/>
      <c r="E58" s="668">
        <v>15</v>
      </c>
      <c r="F58" s="569" t="s">
        <v>107</v>
      </c>
      <c r="G58" s="569"/>
      <c r="H58" s="571"/>
      <c r="I58" s="686"/>
      <c r="J58" s="572"/>
      <c r="K58" s="697">
        <v>360</v>
      </c>
      <c r="L58" s="542" t="e">
        <f>'통장내역(환율표)'!#REF!</f>
        <v>#REF!</v>
      </c>
      <c r="M58" s="692" t="e">
        <f t="shared" si="7"/>
        <v>#REF!</v>
      </c>
      <c r="N58" s="687" t="e">
        <f t="shared" si="8"/>
        <v>#REF!</v>
      </c>
      <c r="O58" s="688" t="e">
        <f t="shared" si="9"/>
        <v>#REF!</v>
      </c>
      <c r="P58" s="689" t="s">
        <v>1133</v>
      </c>
      <c r="Q58" s="641" t="s">
        <v>1136</v>
      </c>
      <c r="R58" s="641"/>
      <c r="S58" s="525" t="e">
        <f t="shared" si="10"/>
        <v>#REF!</v>
      </c>
    </row>
    <row r="59" spans="2:19" ht="11.25" customHeight="1">
      <c r="B59" s="568">
        <v>45342</v>
      </c>
      <c r="C59" s="571" t="s">
        <v>445</v>
      </c>
      <c r="D59" s="667"/>
      <c r="E59" s="668">
        <v>16</v>
      </c>
      <c r="F59" s="569" t="s">
        <v>107</v>
      </c>
      <c r="G59" s="569"/>
      <c r="H59" s="571"/>
      <c r="I59" s="686"/>
      <c r="J59" s="572"/>
      <c r="K59" s="697">
        <v>7.2</v>
      </c>
      <c r="L59" s="542" t="e">
        <f>'통장내역(환율표)'!#REF!</f>
        <v>#REF!</v>
      </c>
      <c r="M59" s="692" t="e">
        <f t="shared" si="7"/>
        <v>#REF!</v>
      </c>
      <c r="N59" s="687" t="e">
        <f t="shared" si="8"/>
        <v>#REF!</v>
      </c>
      <c r="O59" s="688" t="e">
        <f t="shared" si="9"/>
        <v>#REF!</v>
      </c>
      <c r="P59" s="689" t="s">
        <v>1133</v>
      </c>
      <c r="Q59" s="641" t="s">
        <v>1136</v>
      </c>
      <c r="R59" s="641"/>
      <c r="S59" s="525" t="e">
        <f t="shared" si="10"/>
        <v>#REF!</v>
      </c>
    </row>
    <row r="60" spans="2:19" ht="11.25" customHeight="1">
      <c r="B60" s="568">
        <v>45342</v>
      </c>
      <c r="C60" s="656" t="s">
        <v>999</v>
      </c>
      <c r="D60" s="667"/>
      <c r="E60" s="668">
        <v>17</v>
      </c>
      <c r="F60" s="569" t="s">
        <v>146</v>
      </c>
      <c r="G60" s="569" t="s">
        <v>147</v>
      </c>
      <c r="H60" s="571"/>
      <c r="I60" s="686"/>
      <c r="J60" s="572"/>
      <c r="K60" s="697">
        <v>1431</v>
      </c>
      <c r="L60" s="542" t="e">
        <f>'통장내역(환율표)'!#REF!</f>
        <v>#REF!</v>
      </c>
      <c r="M60" s="692" t="e">
        <f t="shared" si="7"/>
        <v>#REF!</v>
      </c>
      <c r="N60" s="687" t="e">
        <f t="shared" si="8"/>
        <v>#REF!</v>
      </c>
      <c r="O60" s="688" t="e">
        <f t="shared" si="9"/>
        <v>#REF!</v>
      </c>
      <c r="P60" s="689" t="s">
        <v>1133</v>
      </c>
      <c r="Q60" s="641" t="s">
        <v>1136</v>
      </c>
      <c r="R60" s="641"/>
      <c r="S60" s="525" t="e">
        <f t="shared" si="10"/>
        <v>#REF!</v>
      </c>
    </row>
    <row r="61" spans="2:19" ht="11.25" customHeight="1">
      <c r="B61" s="568">
        <v>45342</v>
      </c>
      <c r="C61" s="656" t="s">
        <v>997</v>
      </c>
      <c r="D61" s="667"/>
      <c r="E61" s="668">
        <v>18</v>
      </c>
      <c r="F61" s="569" t="s">
        <v>146</v>
      </c>
      <c r="G61" s="569" t="s">
        <v>147</v>
      </c>
      <c r="H61" s="571"/>
      <c r="I61" s="686"/>
      <c r="J61" s="572"/>
      <c r="K61" s="697">
        <v>1212</v>
      </c>
      <c r="L61" s="542" t="e">
        <f>'통장내역(환율표)'!#REF!</f>
        <v>#REF!</v>
      </c>
      <c r="M61" s="692" t="e">
        <f t="shared" si="7"/>
        <v>#REF!</v>
      </c>
      <c r="N61" s="687" t="e">
        <f t="shared" si="8"/>
        <v>#REF!</v>
      </c>
      <c r="O61" s="688" t="e">
        <f t="shared" si="9"/>
        <v>#REF!</v>
      </c>
      <c r="P61" s="689" t="s">
        <v>1133</v>
      </c>
      <c r="Q61" s="641" t="s">
        <v>1136</v>
      </c>
      <c r="R61" s="641"/>
      <c r="S61" s="525" t="e">
        <f t="shared" si="10"/>
        <v>#REF!</v>
      </c>
    </row>
    <row r="62" spans="2:19" ht="11.25" customHeight="1">
      <c r="B62" s="568">
        <v>45342</v>
      </c>
      <c r="C62" s="656" t="s">
        <v>998</v>
      </c>
      <c r="D62" s="667"/>
      <c r="E62" s="668">
        <v>19</v>
      </c>
      <c r="F62" s="569" t="s">
        <v>146</v>
      </c>
      <c r="G62" s="569" t="s">
        <v>147</v>
      </c>
      <c r="H62" s="571"/>
      <c r="I62" s="686"/>
      <c r="J62" s="572"/>
      <c r="K62" s="697">
        <v>128</v>
      </c>
      <c r="L62" s="542" t="e">
        <f>'통장내역(환율표)'!#REF!</f>
        <v>#REF!</v>
      </c>
      <c r="M62" s="696">
        <v>17.829999999999998</v>
      </c>
      <c r="N62" s="687" t="e">
        <f t="shared" si="8"/>
        <v>#REF!</v>
      </c>
      <c r="O62" s="688" t="e">
        <f t="shared" si="9"/>
        <v>#REF!</v>
      </c>
      <c r="P62" s="689" t="s">
        <v>1133</v>
      </c>
      <c r="Q62" s="641" t="s">
        <v>1136</v>
      </c>
      <c r="R62" s="641"/>
      <c r="S62" s="525" t="e">
        <f t="shared" si="10"/>
        <v>#REF!</v>
      </c>
    </row>
    <row r="63" spans="2:19" ht="11.25" customHeight="1">
      <c r="B63" s="568">
        <v>45342</v>
      </c>
      <c r="C63" s="656" t="s">
        <v>250</v>
      </c>
      <c r="D63" s="667"/>
      <c r="E63" s="668">
        <v>20</v>
      </c>
      <c r="F63" s="569" t="s">
        <v>107</v>
      </c>
      <c r="G63" s="569"/>
      <c r="H63" s="571"/>
      <c r="I63" s="686"/>
      <c r="J63" s="572"/>
      <c r="K63" s="697">
        <v>3.6</v>
      </c>
      <c r="L63" s="542" t="e">
        <f>'통장내역(환율표)'!#REF!</f>
        <v>#REF!</v>
      </c>
      <c r="M63" s="692" t="e">
        <f t="shared" si="7"/>
        <v>#REF!</v>
      </c>
      <c r="N63" s="687" t="e">
        <f t="shared" si="8"/>
        <v>#REF!</v>
      </c>
      <c r="O63" s="688" t="e">
        <f t="shared" si="9"/>
        <v>#REF!</v>
      </c>
      <c r="P63" s="689" t="s">
        <v>1133</v>
      </c>
      <c r="Q63" s="641" t="s">
        <v>1136</v>
      </c>
      <c r="R63" s="641"/>
      <c r="S63" s="525" t="e">
        <f t="shared" si="10"/>
        <v>#REF!</v>
      </c>
    </row>
    <row r="64" spans="2:19" ht="11.25" customHeight="1">
      <c r="B64" s="568">
        <v>45342</v>
      </c>
      <c r="C64" s="656" t="s">
        <v>250</v>
      </c>
      <c r="D64" s="667"/>
      <c r="E64" s="668">
        <v>21</v>
      </c>
      <c r="F64" s="569" t="s">
        <v>107</v>
      </c>
      <c r="G64" s="569"/>
      <c r="H64" s="571"/>
      <c r="I64" s="686"/>
      <c r="J64" s="572"/>
      <c r="K64" s="697">
        <v>3.6</v>
      </c>
      <c r="L64" s="542" t="e">
        <f>'통장내역(환율표)'!#REF!</f>
        <v>#REF!</v>
      </c>
      <c r="M64" s="692" t="e">
        <f t="shared" si="7"/>
        <v>#REF!</v>
      </c>
      <c r="N64" s="687" t="e">
        <f t="shared" si="8"/>
        <v>#REF!</v>
      </c>
      <c r="O64" s="688" t="e">
        <f t="shared" si="9"/>
        <v>#REF!</v>
      </c>
      <c r="P64" s="689" t="s">
        <v>1133</v>
      </c>
      <c r="Q64" s="641" t="s">
        <v>1136</v>
      </c>
      <c r="R64" s="641" t="s">
        <v>1130</v>
      </c>
      <c r="S64" s="525" t="e">
        <f t="shared" si="10"/>
        <v>#REF!</v>
      </c>
    </row>
    <row r="65" spans="2:19" ht="11.25" customHeight="1">
      <c r="B65" s="568">
        <v>45342</v>
      </c>
      <c r="C65" s="656" t="s">
        <v>1015</v>
      </c>
      <c r="D65" s="667"/>
      <c r="E65" s="668">
        <v>22</v>
      </c>
      <c r="F65" s="569" t="s">
        <v>125</v>
      </c>
      <c r="G65" s="569" t="s">
        <v>145</v>
      </c>
      <c r="H65" s="571"/>
      <c r="I65" s="686"/>
      <c r="J65" s="572"/>
      <c r="K65" s="697">
        <v>3819.2</v>
      </c>
      <c r="L65" s="542" t="e">
        <f>'통장내역(환율표)'!#REF!</f>
        <v>#REF!</v>
      </c>
      <c r="M65" s="692" t="e">
        <f t="shared" si="7"/>
        <v>#REF!</v>
      </c>
      <c r="N65" s="687" t="e">
        <f t="shared" si="8"/>
        <v>#REF!</v>
      </c>
      <c r="O65" s="688" t="e">
        <f t="shared" si="9"/>
        <v>#REF!</v>
      </c>
      <c r="P65" s="689" t="s">
        <v>1133</v>
      </c>
      <c r="Q65" s="641" t="s">
        <v>1136</v>
      </c>
      <c r="R65" s="641"/>
      <c r="S65" s="525" t="e">
        <f t="shared" si="10"/>
        <v>#REF!</v>
      </c>
    </row>
    <row r="66" spans="2:19" ht="11.25" customHeight="1">
      <c r="B66" s="568">
        <v>45342</v>
      </c>
      <c r="C66" s="656" t="s">
        <v>1131</v>
      </c>
      <c r="D66" s="667"/>
      <c r="E66" s="668">
        <v>23</v>
      </c>
      <c r="F66" s="569" t="s">
        <v>125</v>
      </c>
      <c r="G66" s="569" t="s">
        <v>145</v>
      </c>
      <c r="H66" s="571"/>
      <c r="I66" s="686"/>
      <c r="J66" s="572"/>
      <c r="K66" s="697">
        <v>5568</v>
      </c>
      <c r="L66" s="542" t="e">
        <f>'통장내역(환율표)'!#REF!</f>
        <v>#REF!</v>
      </c>
      <c r="M66" s="692" t="e">
        <f t="shared" si="7"/>
        <v>#REF!</v>
      </c>
      <c r="N66" s="687" t="e">
        <f t="shared" si="8"/>
        <v>#REF!</v>
      </c>
      <c r="O66" s="688" t="e">
        <f t="shared" si="9"/>
        <v>#REF!</v>
      </c>
      <c r="P66" s="689" t="s">
        <v>1133</v>
      </c>
      <c r="Q66" s="641" t="s">
        <v>1136</v>
      </c>
      <c r="R66" s="641"/>
      <c r="S66" s="525" t="e">
        <f t="shared" si="10"/>
        <v>#REF!</v>
      </c>
    </row>
    <row r="67" spans="2:19" ht="11.25" customHeight="1">
      <c r="B67" s="568">
        <v>45342</v>
      </c>
      <c r="C67" s="656" t="s">
        <v>1094</v>
      </c>
      <c r="D67" s="667"/>
      <c r="E67" s="668">
        <v>24</v>
      </c>
      <c r="F67" s="569" t="s">
        <v>146</v>
      </c>
      <c r="G67" s="569" t="s">
        <v>147</v>
      </c>
      <c r="H67" s="571"/>
      <c r="I67" s="686"/>
      <c r="J67" s="572"/>
      <c r="K67" s="697">
        <v>2645.69</v>
      </c>
      <c r="L67" s="542" t="e">
        <f>'통장내역(환율표)'!#REF!</f>
        <v>#REF!</v>
      </c>
      <c r="M67" s="692" t="e">
        <f t="shared" si="7"/>
        <v>#REF!</v>
      </c>
      <c r="N67" s="687" t="e">
        <f t="shared" si="8"/>
        <v>#REF!</v>
      </c>
      <c r="O67" s="688" t="e">
        <f t="shared" si="9"/>
        <v>#REF!</v>
      </c>
      <c r="P67" s="689" t="s">
        <v>1133</v>
      </c>
      <c r="Q67" s="641" t="s">
        <v>1136</v>
      </c>
      <c r="R67" s="641"/>
      <c r="S67" s="525" t="e">
        <f t="shared" si="10"/>
        <v>#REF!</v>
      </c>
    </row>
    <row r="68" spans="2:19" ht="11.25" customHeight="1">
      <c r="B68" s="568">
        <v>45342</v>
      </c>
      <c r="C68" s="656" t="s">
        <v>1095</v>
      </c>
      <c r="D68" s="667"/>
      <c r="E68" s="668">
        <v>25</v>
      </c>
      <c r="F68" s="569" t="s">
        <v>146</v>
      </c>
      <c r="G68" s="569" t="s">
        <v>147</v>
      </c>
      <c r="H68" s="571"/>
      <c r="I68" s="686"/>
      <c r="J68" s="572"/>
      <c r="K68" s="697">
        <v>524.79</v>
      </c>
      <c r="L68" s="542" t="e">
        <f>'통장내역(환율표)'!#REF!</f>
        <v>#REF!</v>
      </c>
      <c r="M68" s="692" t="e">
        <f t="shared" si="7"/>
        <v>#REF!</v>
      </c>
      <c r="N68" s="687" t="e">
        <f t="shared" si="8"/>
        <v>#REF!</v>
      </c>
      <c r="O68" s="688" t="e">
        <f t="shared" si="9"/>
        <v>#REF!</v>
      </c>
      <c r="P68" s="689" t="s">
        <v>1133</v>
      </c>
      <c r="Q68" s="641" t="s">
        <v>1136</v>
      </c>
      <c r="R68" s="641"/>
      <c r="S68" s="525" t="e">
        <f t="shared" si="10"/>
        <v>#REF!</v>
      </c>
    </row>
    <row r="69" spans="2:19" ht="11.25" customHeight="1">
      <c r="B69" s="568">
        <v>45342</v>
      </c>
      <c r="C69" s="656" t="s">
        <v>250</v>
      </c>
      <c r="D69" s="667"/>
      <c r="E69" s="668">
        <v>26</v>
      </c>
      <c r="F69" s="569" t="s">
        <v>107</v>
      </c>
      <c r="G69" s="569"/>
      <c r="H69" s="571"/>
      <c r="I69" s="686"/>
      <c r="J69" s="572"/>
      <c r="K69" s="697">
        <v>7.2</v>
      </c>
      <c r="L69" s="542" t="e">
        <f>'통장내역(환율표)'!#REF!</f>
        <v>#REF!</v>
      </c>
      <c r="M69" s="692" t="e">
        <f t="shared" si="7"/>
        <v>#REF!</v>
      </c>
      <c r="N69" s="687" t="e">
        <f t="shared" si="8"/>
        <v>#REF!</v>
      </c>
      <c r="O69" s="688" t="e">
        <f t="shared" si="9"/>
        <v>#REF!</v>
      </c>
      <c r="P69" s="689" t="s">
        <v>1133</v>
      </c>
      <c r="Q69" s="641" t="s">
        <v>1136</v>
      </c>
      <c r="R69" s="641"/>
      <c r="S69" s="525" t="e">
        <f t="shared" si="10"/>
        <v>#REF!</v>
      </c>
    </row>
    <row r="70" spans="2:19" ht="11.25" customHeight="1">
      <c r="B70" s="568">
        <v>45342</v>
      </c>
      <c r="C70" s="656" t="s">
        <v>1090</v>
      </c>
      <c r="D70" s="667"/>
      <c r="E70" s="668">
        <v>27</v>
      </c>
      <c r="F70" s="569" t="s">
        <v>146</v>
      </c>
      <c r="G70" s="569" t="s">
        <v>147</v>
      </c>
      <c r="H70" s="571"/>
      <c r="I70" s="686"/>
      <c r="J70" s="572"/>
      <c r="K70" s="697">
        <v>296.33999999999997</v>
      </c>
      <c r="L70" s="542" t="e">
        <f>'통장내역(환율표)'!#REF!</f>
        <v>#REF!</v>
      </c>
      <c r="M70" s="692" t="e">
        <f t="shared" si="7"/>
        <v>#REF!</v>
      </c>
      <c r="N70" s="687" t="e">
        <f t="shared" si="8"/>
        <v>#REF!</v>
      </c>
      <c r="O70" s="688" t="e">
        <f t="shared" si="9"/>
        <v>#REF!</v>
      </c>
      <c r="P70" s="689" t="s">
        <v>1133</v>
      </c>
      <c r="Q70" s="641" t="s">
        <v>1136</v>
      </c>
      <c r="R70" s="641"/>
      <c r="S70" s="525" t="e">
        <f t="shared" si="10"/>
        <v>#REF!</v>
      </c>
    </row>
    <row r="71" spans="2:19" ht="11.25" customHeight="1">
      <c r="B71" s="568">
        <v>45342</v>
      </c>
      <c r="C71" s="656" t="s">
        <v>1089</v>
      </c>
      <c r="D71" s="667"/>
      <c r="E71" s="668">
        <v>28</v>
      </c>
      <c r="F71" s="569" t="s">
        <v>146</v>
      </c>
      <c r="G71" s="569" t="s">
        <v>147</v>
      </c>
      <c r="H71" s="571"/>
      <c r="I71" s="686"/>
      <c r="J71" s="572"/>
      <c r="K71" s="697">
        <v>310</v>
      </c>
      <c r="L71" s="542" t="e">
        <f>'통장내역(환율표)'!#REF!</f>
        <v>#REF!</v>
      </c>
      <c r="M71" s="692" t="e">
        <f t="shared" si="7"/>
        <v>#REF!</v>
      </c>
      <c r="N71" s="687" t="e">
        <f t="shared" si="8"/>
        <v>#REF!</v>
      </c>
      <c r="O71" s="688" t="e">
        <f t="shared" si="9"/>
        <v>#REF!</v>
      </c>
      <c r="P71" s="689" t="s">
        <v>1133</v>
      </c>
      <c r="Q71" s="641" t="s">
        <v>1136</v>
      </c>
      <c r="R71" s="641"/>
      <c r="S71" s="525" t="e">
        <f t="shared" si="10"/>
        <v>#REF!</v>
      </c>
    </row>
    <row r="72" spans="2:19" ht="11.25" customHeight="1">
      <c r="B72" s="568">
        <v>45342</v>
      </c>
      <c r="C72" s="656" t="s">
        <v>1007</v>
      </c>
      <c r="D72" s="667"/>
      <c r="E72" s="668">
        <v>29</v>
      </c>
      <c r="F72" s="569" t="s">
        <v>107</v>
      </c>
      <c r="G72" s="569"/>
      <c r="H72" s="571"/>
      <c r="I72" s="686"/>
      <c r="J72" s="572"/>
      <c r="K72" s="697">
        <v>51</v>
      </c>
      <c r="L72" s="542" t="e">
        <f>'통장내역(환율표)'!#REF!</f>
        <v>#REF!</v>
      </c>
      <c r="M72" s="692" t="e">
        <f t="shared" si="7"/>
        <v>#REF!</v>
      </c>
      <c r="N72" s="687" t="e">
        <f t="shared" si="8"/>
        <v>#REF!</v>
      </c>
      <c r="O72" s="688" t="e">
        <f t="shared" si="9"/>
        <v>#REF!</v>
      </c>
      <c r="P72" s="689" t="s">
        <v>1133</v>
      </c>
      <c r="Q72" s="641" t="s">
        <v>1136</v>
      </c>
      <c r="R72" s="641"/>
      <c r="S72" s="525" t="e">
        <f t="shared" si="10"/>
        <v>#REF!</v>
      </c>
    </row>
    <row r="73" spans="2:19" ht="11.25" customHeight="1">
      <c r="B73" s="568">
        <v>45342</v>
      </c>
      <c r="C73" s="656" t="s">
        <v>250</v>
      </c>
      <c r="D73" s="667"/>
      <c r="E73" s="668">
        <v>30</v>
      </c>
      <c r="F73" s="569" t="s">
        <v>107</v>
      </c>
      <c r="G73" s="569"/>
      <c r="H73" s="571"/>
      <c r="I73" s="686"/>
      <c r="J73" s="572"/>
      <c r="K73" s="637">
        <v>3.6</v>
      </c>
      <c r="L73" s="542" t="e">
        <f>'통장내역(환율표)'!#REF!</f>
        <v>#REF!</v>
      </c>
      <c r="M73" s="692" t="e">
        <f t="shared" si="7"/>
        <v>#REF!</v>
      </c>
      <c r="N73" s="687" t="e">
        <f t="shared" si="8"/>
        <v>#REF!</v>
      </c>
      <c r="O73" s="688" t="e">
        <f t="shared" si="9"/>
        <v>#REF!</v>
      </c>
      <c r="P73" s="689" t="s">
        <v>1133</v>
      </c>
      <c r="Q73" s="641" t="s">
        <v>1136</v>
      </c>
      <c r="R73" s="641"/>
      <c r="S73" s="525" t="e">
        <f t="shared" si="10"/>
        <v>#REF!</v>
      </c>
    </row>
    <row r="74" spans="2:19" ht="11.25" customHeight="1">
      <c r="B74" s="568">
        <v>45342</v>
      </c>
      <c r="C74" s="656" t="s">
        <v>1099</v>
      </c>
      <c r="D74" s="667"/>
      <c r="E74" s="668">
        <v>31</v>
      </c>
      <c r="F74" s="569" t="s">
        <v>107</v>
      </c>
      <c r="G74" s="569"/>
      <c r="H74" s="571"/>
      <c r="I74" s="686"/>
      <c r="J74" s="572"/>
      <c r="K74" s="637">
        <v>664.58</v>
      </c>
      <c r="L74" s="542" t="e">
        <f>'통장내역(환율표)'!#REF!</f>
        <v>#REF!</v>
      </c>
      <c r="M74" s="692" t="e">
        <f t="shared" si="7"/>
        <v>#REF!</v>
      </c>
      <c r="N74" s="687" t="e">
        <f t="shared" si="8"/>
        <v>#REF!</v>
      </c>
      <c r="O74" s="688" t="e">
        <f t="shared" si="9"/>
        <v>#REF!</v>
      </c>
      <c r="P74" s="689" t="s">
        <v>1133</v>
      </c>
      <c r="Q74" s="641" t="s">
        <v>1136</v>
      </c>
      <c r="R74" s="641"/>
      <c r="S74" s="525" t="e">
        <f t="shared" si="10"/>
        <v>#REF!</v>
      </c>
    </row>
    <row r="75" spans="2:19" ht="11.25" customHeight="1">
      <c r="B75" s="568">
        <v>45342</v>
      </c>
      <c r="C75" s="656" t="s">
        <v>854</v>
      </c>
      <c r="D75" s="667"/>
      <c r="E75" s="668">
        <v>32</v>
      </c>
      <c r="F75" s="569" t="s">
        <v>116</v>
      </c>
      <c r="G75" s="569" t="s">
        <v>140</v>
      </c>
      <c r="H75" s="571"/>
      <c r="I75" s="686"/>
      <c r="J75" s="572"/>
      <c r="K75" s="697">
        <v>499</v>
      </c>
      <c r="L75" s="542" t="e">
        <f>'통장내역(환율표)'!#REF!</f>
        <v>#REF!</v>
      </c>
      <c r="M75" s="692" t="e">
        <f t="shared" si="7"/>
        <v>#REF!</v>
      </c>
      <c r="N75" s="687" t="e">
        <f t="shared" si="8"/>
        <v>#REF!</v>
      </c>
      <c r="O75" s="688" t="e">
        <f t="shared" si="9"/>
        <v>#REF!</v>
      </c>
      <c r="P75" s="689" t="s">
        <v>1133</v>
      </c>
      <c r="Q75" s="641" t="s">
        <v>1136</v>
      </c>
      <c r="R75" s="641"/>
      <c r="S75" s="525" t="e">
        <f t="shared" si="10"/>
        <v>#REF!</v>
      </c>
    </row>
    <row r="76" spans="2:19" ht="11.25" customHeight="1">
      <c r="B76" s="568">
        <v>45342</v>
      </c>
      <c r="C76" s="656" t="s">
        <v>1100</v>
      </c>
      <c r="D76" s="667"/>
      <c r="E76" s="668">
        <v>33</v>
      </c>
      <c r="F76" s="569" t="s">
        <v>116</v>
      </c>
      <c r="G76" s="569" t="s">
        <v>140</v>
      </c>
      <c r="H76" s="571"/>
      <c r="I76" s="686"/>
      <c r="J76" s="572"/>
      <c r="K76" s="637">
        <v>398</v>
      </c>
      <c r="L76" s="542" t="e">
        <f>'통장내역(환율표)'!#REF!</f>
        <v>#REF!</v>
      </c>
      <c r="M76" s="696">
        <v>55.43</v>
      </c>
      <c r="N76" s="687" t="e">
        <f t="shared" si="8"/>
        <v>#REF!</v>
      </c>
      <c r="O76" s="688" t="e">
        <f t="shared" si="9"/>
        <v>#REF!</v>
      </c>
      <c r="P76" s="689" t="s">
        <v>1133</v>
      </c>
      <c r="Q76" s="641" t="s">
        <v>1136</v>
      </c>
      <c r="R76" s="641"/>
      <c r="S76" s="525" t="e">
        <f t="shared" si="10"/>
        <v>#REF!</v>
      </c>
    </row>
    <row r="77" spans="2:19" ht="11.25" customHeight="1">
      <c r="B77" s="568">
        <v>45342</v>
      </c>
      <c r="C77" s="656" t="s">
        <v>1098</v>
      </c>
      <c r="D77" s="667"/>
      <c r="E77" s="668">
        <v>34</v>
      </c>
      <c r="F77" s="569" t="s">
        <v>146</v>
      </c>
      <c r="G77" s="569" t="s">
        <v>147</v>
      </c>
      <c r="H77" s="571"/>
      <c r="I77" s="686"/>
      <c r="J77" s="572"/>
      <c r="K77" s="637">
        <v>4855.6899999999996</v>
      </c>
      <c r="L77" s="542" t="e">
        <f>'통장내역(환율표)'!#REF!</f>
        <v>#REF!</v>
      </c>
      <c r="M77" s="692" t="e">
        <f t="shared" si="7"/>
        <v>#REF!</v>
      </c>
      <c r="N77" s="687" t="e">
        <f t="shared" si="8"/>
        <v>#REF!</v>
      </c>
      <c r="O77" s="688" t="e">
        <f t="shared" si="9"/>
        <v>#REF!</v>
      </c>
      <c r="P77" s="689" t="s">
        <v>1133</v>
      </c>
      <c r="Q77" s="641" t="s">
        <v>1136</v>
      </c>
      <c r="R77" s="641"/>
      <c r="S77" s="525" t="e">
        <f t="shared" si="10"/>
        <v>#REF!</v>
      </c>
    </row>
    <row r="78" spans="2:19" ht="11.25" customHeight="1">
      <c r="B78" s="568">
        <v>45342</v>
      </c>
      <c r="C78" s="656" t="s">
        <v>845</v>
      </c>
      <c r="D78" s="667"/>
      <c r="E78" s="668">
        <v>35</v>
      </c>
      <c r="F78" s="569" t="s">
        <v>125</v>
      </c>
      <c r="G78" s="569" t="s">
        <v>145</v>
      </c>
      <c r="H78" s="571"/>
      <c r="I78" s="686"/>
      <c r="J78" s="572"/>
      <c r="K78" s="637">
        <v>1644.8</v>
      </c>
      <c r="L78" s="542" t="e">
        <f>'통장내역(환율표)'!#REF!</f>
        <v>#REF!</v>
      </c>
      <c r="M78" s="692">
        <v>229.06</v>
      </c>
      <c r="N78" s="687" t="e">
        <f t="shared" si="8"/>
        <v>#REF!</v>
      </c>
      <c r="O78" s="688" t="e">
        <f t="shared" si="9"/>
        <v>#REF!</v>
      </c>
      <c r="P78" s="689" t="s">
        <v>1133</v>
      </c>
      <c r="Q78" s="641" t="s">
        <v>1136</v>
      </c>
      <c r="R78" s="641"/>
      <c r="S78" s="525" t="e">
        <f t="shared" si="10"/>
        <v>#REF!</v>
      </c>
    </row>
    <row r="79" spans="2:19" ht="11.25" customHeight="1">
      <c r="B79" s="568">
        <v>45342</v>
      </c>
      <c r="C79" s="656" t="s">
        <v>1132</v>
      </c>
      <c r="D79" s="667"/>
      <c r="E79" s="668">
        <v>36</v>
      </c>
      <c r="F79" s="569" t="s">
        <v>125</v>
      </c>
      <c r="G79" s="569" t="s">
        <v>145</v>
      </c>
      <c r="H79" s="571"/>
      <c r="I79" s="686"/>
      <c r="J79" s="572"/>
      <c r="K79" s="637">
        <v>6000</v>
      </c>
      <c r="L79" s="542" t="e">
        <f>'통장내역(환율표)'!#REF!</f>
        <v>#REF!</v>
      </c>
      <c r="M79" s="692" t="e">
        <f t="shared" si="7"/>
        <v>#REF!</v>
      </c>
      <c r="N79" s="687" t="e">
        <f t="shared" si="8"/>
        <v>#REF!</v>
      </c>
      <c r="O79" s="688" t="e">
        <f t="shared" si="9"/>
        <v>#REF!</v>
      </c>
      <c r="P79" s="689" t="s">
        <v>1133</v>
      </c>
      <c r="Q79" s="641" t="s">
        <v>1136</v>
      </c>
      <c r="R79" s="641"/>
      <c r="S79" s="525" t="e">
        <f t="shared" si="10"/>
        <v>#REF!</v>
      </c>
    </row>
    <row r="80" spans="2:19" ht="11.25" customHeight="1">
      <c r="B80" s="568">
        <v>45342</v>
      </c>
      <c r="C80" s="656" t="s">
        <v>844</v>
      </c>
      <c r="D80" s="667"/>
      <c r="E80" s="668">
        <v>37</v>
      </c>
      <c r="F80" s="569" t="s">
        <v>146</v>
      </c>
      <c r="G80" s="569" t="s">
        <v>147</v>
      </c>
      <c r="H80" s="571"/>
      <c r="I80" s="686"/>
      <c r="J80" s="572"/>
      <c r="K80" s="637">
        <v>300.73</v>
      </c>
      <c r="L80" s="542" t="e">
        <f>'통장내역(환율표)'!#REF!</f>
        <v>#REF!</v>
      </c>
      <c r="M80" s="692" t="e">
        <f t="shared" si="7"/>
        <v>#REF!</v>
      </c>
      <c r="N80" s="687" t="e">
        <f t="shared" si="8"/>
        <v>#REF!</v>
      </c>
      <c r="O80" s="688" t="e">
        <f t="shared" si="9"/>
        <v>#REF!</v>
      </c>
      <c r="P80" s="689" t="s">
        <v>1133</v>
      </c>
      <c r="Q80" s="641" t="s">
        <v>1136</v>
      </c>
      <c r="R80" s="641"/>
      <c r="S80" s="525" t="e">
        <f t="shared" si="10"/>
        <v>#REF!</v>
      </c>
    </row>
    <row r="81" spans="1:24" ht="11.25" customHeight="1">
      <c r="B81" s="568">
        <v>45342</v>
      </c>
      <c r="C81" s="656" t="s">
        <v>250</v>
      </c>
      <c r="D81" s="667"/>
      <c r="E81" s="668">
        <v>38</v>
      </c>
      <c r="F81" s="569" t="s">
        <v>107</v>
      </c>
      <c r="G81" s="569"/>
      <c r="H81" s="571"/>
      <c r="I81" s="686"/>
      <c r="J81" s="572"/>
      <c r="K81" s="637">
        <v>7.2</v>
      </c>
      <c r="L81" s="542" t="e">
        <f>'통장내역(환율표)'!#REF!</f>
        <v>#REF!</v>
      </c>
      <c r="M81" s="692" t="e">
        <f t="shared" si="7"/>
        <v>#REF!</v>
      </c>
      <c r="N81" s="687" t="e">
        <f t="shared" si="8"/>
        <v>#REF!</v>
      </c>
      <c r="O81" s="688" t="e">
        <f t="shared" si="9"/>
        <v>#REF!</v>
      </c>
      <c r="P81" s="689" t="s">
        <v>1133</v>
      </c>
      <c r="Q81" s="641" t="s">
        <v>1136</v>
      </c>
      <c r="R81" s="641"/>
      <c r="S81" s="525" t="e">
        <f t="shared" si="10"/>
        <v>#REF!</v>
      </c>
    </row>
    <row r="82" spans="1:24" ht="11.25" customHeight="1">
      <c r="B82" s="568">
        <v>45342</v>
      </c>
      <c r="C82" s="656" t="s">
        <v>1097</v>
      </c>
      <c r="D82" s="667"/>
      <c r="E82" s="668">
        <v>39</v>
      </c>
      <c r="F82" s="569" t="s">
        <v>116</v>
      </c>
      <c r="G82" s="569" t="s">
        <v>140</v>
      </c>
      <c r="H82" s="571"/>
      <c r="I82" s="686"/>
      <c r="J82" s="572"/>
      <c r="K82" s="637">
        <v>331.18</v>
      </c>
      <c r="L82" s="542" t="e">
        <f>'통장내역(환율표)'!#REF!</f>
        <v>#REF!</v>
      </c>
      <c r="M82" s="692" t="e">
        <f t="shared" si="7"/>
        <v>#REF!</v>
      </c>
      <c r="N82" s="687" t="e">
        <f t="shared" si="8"/>
        <v>#REF!</v>
      </c>
      <c r="O82" s="688" t="e">
        <f t="shared" si="9"/>
        <v>#REF!</v>
      </c>
      <c r="P82" s="689" t="s">
        <v>1133</v>
      </c>
      <c r="Q82" s="641" t="s">
        <v>1136</v>
      </c>
      <c r="R82" s="641"/>
      <c r="S82" s="525" t="e">
        <f t="shared" si="10"/>
        <v>#REF!</v>
      </c>
    </row>
    <row r="83" spans="1:24" ht="11.25" customHeight="1">
      <c r="B83" s="568">
        <v>45342</v>
      </c>
      <c r="C83" s="656" t="s">
        <v>806</v>
      </c>
      <c r="D83" s="667"/>
      <c r="E83" s="668">
        <v>40</v>
      </c>
      <c r="F83" s="569" t="s">
        <v>146</v>
      </c>
      <c r="G83" s="569" t="s">
        <v>147</v>
      </c>
      <c r="H83" s="571"/>
      <c r="I83" s="686"/>
      <c r="J83" s="572"/>
      <c r="K83" s="697">
        <v>97.2</v>
      </c>
      <c r="L83" s="542" t="e">
        <f>'통장내역(환율표)'!#REF!</f>
        <v>#REF!</v>
      </c>
      <c r="M83" s="692" t="e">
        <f t="shared" si="7"/>
        <v>#REF!</v>
      </c>
      <c r="N83" s="687" t="e">
        <f t="shared" si="8"/>
        <v>#REF!</v>
      </c>
      <c r="O83" s="688" t="e">
        <f t="shared" si="9"/>
        <v>#REF!</v>
      </c>
      <c r="P83" s="689" t="s">
        <v>1133</v>
      </c>
      <c r="Q83" s="641" t="s">
        <v>1136</v>
      </c>
      <c r="R83" s="641"/>
      <c r="S83" s="525" t="e">
        <f t="shared" si="10"/>
        <v>#REF!</v>
      </c>
    </row>
    <row r="84" spans="1:24" ht="11.25" customHeight="1">
      <c r="B84" s="568">
        <v>45342</v>
      </c>
      <c r="C84" s="656" t="s">
        <v>1096</v>
      </c>
      <c r="D84" s="667"/>
      <c r="E84" s="668">
        <v>41</v>
      </c>
      <c r="F84" s="569" t="s">
        <v>146</v>
      </c>
      <c r="G84" s="569" t="s">
        <v>147</v>
      </c>
      <c r="H84" s="571"/>
      <c r="I84" s="686"/>
      <c r="J84" s="572"/>
      <c r="K84" s="637">
        <v>11492.28</v>
      </c>
      <c r="L84" s="542" t="e">
        <f>'통장내역(환율표)'!#REF!</f>
        <v>#REF!</v>
      </c>
      <c r="M84" s="692" t="e">
        <f t="shared" si="7"/>
        <v>#REF!</v>
      </c>
      <c r="N84" s="687" t="e">
        <f t="shared" si="8"/>
        <v>#REF!</v>
      </c>
      <c r="O84" s="688" t="e">
        <f t="shared" si="9"/>
        <v>#REF!</v>
      </c>
      <c r="P84" s="689" t="s">
        <v>1133</v>
      </c>
      <c r="Q84" s="641" t="s">
        <v>1136</v>
      </c>
      <c r="R84" s="641"/>
      <c r="S84" s="525" t="e">
        <f t="shared" si="10"/>
        <v>#REF!</v>
      </c>
    </row>
    <row r="85" spans="1:24" ht="11.25" customHeight="1">
      <c r="B85" s="568">
        <v>45342</v>
      </c>
      <c r="C85" s="656" t="s">
        <v>250</v>
      </c>
      <c r="D85" s="667"/>
      <c r="E85" s="668">
        <v>42</v>
      </c>
      <c r="F85" s="569" t="s">
        <v>107</v>
      </c>
      <c r="G85" s="569"/>
      <c r="H85" s="571"/>
      <c r="I85" s="686"/>
      <c r="J85" s="572"/>
      <c r="K85" s="637">
        <v>7.2</v>
      </c>
      <c r="L85" s="542" t="e">
        <f>'통장내역(환율표)'!#REF!</f>
        <v>#REF!</v>
      </c>
      <c r="M85" s="692" t="e">
        <f t="shared" si="7"/>
        <v>#REF!</v>
      </c>
      <c r="N85" s="687" t="e">
        <f t="shared" si="8"/>
        <v>#REF!</v>
      </c>
      <c r="O85" s="688" t="e">
        <f t="shared" si="9"/>
        <v>#REF!</v>
      </c>
      <c r="P85" s="689" t="s">
        <v>1133</v>
      </c>
      <c r="Q85" s="641" t="s">
        <v>1136</v>
      </c>
      <c r="R85" s="641"/>
      <c r="S85" s="525" t="e">
        <f t="shared" si="10"/>
        <v>#REF!</v>
      </c>
    </row>
    <row r="86" spans="1:24" ht="11.25" customHeight="1">
      <c r="B86" s="568">
        <v>45342</v>
      </c>
      <c r="C86" s="656" t="s">
        <v>995</v>
      </c>
      <c r="D86" s="667"/>
      <c r="E86" s="668">
        <v>43</v>
      </c>
      <c r="F86" s="569" t="s">
        <v>146</v>
      </c>
      <c r="G86" s="569" t="s">
        <v>147</v>
      </c>
      <c r="H86" s="571"/>
      <c r="I86" s="686"/>
      <c r="J86" s="572"/>
      <c r="K86" s="637">
        <v>464</v>
      </c>
      <c r="L86" s="542" t="e">
        <f>'통장내역(환율표)'!#REF!</f>
        <v>#REF!</v>
      </c>
      <c r="M86" s="692">
        <v>64.616955977206175</v>
      </c>
      <c r="N86" s="687" t="e">
        <f t="shared" si="8"/>
        <v>#REF!</v>
      </c>
      <c r="O86" s="688" t="e">
        <f t="shared" si="9"/>
        <v>#REF!</v>
      </c>
      <c r="P86" s="689" t="s">
        <v>1133</v>
      </c>
      <c r="Q86" s="641" t="s">
        <v>1136</v>
      </c>
      <c r="R86" s="641"/>
      <c r="S86" s="525" t="e">
        <f t="shared" si="10"/>
        <v>#REF!</v>
      </c>
    </row>
    <row r="87" spans="1:24" ht="11.25" customHeight="1">
      <c r="B87" s="568">
        <v>45342</v>
      </c>
      <c r="C87" s="656" t="s">
        <v>994</v>
      </c>
      <c r="D87" s="667"/>
      <c r="E87" s="668">
        <v>44</v>
      </c>
      <c r="F87" s="569" t="s">
        <v>146</v>
      </c>
      <c r="G87" s="569" t="s">
        <v>147</v>
      </c>
      <c r="H87" s="571"/>
      <c r="I87" s="686"/>
      <c r="J87" s="572"/>
      <c r="K87" s="637">
        <v>918</v>
      </c>
      <c r="L87" s="542" t="e">
        <f>'통장내역(환율표)'!#REF!</f>
        <v>#REF!</v>
      </c>
      <c r="M87" s="692" t="e">
        <f t="shared" ref="M87:M94" si="11">K87/L87</f>
        <v>#REF!</v>
      </c>
      <c r="N87" s="687" t="e">
        <f t="shared" si="8"/>
        <v>#REF!</v>
      </c>
      <c r="O87" s="688" t="e">
        <f t="shared" si="9"/>
        <v>#REF!</v>
      </c>
      <c r="P87" s="689" t="s">
        <v>1133</v>
      </c>
      <c r="Q87" s="641" t="s">
        <v>1136</v>
      </c>
      <c r="R87" s="641"/>
      <c r="S87" s="525" t="e">
        <f t="shared" si="10"/>
        <v>#REF!</v>
      </c>
    </row>
    <row r="88" spans="1:24" ht="11.25" customHeight="1">
      <c r="B88" s="568">
        <v>45342</v>
      </c>
      <c r="C88" s="656" t="s">
        <v>996</v>
      </c>
      <c r="D88" s="667"/>
      <c r="E88" s="668">
        <v>45</v>
      </c>
      <c r="F88" s="569" t="s">
        <v>146</v>
      </c>
      <c r="G88" s="569" t="s">
        <v>147</v>
      </c>
      <c r="H88" s="571"/>
      <c r="I88" s="686"/>
      <c r="J88" s="572"/>
      <c r="K88" s="637">
        <f>1861.76-18</f>
        <v>1843.76</v>
      </c>
      <c r="L88" s="542" t="e">
        <f>'통장내역(환율표)'!#REF!</f>
        <v>#REF!</v>
      </c>
      <c r="M88" s="692" t="e">
        <f t="shared" si="11"/>
        <v>#REF!</v>
      </c>
      <c r="N88" s="687" t="e">
        <f t="shared" si="8"/>
        <v>#REF!</v>
      </c>
      <c r="O88" s="688" t="e">
        <f t="shared" si="9"/>
        <v>#REF!</v>
      </c>
      <c r="P88" s="689" t="s">
        <v>1133</v>
      </c>
      <c r="Q88" s="641" t="s">
        <v>1136</v>
      </c>
      <c r="R88" s="641"/>
      <c r="S88" s="525" t="e">
        <f t="shared" si="10"/>
        <v>#REF!</v>
      </c>
    </row>
    <row r="89" spans="1:24" ht="11.25" customHeight="1">
      <c r="B89" s="568">
        <v>45342</v>
      </c>
      <c r="C89" s="656" t="s">
        <v>250</v>
      </c>
      <c r="D89" s="667"/>
      <c r="E89" s="691">
        <v>46</v>
      </c>
      <c r="F89" s="569" t="s">
        <v>107</v>
      </c>
      <c r="G89" s="569"/>
      <c r="H89" s="571"/>
      <c r="I89" s="686"/>
      <c r="J89" s="572"/>
      <c r="K89" s="637">
        <v>3.6</v>
      </c>
      <c r="L89" s="542" t="e">
        <f>'통장내역(환율표)'!#REF!</f>
        <v>#REF!</v>
      </c>
      <c r="M89" s="692" t="e">
        <f t="shared" si="11"/>
        <v>#REF!</v>
      </c>
      <c r="N89" s="687" t="e">
        <f t="shared" si="8"/>
        <v>#REF!</v>
      </c>
      <c r="O89" s="688" t="e">
        <f t="shared" si="9"/>
        <v>#REF!</v>
      </c>
      <c r="P89" s="689" t="s">
        <v>1133</v>
      </c>
      <c r="Q89" s="641" t="s">
        <v>1136</v>
      </c>
      <c r="R89" s="641"/>
      <c r="S89" s="525" t="e">
        <f t="shared" si="10"/>
        <v>#REF!</v>
      </c>
    </row>
    <row r="90" spans="1:24" ht="11.25" customHeight="1">
      <c r="B90" s="568">
        <v>45342</v>
      </c>
      <c r="C90" s="571" t="s">
        <v>1116</v>
      </c>
      <c r="D90" s="667"/>
      <c r="E90" s="691">
        <v>47</v>
      </c>
      <c r="F90" s="569" t="s">
        <v>146</v>
      </c>
      <c r="G90" s="569" t="s">
        <v>147</v>
      </c>
      <c r="H90" s="571"/>
      <c r="I90" s="686"/>
      <c r="J90" s="572"/>
      <c r="K90" s="637">
        <v>5419.32</v>
      </c>
      <c r="L90" s="542" t="e">
        <f>'통장내역(환율표)'!#REF!</f>
        <v>#REF!</v>
      </c>
      <c r="M90" s="692">
        <v>754.698193677571</v>
      </c>
      <c r="N90" s="687" t="e">
        <f t="shared" ref="N90:N94" si="12">N89+H90-K90</f>
        <v>#REF!</v>
      </c>
      <c r="O90" s="688" t="e">
        <f t="shared" ref="O90:O94" si="13">O89+J90-M90</f>
        <v>#REF!</v>
      </c>
      <c r="P90" s="689" t="s">
        <v>1133</v>
      </c>
      <c r="Q90" s="641" t="s">
        <v>1136</v>
      </c>
      <c r="R90" s="641"/>
      <c r="S90" s="525" t="e">
        <f t="shared" si="10"/>
        <v>#REF!</v>
      </c>
    </row>
    <row r="91" spans="1:24" ht="11.25" customHeight="1">
      <c r="B91" s="568">
        <v>45342</v>
      </c>
      <c r="C91" s="656" t="s">
        <v>1092</v>
      </c>
      <c r="D91" s="667"/>
      <c r="E91" s="691">
        <v>48</v>
      </c>
      <c r="F91" s="569" t="s">
        <v>107</v>
      </c>
      <c r="G91" s="569"/>
      <c r="H91" s="571"/>
      <c r="I91" s="686"/>
      <c r="J91" s="572"/>
      <c r="K91" s="637">
        <v>61.1</v>
      </c>
      <c r="L91" s="542" t="e">
        <f>'통장내역(환율표)'!#REF!</f>
        <v>#REF!</v>
      </c>
      <c r="M91" s="695" t="e">
        <f t="shared" si="11"/>
        <v>#REF!</v>
      </c>
      <c r="N91" s="687" t="e">
        <f t="shared" si="12"/>
        <v>#REF!</v>
      </c>
      <c r="O91" s="688" t="e">
        <f t="shared" si="13"/>
        <v>#REF!</v>
      </c>
      <c r="P91" s="689" t="s">
        <v>1133</v>
      </c>
      <c r="Q91" s="641" t="s">
        <v>1136</v>
      </c>
      <c r="R91" s="641"/>
      <c r="S91" s="525" t="e">
        <f t="shared" si="10"/>
        <v>#REF!</v>
      </c>
    </row>
    <row r="92" spans="1:24" ht="11.25" customHeight="1">
      <c r="B92" s="568">
        <v>45342</v>
      </c>
      <c r="C92" s="656" t="s">
        <v>1091</v>
      </c>
      <c r="D92" s="667"/>
      <c r="E92" s="667">
        <v>49</v>
      </c>
      <c r="F92" s="569" t="s">
        <v>116</v>
      </c>
      <c r="G92" s="569" t="s">
        <v>140</v>
      </c>
      <c r="H92" s="690"/>
      <c r="I92" s="686"/>
      <c r="J92" s="572"/>
      <c r="K92" s="637">
        <v>113.1</v>
      </c>
      <c r="L92" s="542" t="e">
        <f>'통장내역(환율표)'!#REF!</f>
        <v>#REF!</v>
      </c>
      <c r="M92" s="692" t="e">
        <f t="shared" si="11"/>
        <v>#REF!</v>
      </c>
      <c r="N92" s="687" t="e">
        <f t="shared" si="12"/>
        <v>#REF!</v>
      </c>
      <c r="O92" s="688" t="e">
        <f t="shared" si="13"/>
        <v>#REF!</v>
      </c>
      <c r="P92" s="689" t="s">
        <v>1133</v>
      </c>
      <c r="Q92" s="641" t="s">
        <v>1136</v>
      </c>
      <c r="R92" s="641"/>
      <c r="S92" s="525" t="e">
        <f t="shared" ref="S92:S94" si="14">S91-M92</f>
        <v>#REF!</v>
      </c>
    </row>
    <row r="93" spans="1:24" ht="11.25" customHeight="1">
      <c r="B93" s="568">
        <v>45342</v>
      </c>
      <c r="C93" s="656" t="s">
        <v>1093</v>
      </c>
      <c r="D93" s="667"/>
      <c r="E93" s="691">
        <v>50</v>
      </c>
      <c r="F93" s="569" t="s">
        <v>146</v>
      </c>
      <c r="G93" s="569" t="s">
        <v>147</v>
      </c>
      <c r="H93" s="571"/>
      <c r="I93" s="686"/>
      <c r="J93" s="572"/>
      <c r="K93" s="637">
        <v>1228.6400000000001</v>
      </c>
      <c r="L93" s="542" t="e">
        <f>'통장내역(환율표)'!#REF!</f>
        <v>#REF!</v>
      </c>
      <c r="M93" s="692">
        <v>171.1</v>
      </c>
      <c r="N93" s="687" t="e">
        <f t="shared" si="12"/>
        <v>#REF!</v>
      </c>
      <c r="O93" s="688" t="e">
        <f t="shared" si="13"/>
        <v>#REF!</v>
      </c>
      <c r="P93" s="689" t="s">
        <v>1133</v>
      </c>
      <c r="Q93" s="641" t="s">
        <v>1136</v>
      </c>
      <c r="R93" s="641"/>
      <c r="S93" s="525" t="e">
        <f t="shared" si="14"/>
        <v>#REF!</v>
      </c>
    </row>
    <row r="94" spans="1:24" ht="11.25" customHeight="1">
      <c r="B94" s="568">
        <v>45342</v>
      </c>
      <c r="C94" s="656" t="s">
        <v>250</v>
      </c>
      <c r="D94" s="667"/>
      <c r="E94" s="691">
        <v>51</v>
      </c>
      <c r="F94" s="569" t="s">
        <v>107</v>
      </c>
      <c r="G94" s="569"/>
      <c r="H94" s="571"/>
      <c r="I94" s="686"/>
      <c r="J94" s="572"/>
      <c r="K94" s="637">
        <v>3.6</v>
      </c>
      <c r="L94" s="542" t="e">
        <f>'통장내역(환율표)'!#REF!</f>
        <v>#REF!</v>
      </c>
      <c r="M94" s="692" t="e">
        <f t="shared" si="11"/>
        <v>#REF!</v>
      </c>
      <c r="N94" s="687" t="e">
        <f t="shared" si="12"/>
        <v>#REF!</v>
      </c>
      <c r="O94" s="688" t="e">
        <f t="shared" si="13"/>
        <v>#REF!</v>
      </c>
      <c r="P94" s="689" t="s">
        <v>1133</v>
      </c>
      <c r="Q94" s="641" t="s">
        <v>1136</v>
      </c>
      <c r="R94" s="641"/>
      <c r="S94" s="525" t="e">
        <f t="shared" si="14"/>
        <v>#REF!</v>
      </c>
    </row>
    <row r="95" spans="1:24" s="574" customFormat="1" ht="11.25" customHeight="1" thickBot="1">
      <c r="A95" s="544"/>
      <c r="B95" s="670"/>
      <c r="C95" s="671"/>
      <c r="D95" s="672"/>
      <c r="E95" s="671"/>
      <c r="F95" s="673"/>
      <c r="G95" s="674"/>
      <c r="H95" s="675"/>
      <c r="I95" s="676"/>
      <c r="J95" s="677"/>
      <c r="K95" s="678"/>
      <c r="L95" s="664"/>
      <c r="M95" s="680"/>
      <c r="N95" s="684"/>
      <c r="O95" s="685"/>
      <c r="P95" s="681"/>
      <c r="Q95" s="660"/>
      <c r="R95" s="665"/>
      <c r="S95" s="525"/>
      <c r="T95" s="461"/>
      <c r="V95" s="461"/>
      <c r="W95" s="461"/>
      <c r="X95" s="461"/>
    </row>
    <row r="96" spans="1:24" ht="11.25" customHeight="1">
      <c r="C96" s="519"/>
      <c r="D96" s="519"/>
      <c r="E96" s="519"/>
      <c r="F96" s="519"/>
      <c r="G96" s="519"/>
      <c r="H96" s="519"/>
      <c r="K96" s="461"/>
    </row>
    <row r="97" spans="3:11" ht="11.25" customHeight="1">
      <c r="C97" s="519"/>
      <c r="D97" s="519"/>
      <c r="E97" s="519"/>
      <c r="F97" s="519"/>
      <c r="G97" s="519"/>
      <c r="H97" s="519"/>
      <c r="K97" s="461"/>
    </row>
    <row r="98" spans="3:11" ht="11.25" customHeight="1">
      <c r="C98" s="519"/>
      <c r="D98" s="519"/>
      <c r="E98" s="519"/>
      <c r="F98" s="519"/>
      <c r="G98" s="519"/>
      <c r="H98" s="519"/>
      <c r="K98" s="461"/>
    </row>
    <row r="99" spans="3:11" ht="11.25" customHeight="1">
      <c r="C99" s="519"/>
      <c r="D99" s="519"/>
      <c r="E99" s="519"/>
      <c r="F99" s="519"/>
      <c r="G99" s="519"/>
      <c r="H99" s="519"/>
      <c r="K99" s="461"/>
    </row>
    <row r="100" spans="3:11" ht="11.25" customHeight="1">
      <c r="C100" s="519"/>
      <c r="D100" s="519"/>
      <c r="E100" s="519"/>
      <c r="F100" s="519"/>
      <c r="G100" s="519"/>
      <c r="H100" s="519"/>
      <c r="K100" s="461"/>
    </row>
    <row r="101" spans="3:11" ht="11.25" customHeight="1">
      <c r="C101" s="519"/>
      <c r="D101" s="519"/>
      <c r="E101" s="519"/>
      <c r="F101" s="519"/>
      <c r="G101" s="519"/>
      <c r="H101" s="519"/>
      <c r="K101" s="461"/>
    </row>
    <row r="102" spans="3:11" ht="11.25" customHeight="1">
      <c r="C102" s="519"/>
      <c r="D102" s="519"/>
      <c r="E102" s="519"/>
      <c r="F102" s="519"/>
      <c r="G102" s="519"/>
      <c r="H102" s="519"/>
    </row>
    <row r="103" spans="3:11" ht="11.25" customHeight="1">
      <c r="C103" s="519"/>
      <c r="D103" s="519"/>
      <c r="E103" s="519"/>
      <c r="F103" s="519"/>
      <c r="G103" s="519"/>
      <c r="H103" s="519"/>
    </row>
    <row r="104" spans="3:11" ht="11.25" customHeight="1">
      <c r="C104" s="519"/>
      <c r="D104" s="519"/>
      <c r="E104" s="519"/>
      <c r="F104" s="519"/>
      <c r="G104" s="519"/>
      <c r="H104" s="519"/>
    </row>
    <row r="105" spans="3:11" ht="11.25" customHeight="1">
      <c r="C105" s="519"/>
      <c r="D105" s="519"/>
      <c r="E105" s="519"/>
      <c r="F105" s="519"/>
      <c r="G105" s="519"/>
      <c r="H105" s="519"/>
    </row>
    <row r="106" spans="3:11" ht="11.25" customHeight="1">
      <c r="C106" s="519"/>
      <c r="D106" s="519"/>
      <c r="E106" s="519"/>
      <c r="F106" s="519"/>
      <c r="G106" s="519"/>
      <c r="H106" s="519"/>
    </row>
    <row r="107" spans="3:11" ht="11.25" customHeight="1">
      <c r="C107" s="519"/>
      <c r="D107" s="519"/>
      <c r="E107" s="519"/>
      <c r="F107" s="519"/>
      <c r="G107" s="519"/>
      <c r="H107" s="519"/>
    </row>
    <row r="108" spans="3:11" ht="11.25" customHeight="1">
      <c r="C108" s="519"/>
      <c r="D108" s="519"/>
      <c r="E108" s="519"/>
      <c r="F108" s="519"/>
      <c r="G108" s="519"/>
      <c r="H108" s="519"/>
    </row>
    <row r="109" spans="3:11" ht="11.25" customHeight="1">
      <c r="C109" s="519"/>
      <c r="D109" s="519"/>
      <c r="E109" s="519"/>
      <c r="F109" s="519"/>
      <c r="G109" s="519"/>
      <c r="H109" s="519"/>
    </row>
    <row r="110" spans="3:11" ht="11.25" customHeight="1">
      <c r="C110" s="519"/>
      <c r="D110" s="519"/>
      <c r="E110" s="519"/>
      <c r="F110" s="519"/>
      <c r="G110" s="519"/>
      <c r="H110" s="519"/>
    </row>
  </sheetData>
  <autoFilter ref="B17:R95" xr:uid="{00000000-0009-0000-0000-000001000000}">
    <filterColumn colId="14" showButton="0"/>
    <sortState xmlns:xlrd2="http://schemas.microsoft.com/office/spreadsheetml/2017/richdata2" ref="B21:R25">
      <sortCondition sortBy="cellColor" ref="M17:M95" dxfId="28"/>
    </sortState>
  </autoFilter>
  <mergeCells count="5">
    <mergeCell ref="H16:J16"/>
    <mergeCell ref="K16:M16"/>
    <mergeCell ref="N16:O16"/>
    <mergeCell ref="P16:Q16"/>
    <mergeCell ref="P17:Q17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6A52-6A98-474B-827F-7291104B0908}">
  <sheetPr filterMode="1">
    <tabColor theme="4" tint="-0.499984740745262"/>
  </sheetPr>
  <dimension ref="A1:AC123"/>
  <sheetViews>
    <sheetView showGridLines="0" zoomScaleNormal="100" workbookViewId="0">
      <pane ySplit="18" topLeftCell="A19" activePane="bottomLeft" state="frozen"/>
      <selection activeCell="M28" sqref="M28"/>
      <selection pane="bottomLeft" activeCell="E136" sqref="E136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5" style="489" customWidth="1"/>
    <col min="5" max="5" width="9.29687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2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1140</v>
      </c>
      <c r="C2" s="464"/>
      <c r="D2" s="465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472" t="s">
        <v>1048</v>
      </c>
      <c r="O2" s="473"/>
      <c r="Q2" s="470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1129</v>
      </c>
      <c r="C3" s="477"/>
      <c r="D3" s="478"/>
      <c r="E3" s="477"/>
      <c r="F3" s="715">
        <v>1327.2</v>
      </c>
      <c r="G3" s="480"/>
      <c r="H3" s="476" t="s">
        <v>1167</v>
      </c>
      <c r="I3" s="477"/>
      <c r="K3" s="478">
        <v>36000</v>
      </c>
      <c r="L3" s="715">
        <v>1234.5</v>
      </c>
      <c r="N3" s="476" t="s">
        <v>1139</v>
      </c>
      <c r="O3" s="477"/>
      <c r="P3" s="478"/>
      <c r="Q3" s="478"/>
      <c r="R3" s="715">
        <v>1323.1</v>
      </c>
      <c r="T3" s="476" t="s">
        <v>1244</v>
      </c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6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N4" s="484" t="s">
        <v>1</v>
      </c>
      <c r="O4" s="485" t="s">
        <v>2</v>
      </c>
      <c r="P4" s="486" t="s">
        <v>1049</v>
      </c>
      <c r="Q4" s="490" t="s">
        <v>1050</v>
      </c>
      <c r="R4" s="488" t="s">
        <v>1051</v>
      </c>
      <c r="T4" s="484" t="s">
        <v>1</v>
      </c>
      <c r="U4" s="485" t="s">
        <v>2</v>
      </c>
      <c r="V4" s="486" t="s">
        <v>1049</v>
      </c>
      <c r="W4" s="490" t="s">
        <v>1050</v>
      </c>
      <c r="X4" s="488" t="s">
        <v>1051</v>
      </c>
    </row>
    <row r="5" spans="1:29" ht="11.25" customHeight="1">
      <c r="A5" s="492">
        <v>51131050</v>
      </c>
      <c r="B5" s="493" t="s">
        <v>1052</v>
      </c>
      <c r="C5" s="494" t="s">
        <v>12</v>
      </c>
      <c r="D5" s="495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/>
      <c r="K5" s="693"/>
      <c r="L5" s="651">
        <f>ROUND(K5*$L$3,0)</f>
        <v>0</v>
      </c>
      <c r="N5" s="499" t="s">
        <v>11</v>
      </c>
      <c r="O5" s="499" t="s">
        <v>12</v>
      </c>
      <c r="P5" s="693">
        <v>12105.2</v>
      </c>
      <c r="Q5" s="693">
        <v>1690.25</v>
      </c>
      <c r="R5" s="497">
        <f t="shared" ref="R5:R12" si="0">ROUND(Q5*$R$3,0)</f>
        <v>2236370</v>
      </c>
      <c r="T5" s="499" t="s">
        <v>1168</v>
      </c>
      <c r="U5" s="499"/>
      <c r="V5" s="693">
        <v>48000</v>
      </c>
      <c r="W5" s="693">
        <v>6684.51</v>
      </c>
      <c r="X5" s="497">
        <f>ROUND(W5*$F$3,0)</f>
        <v>8871682</v>
      </c>
    </row>
    <row r="6" spans="1:29" ht="11.25" customHeight="1">
      <c r="A6" s="492">
        <v>51061030</v>
      </c>
      <c r="B6" s="493" t="s">
        <v>1053</v>
      </c>
      <c r="C6" s="494" t="s">
        <v>1054</v>
      </c>
      <c r="D6" s="495"/>
      <c r="E6" s="500"/>
      <c r="F6" s="497">
        <f t="shared" ref="F6:F12" si="1">ROUND(E6*$F$3,0)</f>
        <v>0</v>
      </c>
      <c r="G6" s="502"/>
      <c r="H6" s="499" t="s">
        <v>13</v>
      </c>
      <c r="I6" s="499" t="s">
        <v>14</v>
      </c>
      <c r="J6" s="693"/>
      <c r="K6" s="693"/>
      <c r="L6" s="651">
        <f t="shared" ref="L6:L7" si="2">ROUND(K6*$L$3,0)</f>
        <v>0</v>
      </c>
      <c r="N6" s="499" t="s">
        <v>13</v>
      </c>
      <c r="O6" s="499" t="s">
        <v>14</v>
      </c>
      <c r="P6" s="693">
        <v>50605.579999999994</v>
      </c>
      <c r="Q6" s="693">
        <v>7066.09</v>
      </c>
      <c r="R6" s="497">
        <f t="shared" si="0"/>
        <v>9349144</v>
      </c>
      <c r="X6" s="714">
        <f t="shared" ref="X6:X13" si="3">F6+R6</f>
        <v>9349144</v>
      </c>
      <c r="Y6" s="472" t="s">
        <v>1073</v>
      </c>
      <c r="Z6" s="473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495">
        <v>18093</v>
      </c>
      <c r="E7" s="496">
        <v>2519.64</v>
      </c>
      <c r="F7" s="497">
        <f t="shared" si="1"/>
        <v>3344066</v>
      </c>
      <c r="G7" s="503"/>
      <c r="H7" s="499" t="s">
        <v>15</v>
      </c>
      <c r="I7" s="499" t="s">
        <v>1055</v>
      </c>
      <c r="J7" s="694"/>
      <c r="K7" s="694"/>
      <c r="L7" s="651">
        <f t="shared" si="2"/>
        <v>0</v>
      </c>
      <c r="N7" s="499" t="s">
        <v>15</v>
      </c>
      <c r="O7" s="499" t="s">
        <v>1055</v>
      </c>
      <c r="P7" s="694"/>
      <c r="Q7" s="694"/>
      <c r="R7" s="651">
        <f t="shared" si="0"/>
        <v>0</v>
      </c>
      <c r="X7" s="714">
        <f t="shared" si="3"/>
        <v>3344066</v>
      </c>
    </row>
    <row r="8" spans="1:29" ht="15" customHeight="1">
      <c r="A8" s="492">
        <v>51201030</v>
      </c>
      <c r="B8" s="493" t="s">
        <v>1056</v>
      </c>
      <c r="C8" s="494" t="s">
        <v>17</v>
      </c>
      <c r="D8" s="495">
        <v>6094.08</v>
      </c>
      <c r="E8" s="500">
        <v>848.66</v>
      </c>
      <c r="F8" s="497">
        <f t="shared" si="1"/>
        <v>1126342</v>
      </c>
      <c r="G8" s="503"/>
      <c r="H8" s="499" t="s">
        <v>15</v>
      </c>
      <c r="I8" s="494" t="s">
        <v>17</v>
      </c>
      <c r="J8" s="694">
        <v>11405.93</v>
      </c>
      <c r="K8" s="694">
        <v>1792.81</v>
      </c>
      <c r="L8" s="651">
        <f>ROUND(K8*$L$3,0)</f>
        <v>2213224</v>
      </c>
      <c r="N8" s="499" t="s">
        <v>15</v>
      </c>
      <c r="O8" s="494" t="s">
        <v>17</v>
      </c>
      <c r="P8" s="694"/>
      <c r="Q8" s="694"/>
      <c r="R8" s="651">
        <f t="shared" si="0"/>
        <v>0</v>
      </c>
      <c r="T8"/>
      <c r="U8"/>
      <c r="V8"/>
      <c r="W8"/>
      <c r="X8"/>
    </row>
    <row r="9" spans="1:29" ht="11.25" customHeight="1">
      <c r="A9" s="492">
        <v>51071700</v>
      </c>
      <c r="B9" s="493" t="s">
        <v>19</v>
      </c>
      <c r="C9" s="494" t="s">
        <v>20</v>
      </c>
      <c r="D9" s="131"/>
      <c r="E9" s="500"/>
      <c r="F9" s="497">
        <f t="shared" si="1"/>
        <v>0</v>
      </c>
      <c r="G9" s="504"/>
      <c r="H9" s="499" t="s">
        <v>19</v>
      </c>
      <c r="I9" s="494" t="s">
        <v>20</v>
      </c>
      <c r="J9" s="693"/>
      <c r="K9" s="693"/>
      <c r="L9" s="651">
        <f t="shared" ref="L9:L10" si="4">ROUND(K9*$L$3,0)</f>
        <v>0</v>
      </c>
      <c r="N9" s="499" t="s">
        <v>19</v>
      </c>
      <c r="O9" s="494" t="s">
        <v>20</v>
      </c>
      <c r="P9" s="693">
        <v>1295.01</v>
      </c>
      <c r="Q9" s="693">
        <v>180.82</v>
      </c>
      <c r="R9" s="497">
        <f t="shared" si="0"/>
        <v>239243</v>
      </c>
      <c r="T9"/>
      <c r="U9"/>
      <c r="V9"/>
      <c r="W9"/>
      <c r="X9"/>
    </row>
    <row r="10" spans="1:29" ht="11.25" customHeight="1">
      <c r="A10" s="492">
        <v>51321010</v>
      </c>
      <c r="B10" s="493" t="s">
        <v>21</v>
      </c>
      <c r="C10" s="494"/>
      <c r="D10" s="495">
        <v>18342.400000000001</v>
      </c>
      <c r="E10" s="500">
        <v>2554.38</v>
      </c>
      <c r="F10" s="497">
        <f t="shared" si="1"/>
        <v>3390173</v>
      </c>
      <c r="G10" s="505"/>
      <c r="H10" s="499" t="s">
        <v>21</v>
      </c>
      <c r="I10" s="499"/>
      <c r="J10" s="693">
        <v>24594.07</v>
      </c>
      <c r="K10" s="693">
        <v>3865.75</v>
      </c>
      <c r="L10" s="651">
        <f t="shared" si="4"/>
        <v>4772268</v>
      </c>
      <c r="N10" s="499" t="s">
        <v>21</v>
      </c>
      <c r="O10" s="499"/>
      <c r="P10" s="693">
        <v>184016.23</v>
      </c>
      <c r="Q10" s="693">
        <v>25720.29</v>
      </c>
      <c r="R10" s="497">
        <f t="shared" si="0"/>
        <v>34030516</v>
      </c>
      <c r="T10"/>
      <c r="U10"/>
      <c r="V10"/>
      <c r="W10"/>
      <c r="X10"/>
      <c r="Y10" s="472" t="s">
        <v>1073</v>
      </c>
      <c r="Z10" s="473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8"/>
      <c r="E11" s="508"/>
      <c r="F11" s="509">
        <f t="shared" si="1"/>
        <v>0</v>
      </c>
      <c r="G11" s="510">
        <f>G13/G12</f>
        <v>1323.6968371641228</v>
      </c>
      <c r="H11" s="506" t="s">
        <v>1057</v>
      </c>
      <c r="I11" s="507" t="s">
        <v>1058</v>
      </c>
      <c r="J11" s="511"/>
      <c r="K11" s="511"/>
      <c r="L11" s="509">
        <f t="shared" ref="L11:L12" si="5">ROUND(K11*$R$3,0)</f>
        <v>0</v>
      </c>
      <c r="N11" s="506" t="s">
        <v>1057</v>
      </c>
      <c r="O11" s="507" t="s">
        <v>1058</v>
      </c>
      <c r="P11" s="511"/>
      <c r="Q11" s="511"/>
      <c r="R11" s="509">
        <f t="shared" si="0"/>
        <v>0</v>
      </c>
      <c r="T11" s="742"/>
      <c r="U11"/>
      <c r="V11"/>
      <c r="W11"/>
      <c r="X11"/>
      <c r="Y11" s="472" t="s">
        <v>1073</v>
      </c>
      <c r="Z11" s="473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596">
        <v>132.35</v>
      </c>
      <c r="E12" s="500">
        <v>18.43</v>
      </c>
      <c r="F12" s="497">
        <f t="shared" si="1"/>
        <v>24460</v>
      </c>
      <c r="G12" s="512">
        <f>E13+Q13+AB13</f>
        <v>40561.699999999997</v>
      </c>
      <c r="H12" s="499" t="s">
        <v>1059</v>
      </c>
      <c r="I12" s="499" t="s">
        <v>1060</v>
      </c>
      <c r="J12" s="495"/>
      <c r="K12" s="500"/>
      <c r="L12" s="497">
        <f t="shared" si="5"/>
        <v>0</v>
      </c>
      <c r="N12" s="499" t="s">
        <v>1059</v>
      </c>
      <c r="O12" s="499" t="s">
        <v>1060</v>
      </c>
      <c r="P12" s="495"/>
      <c r="Q12" s="500"/>
      <c r="R12" s="497">
        <f t="shared" si="0"/>
        <v>0</v>
      </c>
      <c r="X12" s="714">
        <f t="shared" si="3"/>
        <v>24460</v>
      </c>
      <c r="Y12" s="472" t="s">
        <v>1073</v>
      </c>
      <c r="Z12" s="473"/>
      <c r="AA12" s="466"/>
      <c r="AB12" s="470"/>
      <c r="AC12" s="468"/>
    </row>
    <row r="13" spans="1:29" ht="11.25" customHeight="1">
      <c r="A13" s="449"/>
      <c r="B13" s="513" t="s">
        <v>22</v>
      </c>
      <c r="C13" s="514"/>
      <c r="D13" s="515">
        <f>SUM(D5:D11)-D12</f>
        <v>42397.130000000005</v>
      </c>
      <c r="E13" s="516">
        <f>SUM(E5:E11)-E12</f>
        <v>5904.25</v>
      </c>
      <c r="F13" s="517">
        <f>SUM(F5:F11)-F12</f>
        <v>7836121</v>
      </c>
      <c r="G13" s="518">
        <f>F13+R13+AC13</f>
        <v>53691394</v>
      </c>
      <c r="H13" s="513" t="s">
        <v>22</v>
      </c>
      <c r="I13" s="514"/>
      <c r="J13" s="515">
        <f>SUM(J5:J11)-J12</f>
        <v>36000</v>
      </c>
      <c r="K13" s="516">
        <f>SUM(K5:K11)-K12</f>
        <v>5658.5599999999995</v>
      </c>
      <c r="L13" s="517">
        <f>SUM(L5:L11)-L12</f>
        <v>6985492</v>
      </c>
      <c r="N13" s="513" t="s">
        <v>22</v>
      </c>
      <c r="O13" s="514"/>
      <c r="P13" s="515">
        <f>SUM(P5:P11)-P12</f>
        <v>248022.02000000002</v>
      </c>
      <c r="Q13" s="516">
        <f>SUM(Q5:Q11)-Q12</f>
        <v>34657.449999999997</v>
      </c>
      <c r="R13" s="517">
        <f>SUM(R5:R11)-R12</f>
        <v>45855273</v>
      </c>
      <c r="X13" s="714">
        <f t="shared" si="3"/>
        <v>53691394</v>
      </c>
      <c r="Y13" s="643"/>
      <c r="Z13" s="473"/>
      <c r="AA13" s="466"/>
      <c r="AB13" s="470"/>
      <c r="AC13" s="468"/>
    </row>
    <row r="14" spans="1:29" ht="14.25" customHeight="1">
      <c r="A14" s="449"/>
      <c r="C14" s="520"/>
      <c r="D14" s="738">
        <f t="shared" ref="D14:E14" si="6">SUM(D7:D10)</f>
        <v>42529.48</v>
      </c>
      <c r="E14" s="738">
        <f t="shared" si="6"/>
        <v>5922.68</v>
      </c>
      <c r="F14" s="739">
        <f>SUM(F7:F10)</f>
        <v>7860581</v>
      </c>
      <c r="G14" s="524"/>
      <c r="O14" s="525"/>
      <c r="P14" s="648">
        <f>P13+D13+J13</f>
        <v>326419.15000000002</v>
      </c>
      <c r="Q14" s="648">
        <f t="shared" ref="Q14:R14" si="7">Q13+E13+K13</f>
        <v>46220.259999999995</v>
      </c>
      <c r="R14" s="649">
        <f t="shared" si="7"/>
        <v>60676886</v>
      </c>
      <c r="X14" s="470"/>
      <c r="Y14" s="525"/>
      <c r="AB14" s="525"/>
      <c r="AC14" s="489"/>
    </row>
    <row r="15" spans="1:29" ht="18.75" customHeight="1" thickBot="1">
      <c r="A15" s="449"/>
      <c r="C15" s="520"/>
      <c r="D15" s="521"/>
      <c r="E15" s="522"/>
      <c r="F15" s="523"/>
      <c r="G15" s="524"/>
      <c r="I15" s="525"/>
      <c r="J15" s="526"/>
      <c r="K15" s="652" t="e">
        <f>SUBTOTAL(9,K18:K137)</f>
        <v>#REF!</v>
      </c>
      <c r="L15" s="137"/>
      <c r="M15" s="652" t="e">
        <f>SUBTOTAL(9,M18:M137)</f>
        <v>#REF!</v>
      </c>
      <c r="N15" s="525"/>
      <c r="Q15" s="525"/>
    </row>
    <row r="16" spans="1:29" ht="11.25" customHeight="1">
      <c r="A16" s="449"/>
      <c r="B16" s="527" t="s">
        <v>24</v>
      </c>
      <c r="C16" s="528" t="s">
        <v>25</v>
      </c>
      <c r="D16" s="529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8"/>
      <c r="R16" s="533" t="s">
        <v>1062</v>
      </c>
    </row>
    <row r="17" spans="1:19" ht="11.25" customHeight="1">
      <c r="A17" s="449"/>
      <c r="B17" s="534" t="s">
        <v>1063</v>
      </c>
      <c r="C17" s="535" t="s">
        <v>1064</v>
      </c>
      <c r="D17" s="536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81" t="s">
        <v>32</v>
      </c>
      <c r="Q17" s="2082"/>
      <c r="R17" s="539" t="s">
        <v>1062</v>
      </c>
    </row>
    <row r="18" spans="1:19" ht="11.25" hidden="1" customHeight="1">
      <c r="B18" s="657">
        <v>45350</v>
      </c>
      <c r="C18" s="658"/>
      <c r="D18" s="659"/>
      <c r="E18" s="660"/>
      <c r="F18" s="658"/>
      <c r="G18" s="661"/>
      <c r="H18" s="662"/>
      <c r="I18" s="658"/>
      <c r="J18" s="661"/>
      <c r="K18" s="682"/>
      <c r="L18" s="663"/>
      <c r="M18" s="679"/>
      <c r="N18" s="682">
        <v>90378.45999999989</v>
      </c>
      <c r="O18" s="683">
        <v>12588.770893053397</v>
      </c>
      <c r="P18" s="681"/>
      <c r="Q18" s="660"/>
      <c r="R18" s="665"/>
      <c r="S18" s="645">
        <v>12588.766031663827</v>
      </c>
    </row>
    <row r="19" spans="1:19" ht="11.25" hidden="1" customHeight="1">
      <c r="B19" s="620">
        <v>45363</v>
      </c>
      <c r="C19" s="655" t="s">
        <v>1088</v>
      </c>
      <c r="D19" s="621"/>
      <c r="E19" s="621">
        <v>1</v>
      </c>
      <c r="F19" s="621"/>
      <c r="G19" s="621"/>
      <c r="H19" s="622">
        <v>383597.96</v>
      </c>
      <c r="I19" s="623"/>
      <c r="J19" s="622">
        <v>53588</v>
      </c>
      <c r="K19" s="624"/>
      <c r="L19" s="625"/>
      <c r="M19" s="619"/>
      <c r="N19" s="627">
        <f t="shared" ref="N19:N50" si="8">N18+H19-K19</f>
        <v>473976.41999999993</v>
      </c>
      <c r="O19" s="628">
        <f t="shared" ref="O19:O50" si="9">O18+J19-M19</f>
        <v>66176.770893053399</v>
      </c>
      <c r="P19" s="629"/>
      <c r="Q19" s="630"/>
      <c r="R19" s="630"/>
      <c r="S19" s="525">
        <f>S18-M19</f>
        <v>12588.766031663827</v>
      </c>
    </row>
    <row r="20" spans="1:19" ht="11.25" hidden="1" customHeight="1">
      <c r="B20" s="620"/>
      <c r="C20" s="655"/>
      <c r="D20" s="621"/>
      <c r="E20" s="621">
        <v>1</v>
      </c>
      <c r="F20" s="621" t="s">
        <v>107</v>
      </c>
      <c r="G20" s="621"/>
      <c r="H20" s="626"/>
      <c r="I20" s="623"/>
      <c r="J20" s="626"/>
      <c r="K20" s="624"/>
      <c r="L20" s="625"/>
      <c r="M20" s="619">
        <v>26</v>
      </c>
      <c r="N20" s="627">
        <f t="shared" si="8"/>
        <v>473976.41999999993</v>
      </c>
      <c r="O20" s="628">
        <f t="shared" si="9"/>
        <v>66150.770893053399</v>
      </c>
      <c r="P20" s="629"/>
      <c r="Q20" s="630"/>
      <c r="R20" s="630"/>
      <c r="S20" s="525"/>
    </row>
    <row r="21" spans="1:19" ht="11.25" hidden="1" customHeight="1">
      <c r="B21" s="568">
        <v>45365</v>
      </c>
      <c r="C21" s="666" t="s">
        <v>1142</v>
      </c>
      <c r="D21" s="667"/>
      <c r="E21" s="668">
        <v>2</v>
      </c>
      <c r="F21" s="569" t="s">
        <v>107</v>
      </c>
      <c r="G21" s="569"/>
      <c r="H21" s="571"/>
      <c r="I21" s="570"/>
      <c r="J21" s="572"/>
      <c r="K21" s="697">
        <v>140</v>
      </c>
      <c r="L21" s="542" t="e">
        <f>'통장내역(환율표)'!#REF!</f>
        <v>#REF!</v>
      </c>
      <c r="M21" s="631" t="e">
        <f t="shared" ref="M21:M27" si="10">K21/L21</f>
        <v>#REF!</v>
      </c>
      <c r="N21" s="613">
        <f t="shared" si="8"/>
        <v>473836.41999999993</v>
      </c>
      <c r="O21" s="614" t="e">
        <f t="shared" si="9"/>
        <v>#REF!</v>
      </c>
      <c r="P21" s="608" t="s">
        <v>1134</v>
      </c>
      <c r="Q21" s="543"/>
      <c r="R21" s="543"/>
      <c r="S21" s="525" t="e">
        <f>S19-M21</f>
        <v>#REF!</v>
      </c>
    </row>
    <row r="22" spans="1:19" ht="11.25" hidden="1" customHeight="1">
      <c r="B22" s="568">
        <v>45366</v>
      </c>
      <c r="C22" s="656" t="s">
        <v>1156</v>
      </c>
      <c r="D22" s="667"/>
      <c r="E22" s="668">
        <v>3</v>
      </c>
      <c r="F22" s="569" t="s">
        <v>105</v>
      </c>
      <c r="G22" s="569" t="s">
        <v>1122</v>
      </c>
      <c r="H22" s="571"/>
      <c r="I22" s="570"/>
      <c r="J22" s="572"/>
      <c r="K22" s="697">
        <v>18093</v>
      </c>
      <c r="L22" s="542" t="e">
        <f>'통장내역(환율표)'!#REF!</f>
        <v>#REF!</v>
      </c>
      <c r="M22" s="631" t="e">
        <f t="shared" si="10"/>
        <v>#REF!</v>
      </c>
      <c r="N22" s="613">
        <f t="shared" si="8"/>
        <v>455743.41999999993</v>
      </c>
      <c r="O22" s="614" t="e">
        <f t="shared" si="9"/>
        <v>#REF!</v>
      </c>
      <c r="P22" s="608" t="s">
        <v>1134</v>
      </c>
      <c r="Q22" s="543"/>
      <c r="R22" s="543"/>
      <c r="S22" s="525" t="e">
        <f t="shared" ref="S22:S28" si="11">S21-M22</f>
        <v>#REF!</v>
      </c>
    </row>
    <row r="23" spans="1:19" ht="11.25" hidden="1" customHeight="1">
      <c r="B23" s="568">
        <v>45366</v>
      </c>
      <c r="C23" s="656" t="s">
        <v>1157</v>
      </c>
      <c r="D23" s="667"/>
      <c r="E23" s="668">
        <v>4</v>
      </c>
      <c r="F23" s="569" t="s">
        <v>107</v>
      </c>
      <c r="G23" s="569"/>
      <c r="H23" s="571"/>
      <c r="I23" s="570"/>
      <c r="J23" s="572"/>
      <c r="K23" s="697">
        <v>7608</v>
      </c>
      <c r="L23" s="542" t="e">
        <f>'통장내역(환율표)'!#REF!</f>
        <v>#REF!</v>
      </c>
      <c r="M23" s="631" t="e">
        <f t="shared" si="10"/>
        <v>#REF!</v>
      </c>
      <c r="N23" s="613">
        <f t="shared" si="8"/>
        <v>448135.41999999993</v>
      </c>
      <c r="O23" s="614" t="e">
        <f t="shared" si="9"/>
        <v>#REF!</v>
      </c>
      <c r="P23" s="608" t="s">
        <v>1134</v>
      </c>
      <c r="Q23" s="543"/>
      <c r="R23" s="543" t="s">
        <v>1158</v>
      </c>
      <c r="S23" s="525" t="e">
        <f t="shared" si="11"/>
        <v>#REF!</v>
      </c>
    </row>
    <row r="24" spans="1:19" ht="11.25" customHeight="1">
      <c r="B24" s="700">
        <v>45366</v>
      </c>
      <c r="C24" s="711" t="s">
        <v>1155</v>
      </c>
      <c r="D24" s="701"/>
      <c r="E24" s="702">
        <v>5</v>
      </c>
      <c r="F24" s="703" t="s">
        <v>69</v>
      </c>
      <c r="G24" s="703"/>
      <c r="H24" s="712"/>
      <c r="I24" s="704"/>
      <c r="J24" s="705"/>
      <c r="K24" s="713">
        <v>48000</v>
      </c>
      <c r="L24" s="706" t="e">
        <f>'통장내역(환율표)'!#REF!</f>
        <v>#REF!</v>
      </c>
      <c r="M24" s="631" t="e">
        <f t="shared" si="10"/>
        <v>#REF!</v>
      </c>
      <c r="N24" s="707">
        <f t="shared" si="8"/>
        <v>400135.41999999993</v>
      </c>
      <c r="O24" s="708" t="e">
        <f t="shared" si="9"/>
        <v>#REF!</v>
      </c>
      <c r="P24" s="709" t="s">
        <v>1133</v>
      </c>
      <c r="Q24" s="710"/>
      <c r="R24" s="710"/>
      <c r="S24" s="525" t="e">
        <f t="shared" si="11"/>
        <v>#REF!</v>
      </c>
    </row>
    <row r="25" spans="1:19" ht="11.25" hidden="1" customHeight="1">
      <c r="B25" s="568">
        <v>45366</v>
      </c>
      <c r="C25" s="656" t="s">
        <v>250</v>
      </c>
      <c r="D25" s="667"/>
      <c r="E25" s="668">
        <v>6</v>
      </c>
      <c r="F25" s="569" t="s">
        <v>107</v>
      </c>
      <c r="G25" s="569"/>
      <c r="H25" s="571"/>
      <c r="I25" s="570"/>
      <c r="J25" s="572"/>
      <c r="K25" s="697">
        <v>7.2</v>
      </c>
      <c r="L25" s="542" t="e">
        <f>'통장내역(환율표)'!#REF!</f>
        <v>#REF!</v>
      </c>
      <c r="M25" s="631" t="e">
        <f t="shared" si="10"/>
        <v>#REF!</v>
      </c>
      <c r="N25" s="613">
        <f t="shared" si="8"/>
        <v>400128.21999999991</v>
      </c>
      <c r="O25" s="614" t="e">
        <f t="shared" si="9"/>
        <v>#REF!</v>
      </c>
      <c r="P25" s="608" t="s">
        <v>1134</v>
      </c>
      <c r="Q25" s="543"/>
      <c r="R25" s="543"/>
      <c r="S25" s="525" t="e">
        <f t="shared" si="11"/>
        <v>#REF!</v>
      </c>
    </row>
    <row r="26" spans="1:19" ht="11.25" hidden="1" customHeight="1">
      <c r="B26" s="568">
        <v>45366</v>
      </c>
      <c r="C26" s="669" t="s">
        <v>1143</v>
      </c>
      <c r="D26" s="667"/>
      <c r="E26" s="668">
        <v>7</v>
      </c>
      <c r="F26" s="569" t="s">
        <v>107</v>
      </c>
      <c r="G26" s="569"/>
      <c r="H26" s="571"/>
      <c r="I26" s="570"/>
      <c r="J26" s="572"/>
      <c r="K26" s="596">
        <v>10580</v>
      </c>
      <c r="L26" s="542" t="e">
        <f>'통장내역(환율표)'!#REF!</f>
        <v>#REF!</v>
      </c>
      <c r="M26" s="631" t="e">
        <f t="shared" si="10"/>
        <v>#REF!</v>
      </c>
      <c r="N26" s="613">
        <f t="shared" si="8"/>
        <v>389548.21999999991</v>
      </c>
      <c r="O26" s="614" t="e">
        <f t="shared" si="9"/>
        <v>#REF!</v>
      </c>
      <c r="P26" s="608" t="s">
        <v>1134</v>
      </c>
      <c r="Q26" s="543"/>
      <c r="R26" s="599"/>
      <c r="S26" s="525" t="e">
        <f t="shared" si="11"/>
        <v>#REF!</v>
      </c>
    </row>
    <row r="27" spans="1:19" ht="11.25" hidden="1" customHeight="1">
      <c r="B27" s="568">
        <v>45366</v>
      </c>
      <c r="C27" s="656" t="s">
        <v>250</v>
      </c>
      <c r="D27" s="667"/>
      <c r="E27" s="668">
        <v>8</v>
      </c>
      <c r="F27" s="569" t="s">
        <v>107</v>
      </c>
      <c r="G27" s="569"/>
      <c r="H27" s="571"/>
      <c r="I27" s="570"/>
      <c r="J27" s="572"/>
      <c r="K27" s="596">
        <v>7.2</v>
      </c>
      <c r="L27" s="542" t="e">
        <f>'통장내역(환율표)'!#REF!</f>
        <v>#REF!</v>
      </c>
      <c r="M27" s="631" t="e">
        <f t="shared" si="10"/>
        <v>#REF!</v>
      </c>
      <c r="N27" s="613">
        <f t="shared" si="8"/>
        <v>389541.0199999999</v>
      </c>
      <c r="O27" s="614" t="e">
        <f t="shared" si="9"/>
        <v>#REF!</v>
      </c>
      <c r="P27" s="608" t="s">
        <v>1134</v>
      </c>
      <c r="Q27" s="543"/>
      <c r="R27" s="599"/>
      <c r="S27" s="525" t="e">
        <f t="shared" si="11"/>
        <v>#REF!</v>
      </c>
    </row>
    <row r="28" spans="1:19" ht="11.25" hidden="1" customHeight="1">
      <c r="B28" s="716">
        <v>45366</v>
      </c>
      <c r="C28" s="717" t="s">
        <v>1144</v>
      </c>
      <c r="D28" s="718"/>
      <c r="E28" s="719">
        <v>9</v>
      </c>
      <c r="F28" s="720" t="s">
        <v>69</v>
      </c>
      <c r="G28" s="720"/>
      <c r="H28" s="721">
        <v>36000</v>
      </c>
      <c r="I28" s="722"/>
      <c r="J28" s="723">
        <v>5658.56</v>
      </c>
      <c r="K28" s="721"/>
      <c r="L28" s="724"/>
      <c r="M28" s="723"/>
      <c r="N28" s="725">
        <f t="shared" si="8"/>
        <v>425541.0199999999</v>
      </c>
      <c r="O28" s="726" t="e">
        <f t="shared" si="9"/>
        <v>#REF!</v>
      </c>
      <c r="P28" s="727"/>
      <c r="Q28" s="728"/>
      <c r="R28" s="729"/>
      <c r="S28" s="525" t="e">
        <f t="shared" si="11"/>
        <v>#REF!</v>
      </c>
    </row>
    <row r="29" spans="1:19" ht="11.25" hidden="1" customHeight="1">
      <c r="B29" s="568">
        <v>45372</v>
      </c>
      <c r="C29" s="669" t="s">
        <v>731</v>
      </c>
      <c r="D29" s="667"/>
      <c r="E29" s="668" t="s">
        <v>1159</v>
      </c>
      <c r="F29" s="569" t="s">
        <v>60</v>
      </c>
      <c r="G29" s="569"/>
      <c r="H29" s="596">
        <v>132.35</v>
      </c>
      <c r="I29" s="542" t="e">
        <f>'통장내역(환율표)'!#REF!</f>
        <v>#REF!</v>
      </c>
      <c r="J29" s="730">
        <v>18.43</v>
      </c>
      <c r="K29" s="638"/>
      <c r="L29" s="542"/>
      <c r="M29" s="631"/>
      <c r="N29" s="613">
        <f t="shared" si="8"/>
        <v>425673.36999999988</v>
      </c>
      <c r="O29" s="614" t="e">
        <f t="shared" si="9"/>
        <v>#REF!</v>
      </c>
      <c r="P29" s="608" t="s">
        <v>1134</v>
      </c>
      <c r="Q29" s="543"/>
      <c r="R29" s="599"/>
      <c r="S29" s="525" t="e">
        <f>S28-M29+J29</f>
        <v>#REF!</v>
      </c>
    </row>
    <row r="30" spans="1:19" ht="11.25" hidden="1" customHeight="1">
      <c r="B30" s="568">
        <v>45373</v>
      </c>
      <c r="C30" s="669" t="s">
        <v>305</v>
      </c>
      <c r="D30" s="667"/>
      <c r="E30" s="668">
        <v>10</v>
      </c>
      <c r="F30" s="569" t="s">
        <v>105</v>
      </c>
      <c r="G30" s="569" t="s">
        <v>227</v>
      </c>
      <c r="H30" s="699"/>
      <c r="I30" s="570"/>
      <c r="J30" s="572"/>
      <c r="K30" s="596" t="e">
        <f>L30*M30</f>
        <v>#REF!</v>
      </c>
      <c r="L30" s="542" t="e">
        <f>'통장내역(환율표)'!#REF!</f>
        <v>#REF!</v>
      </c>
      <c r="M30" s="631">
        <v>848.66472839271842</v>
      </c>
      <c r="N30" s="613" t="e">
        <f t="shared" si="8"/>
        <v>#REF!</v>
      </c>
      <c r="O30" s="614" t="e">
        <f t="shared" si="9"/>
        <v>#REF!</v>
      </c>
      <c r="P30" s="608" t="s">
        <v>1134</v>
      </c>
      <c r="Q30" s="543"/>
      <c r="R30" s="599"/>
      <c r="S30" s="525" t="e">
        <f>S29-M30+J30</f>
        <v>#REF!</v>
      </c>
    </row>
    <row r="31" spans="1:19" ht="11.25" hidden="1" customHeight="1">
      <c r="B31" s="568">
        <v>45373</v>
      </c>
      <c r="C31" s="669" t="s">
        <v>305</v>
      </c>
      <c r="D31" s="667"/>
      <c r="E31" s="668">
        <v>10</v>
      </c>
      <c r="F31" s="569" t="s">
        <v>105</v>
      </c>
      <c r="G31" s="569" t="s">
        <v>227</v>
      </c>
      <c r="H31" s="699"/>
      <c r="I31" s="570"/>
      <c r="J31" s="572"/>
      <c r="K31" s="596" t="e">
        <f>10500-K30</f>
        <v>#REF!</v>
      </c>
      <c r="L31" s="542" t="e">
        <f>'통장내역(환율표)'!#REF!</f>
        <v>#REF!</v>
      </c>
      <c r="M31" s="723" t="e">
        <f t="shared" ref="M31:M37" si="12">K31/L31</f>
        <v>#REF!</v>
      </c>
      <c r="N31" s="613" t="e">
        <f t="shared" si="8"/>
        <v>#REF!</v>
      </c>
      <c r="O31" s="614" t="e">
        <f t="shared" si="9"/>
        <v>#REF!</v>
      </c>
      <c r="P31" s="608" t="s">
        <v>69</v>
      </c>
      <c r="Q31" s="543"/>
      <c r="R31" s="599"/>
      <c r="S31" s="525" t="e">
        <f>5658.56-M31</f>
        <v>#REF!</v>
      </c>
    </row>
    <row r="32" spans="1:19" ht="11.25" hidden="1" customHeight="1">
      <c r="B32" s="568">
        <v>45373</v>
      </c>
      <c r="C32" s="669" t="s">
        <v>1107</v>
      </c>
      <c r="D32" s="667"/>
      <c r="E32" s="668">
        <v>11</v>
      </c>
      <c r="F32" s="569" t="s">
        <v>107</v>
      </c>
      <c r="G32" s="569"/>
      <c r="H32" s="571"/>
      <c r="I32" s="570"/>
      <c r="J32" s="572"/>
      <c r="K32" s="596">
        <v>6000</v>
      </c>
      <c r="L32" s="542" t="e">
        <f>'통장내역(환율표)'!#REF!</f>
        <v>#REF!</v>
      </c>
      <c r="M32" s="723" t="e">
        <f t="shared" si="12"/>
        <v>#REF!</v>
      </c>
      <c r="N32" s="613" t="e">
        <f t="shared" si="8"/>
        <v>#REF!</v>
      </c>
      <c r="O32" s="614" t="e">
        <f t="shared" si="9"/>
        <v>#REF!</v>
      </c>
      <c r="P32" s="608" t="s">
        <v>69</v>
      </c>
      <c r="Q32" s="543"/>
      <c r="R32" s="599"/>
      <c r="S32" s="525" t="e">
        <f>S31-M32</f>
        <v>#REF!</v>
      </c>
    </row>
    <row r="33" spans="2:19" ht="11.25" hidden="1" customHeight="1">
      <c r="B33" s="568">
        <v>45373</v>
      </c>
      <c r="C33" s="669" t="s">
        <v>1108</v>
      </c>
      <c r="D33" s="667"/>
      <c r="E33" s="668">
        <v>12</v>
      </c>
      <c r="F33" s="569" t="s">
        <v>107</v>
      </c>
      <c r="G33" s="569"/>
      <c r="H33" s="571"/>
      <c r="I33" s="570"/>
      <c r="J33" s="572"/>
      <c r="K33" s="697">
        <v>920</v>
      </c>
      <c r="L33" s="542" t="e">
        <f>'통장내역(환율표)'!#REF!</f>
        <v>#REF!</v>
      </c>
      <c r="M33" s="723" t="e">
        <f t="shared" si="12"/>
        <v>#REF!</v>
      </c>
      <c r="N33" s="613" t="e">
        <f t="shared" si="8"/>
        <v>#REF!</v>
      </c>
      <c r="O33" s="614" t="e">
        <f t="shared" si="9"/>
        <v>#REF!</v>
      </c>
      <c r="P33" s="608" t="s">
        <v>69</v>
      </c>
      <c r="Q33" s="543"/>
      <c r="R33" s="599"/>
      <c r="S33" s="525" t="e">
        <f t="shared" ref="S33:S38" si="13">S32-M33</f>
        <v>#REF!</v>
      </c>
    </row>
    <row r="34" spans="2:19" ht="11.25" hidden="1" customHeight="1">
      <c r="B34" s="568">
        <v>45373</v>
      </c>
      <c r="C34" s="669" t="s">
        <v>305</v>
      </c>
      <c r="D34" s="667"/>
      <c r="E34" s="668">
        <v>13</v>
      </c>
      <c r="F34" s="569" t="s">
        <v>105</v>
      </c>
      <c r="G34" s="569" t="s">
        <v>227</v>
      </c>
      <c r="H34" s="571"/>
      <c r="I34" s="570"/>
      <c r="J34" s="572"/>
      <c r="K34" s="697">
        <v>7000</v>
      </c>
      <c r="L34" s="542" t="e">
        <f>'통장내역(환율표)'!#REF!</f>
        <v>#REF!</v>
      </c>
      <c r="M34" s="723" t="e">
        <f t="shared" si="12"/>
        <v>#REF!</v>
      </c>
      <c r="N34" s="613" t="e">
        <f t="shared" si="8"/>
        <v>#REF!</v>
      </c>
      <c r="O34" s="614" t="e">
        <f t="shared" si="9"/>
        <v>#REF!</v>
      </c>
      <c r="P34" s="608" t="s">
        <v>69</v>
      </c>
      <c r="Q34" s="543"/>
      <c r="R34" s="599"/>
      <c r="S34" s="525" t="e">
        <f t="shared" si="13"/>
        <v>#REF!</v>
      </c>
    </row>
    <row r="35" spans="2:19" ht="11.25" hidden="1" customHeight="1">
      <c r="B35" s="568">
        <v>45373</v>
      </c>
      <c r="C35" s="669" t="s">
        <v>1107</v>
      </c>
      <c r="D35" s="667"/>
      <c r="E35" s="668">
        <v>14</v>
      </c>
      <c r="F35" s="569" t="s">
        <v>107</v>
      </c>
      <c r="G35" s="569"/>
      <c r="H35" s="571"/>
      <c r="I35" s="570"/>
      <c r="J35" s="572"/>
      <c r="K35" s="697">
        <v>6000</v>
      </c>
      <c r="L35" s="542" t="e">
        <f>'통장내역(환율표)'!#REF!</f>
        <v>#REF!</v>
      </c>
      <c r="M35" s="723" t="e">
        <f t="shared" si="12"/>
        <v>#REF!</v>
      </c>
      <c r="N35" s="613" t="e">
        <f t="shared" si="8"/>
        <v>#REF!</v>
      </c>
      <c r="O35" s="614" t="e">
        <f t="shared" si="9"/>
        <v>#REF!</v>
      </c>
      <c r="P35" s="608" t="s">
        <v>69</v>
      </c>
      <c r="Q35" s="543"/>
      <c r="R35" s="599"/>
      <c r="S35" s="525" t="e">
        <f t="shared" si="13"/>
        <v>#REF!</v>
      </c>
    </row>
    <row r="36" spans="2:19" ht="11.25" hidden="1" customHeight="1">
      <c r="B36" s="568">
        <v>45373</v>
      </c>
      <c r="C36" s="669" t="s">
        <v>1108</v>
      </c>
      <c r="D36" s="667"/>
      <c r="E36" s="668">
        <v>15</v>
      </c>
      <c r="F36" s="569" t="s">
        <v>107</v>
      </c>
      <c r="G36" s="569"/>
      <c r="H36" s="571"/>
      <c r="I36" s="570"/>
      <c r="J36" s="572"/>
      <c r="K36" s="697">
        <v>670</v>
      </c>
      <c r="L36" s="542" t="e">
        <f>'통장내역(환율표)'!#REF!</f>
        <v>#REF!</v>
      </c>
      <c r="M36" s="723" t="e">
        <f t="shared" si="12"/>
        <v>#REF!</v>
      </c>
      <c r="N36" s="613" t="e">
        <f t="shared" si="8"/>
        <v>#REF!</v>
      </c>
      <c r="O36" s="614" t="e">
        <f t="shared" si="9"/>
        <v>#REF!</v>
      </c>
      <c r="P36" s="608" t="s">
        <v>69</v>
      </c>
      <c r="Q36" s="543"/>
      <c r="R36" s="599"/>
      <c r="S36" s="525" t="e">
        <f t="shared" si="13"/>
        <v>#REF!</v>
      </c>
    </row>
    <row r="37" spans="2:19" ht="11.25" hidden="1" customHeight="1">
      <c r="B37" s="568">
        <v>45373</v>
      </c>
      <c r="C37" s="571" t="s">
        <v>445</v>
      </c>
      <c r="D37" s="667"/>
      <c r="E37" s="668">
        <v>16</v>
      </c>
      <c r="F37" s="569" t="s">
        <v>107</v>
      </c>
      <c r="G37" s="569"/>
      <c r="H37" s="571"/>
      <c r="I37" s="570"/>
      <c r="J37" s="572"/>
      <c r="K37" s="697">
        <v>7.2</v>
      </c>
      <c r="L37" s="542" t="e">
        <f>'통장내역(환율표)'!#REF!</f>
        <v>#REF!</v>
      </c>
      <c r="M37" s="723" t="e">
        <f t="shared" si="12"/>
        <v>#REF!</v>
      </c>
      <c r="N37" s="613" t="e">
        <f t="shared" si="8"/>
        <v>#REF!</v>
      </c>
      <c r="O37" s="614" t="e">
        <f t="shared" si="9"/>
        <v>#REF!</v>
      </c>
      <c r="P37" s="608" t="s">
        <v>69</v>
      </c>
      <c r="Q37" s="543"/>
      <c r="R37" s="599"/>
      <c r="S37" s="525" t="e">
        <f t="shared" si="13"/>
        <v>#REF!</v>
      </c>
    </row>
    <row r="38" spans="2:19" ht="11.25" hidden="1" customHeight="1">
      <c r="B38" s="568">
        <v>45373</v>
      </c>
      <c r="C38" s="669" t="s">
        <v>885</v>
      </c>
      <c r="D38" s="667"/>
      <c r="E38" s="668">
        <v>17</v>
      </c>
      <c r="F38" s="569" t="s">
        <v>107</v>
      </c>
      <c r="G38" s="569"/>
      <c r="H38" s="571"/>
      <c r="I38" s="570"/>
      <c r="J38" s="572"/>
      <c r="K38" s="596" t="e">
        <f>S37*L38</f>
        <v>#REF!</v>
      </c>
      <c r="L38" s="542" t="e">
        <f>'통장내역(환율표)'!#REF!</f>
        <v>#REF!</v>
      </c>
      <c r="M38" s="723">
        <v>1728.5129045268498</v>
      </c>
      <c r="N38" s="613" t="e">
        <f t="shared" si="8"/>
        <v>#REF!</v>
      </c>
      <c r="O38" s="614" t="e">
        <f t="shared" si="9"/>
        <v>#REF!</v>
      </c>
      <c r="P38" s="608" t="s">
        <v>69</v>
      </c>
      <c r="Q38" s="543"/>
      <c r="R38" s="599" t="s">
        <v>940</v>
      </c>
      <c r="S38" s="525" t="e">
        <f t="shared" si="13"/>
        <v>#REF!</v>
      </c>
    </row>
    <row r="39" spans="2:19" ht="11.25" hidden="1" customHeight="1">
      <c r="B39" s="568">
        <v>45373</v>
      </c>
      <c r="C39" s="669" t="s">
        <v>885</v>
      </c>
      <c r="D39" s="667"/>
      <c r="E39" s="668">
        <v>17</v>
      </c>
      <c r="F39" s="569" t="s">
        <v>107</v>
      </c>
      <c r="G39" s="569"/>
      <c r="H39" s="571"/>
      <c r="I39" s="570"/>
      <c r="J39" s="572"/>
      <c r="K39" s="596" t="e">
        <f>16000-K38</f>
        <v>#REF!</v>
      </c>
      <c r="L39" s="542" t="e">
        <f>'통장내역(환율표)'!#REF!</f>
        <v>#REF!</v>
      </c>
      <c r="M39" s="619" t="e">
        <f t="shared" ref="M39:M70" si="14">K39/L39</f>
        <v>#REF!</v>
      </c>
      <c r="N39" s="613" t="e">
        <f t="shared" si="8"/>
        <v>#REF!</v>
      </c>
      <c r="O39" s="614" t="e">
        <f t="shared" si="9"/>
        <v>#REF!</v>
      </c>
      <c r="P39" s="608" t="s">
        <v>1260</v>
      </c>
      <c r="Q39" s="543"/>
      <c r="R39" s="599" t="s">
        <v>940</v>
      </c>
      <c r="S39" s="525" t="e">
        <f>53562-'내역_24.03'!M39</f>
        <v>#REF!</v>
      </c>
    </row>
    <row r="40" spans="2:19" ht="11.25" hidden="1" customHeight="1">
      <c r="B40" s="568">
        <v>45373</v>
      </c>
      <c r="C40" s="669" t="s">
        <v>938</v>
      </c>
      <c r="D40" s="667"/>
      <c r="E40" s="668">
        <v>17</v>
      </c>
      <c r="F40" s="569" t="s">
        <v>107</v>
      </c>
      <c r="G40" s="569"/>
      <c r="H40" s="571"/>
      <c r="I40" s="570"/>
      <c r="J40" s="572"/>
      <c r="K40" s="638">
        <v>24000</v>
      </c>
      <c r="L40" s="542" t="e">
        <f>'통장내역(환율표)'!#REF!</f>
        <v>#REF!</v>
      </c>
      <c r="M40" s="619" t="e">
        <f t="shared" si="14"/>
        <v>#REF!</v>
      </c>
      <c r="N40" s="613" t="e">
        <f t="shared" si="8"/>
        <v>#REF!</v>
      </c>
      <c r="O40" s="614" t="e">
        <f t="shared" si="9"/>
        <v>#REF!</v>
      </c>
      <c r="P40" s="608" t="s">
        <v>1260</v>
      </c>
      <c r="Q40" s="543"/>
      <c r="R40" s="599" t="s">
        <v>940</v>
      </c>
      <c r="S40" s="525" t="e">
        <f>S39-M40</f>
        <v>#REF!</v>
      </c>
    </row>
    <row r="41" spans="2:19" ht="11.25" hidden="1" customHeight="1">
      <c r="B41" s="568">
        <v>45373</v>
      </c>
      <c r="C41" s="669" t="s">
        <v>887</v>
      </c>
      <c r="D41" s="667"/>
      <c r="E41" s="668">
        <v>17</v>
      </c>
      <c r="F41" s="569" t="s">
        <v>107</v>
      </c>
      <c r="G41" s="569"/>
      <c r="H41" s="571"/>
      <c r="I41" s="570"/>
      <c r="J41" s="572"/>
      <c r="K41" s="638">
        <v>4965.99</v>
      </c>
      <c r="L41" s="542" t="e">
        <f>'통장내역(환율표)'!#REF!</f>
        <v>#REF!</v>
      </c>
      <c r="M41" s="619" t="e">
        <f t="shared" si="14"/>
        <v>#REF!</v>
      </c>
      <c r="N41" s="613" t="e">
        <f t="shared" si="8"/>
        <v>#REF!</v>
      </c>
      <c r="O41" s="614" t="e">
        <f t="shared" si="9"/>
        <v>#REF!</v>
      </c>
      <c r="P41" s="608" t="s">
        <v>1260</v>
      </c>
      <c r="Q41" s="543"/>
      <c r="R41" s="599" t="s">
        <v>940</v>
      </c>
      <c r="S41" s="525" t="e">
        <f t="shared" ref="S41:S104" si="15">S40-M41</f>
        <v>#REF!</v>
      </c>
    </row>
    <row r="42" spans="2:19" ht="11.25" hidden="1" customHeight="1">
      <c r="B42" s="568">
        <v>45373</v>
      </c>
      <c r="C42" s="669" t="s">
        <v>888</v>
      </c>
      <c r="D42" s="667"/>
      <c r="E42" s="668">
        <v>17</v>
      </c>
      <c r="F42" s="569" t="s">
        <v>107</v>
      </c>
      <c r="G42" s="569"/>
      <c r="H42" s="571"/>
      <c r="I42" s="570"/>
      <c r="J42" s="572"/>
      <c r="K42" s="638">
        <v>3336.7999999999993</v>
      </c>
      <c r="L42" s="542" t="e">
        <f>'통장내역(환율표)'!#REF!</f>
        <v>#REF!</v>
      </c>
      <c r="M42" s="619" t="e">
        <f t="shared" si="14"/>
        <v>#REF!</v>
      </c>
      <c r="N42" s="613" t="e">
        <f t="shared" si="8"/>
        <v>#REF!</v>
      </c>
      <c r="O42" s="614" t="e">
        <f t="shared" si="9"/>
        <v>#REF!</v>
      </c>
      <c r="P42" s="608" t="s">
        <v>1260</v>
      </c>
      <c r="Q42" s="543"/>
      <c r="R42" s="599" t="s">
        <v>940</v>
      </c>
      <c r="S42" s="525" t="e">
        <f t="shared" si="15"/>
        <v>#REF!</v>
      </c>
    </row>
    <row r="43" spans="2:19" ht="11.25" hidden="1" customHeight="1">
      <c r="B43" s="568">
        <v>45373</v>
      </c>
      <c r="C43" s="669" t="s">
        <v>892</v>
      </c>
      <c r="D43" s="667"/>
      <c r="E43" s="668">
        <v>17</v>
      </c>
      <c r="F43" s="569" t="s">
        <v>107</v>
      </c>
      <c r="G43" s="569"/>
      <c r="H43" s="571"/>
      <c r="I43" s="570"/>
      <c r="J43" s="572"/>
      <c r="K43" s="639">
        <v>300</v>
      </c>
      <c r="L43" s="542" t="e">
        <f>'통장내역(환율표)'!#REF!</f>
        <v>#REF!</v>
      </c>
      <c r="M43" s="619" t="e">
        <f t="shared" si="14"/>
        <v>#REF!</v>
      </c>
      <c r="N43" s="613" t="e">
        <f t="shared" si="8"/>
        <v>#REF!</v>
      </c>
      <c r="O43" s="614" t="e">
        <f t="shared" si="9"/>
        <v>#REF!</v>
      </c>
      <c r="P43" s="608" t="s">
        <v>1260</v>
      </c>
      <c r="Q43" s="543"/>
      <c r="R43" s="599" t="s">
        <v>940</v>
      </c>
      <c r="S43" s="525" t="e">
        <f t="shared" si="15"/>
        <v>#REF!</v>
      </c>
    </row>
    <row r="44" spans="2:19" ht="11.25" hidden="1" customHeight="1">
      <c r="B44" s="568">
        <v>45373</v>
      </c>
      <c r="C44" s="669" t="s">
        <v>885</v>
      </c>
      <c r="D44" s="667"/>
      <c r="E44" s="668">
        <v>17</v>
      </c>
      <c r="F44" s="569" t="s">
        <v>107</v>
      </c>
      <c r="G44" s="569"/>
      <c r="H44" s="571"/>
      <c r="I44" s="570"/>
      <c r="J44" s="572"/>
      <c r="K44" s="638">
        <v>15000</v>
      </c>
      <c r="L44" s="542" t="e">
        <f>'통장내역(환율표)'!#REF!</f>
        <v>#REF!</v>
      </c>
      <c r="M44" s="619" t="e">
        <f t="shared" si="14"/>
        <v>#REF!</v>
      </c>
      <c r="N44" s="613" t="e">
        <f t="shared" si="8"/>
        <v>#REF!</v>
      </c>
      <c r="O44" s="614" t="e">
        <f t="shared" si="9"/>
        <v>#REF!</v>
      </c>
      <c r="P44" s="608" t="s">
        <v>1260</v>
      </c>
      <c r="Q44" s="543"/>
      <c r="R44" s="599" t="s">
        <v>941</v>
      </c>
      <c r="S44" s="525" t="e">
        <f t="shared" si="15"/>
        <v>#REF!</v>
      </c>
    </row>
    <row r="45" spans="2:19" ht="11.25" hidden="1" customHeight="1">
      <c r="B45" s="568">
        <v>45373</v>
      </c>
      <c r="C45" s="669" t="s">
        <v>938</v>
      </c>
      <c r="D45" s="667"/>
      <c r="E45" s="668">
        <v>17</v>
      </c>
      <c r="F45" s="569" t="s">
        <v>107</v>
      </c>
      <c r="G45" s="569"/>
      <c r="H45" s="571"/>
      <c r="I45" s="570"/>
      <c r="J45" s="572"/>
      <c r="K45" s="596">
        <v>22000</v>
      </c>
      <c r="L45" s="542" t="e">
        <f>'통장내역(환율표)'!#REF!</f>
        <v>#REF!</v>
      </c>
      <c r="M45" s="619" t="e">
        <f t="shared" si="14"/>
        <v>#REF!</v>
      </c>
      <c r="N45" s="613" t="e">
        <f t="shared" si="8"/>
        <v>#REF!</v>
      </c>
      <c r="O45" s="614" t="e">
        <f t="shared" si="9"/>
        <v>#REF!</v>
      </c>
      <c r="P45" s="608" t="s">
        <v>1260</v>
      </c>
      <c r="Q45" s="543"/>
      <c r="R45" s="599" t="s">
        <v>941</v>
      </c>
      <c r="S45" s="525" t="e">
        <f t="shared" si="15"/>
        <v>#REF!</v>
      </c>
    </row>
    <row r="46" spans="2:19" ht="11.25" hidden="1" customHeight="1">
      <c r="B46" s="568">
        <v>45373</v>
      </c>
      <c r="C46" s="669" t="s">
        <v>887</v>
      </c>
      <c r="D46" s="667"/>
      <c r="E46" s="668">
        <v>17</v>
      </c>
      <c r="F46" s="569" t="s">
        <v>107</v>
      </c>
      <c r="G46" s="569"/>
      <c r="H46" s="571"/>
      <c r="I46" s="570"/>
      <c r="J46" s="572"/>
      <c r="K46" s="596">
        <v>8408.1899999999987</v>
      </c>
      <c r="L46" s="542" t="e">
        <f>'통장내역(환율표)'!#REF!</f>
        <v>#REF!</v>
      </c>
      <c r="M46" s="619" t="e">
        <f t="shared" si="14"/>
        <v>#REF!</v>
      </c>
      <c r="N46" s="613" t="e">
        <f t="shared" si="8"/>
        <v>#REF!</v>
      </c>
      <c r="O46" s="614" t="e">
        <f t="shared" si="9"/>
        <v>#REF!</v>
      </c>
      <c r="P46" s="608" t="s">
        <v>1260</v>
      </c>
      <c r="Q46" s="543"/>
      <c r="R46" s="599" t="s">
        <v>941</v>
      </c>
      <c r="S46" s="525" t="e">
        <f t="shared" si="15"/>
        <v>#REF!</v>
      </c>
    </row>
    <row r="47" spans="2:19" ht="11.25" hidden="1" customHeight="1">
      <c r="B47" s="568">
        <v>45373</v>
      </c>
      <c r="C47" s="669" t="s">
        <v>888</v>
      </c>
      <c r="D47" s="667"/>
      <c r="E47" s="668">
        <v>17</v>
      </c>
      <c r="F47" s="569" t="s">
        <v>107</v>
      </c>
      <c r="G47" s="569"/>
      <c r="H47" s="571"/>
      <c r="I47" s="570"/>
      <c r="J47" s="572"/>
      <c r="K47" s="596">
        <v>2867</v>
      </c>
      <c r="L47" s="542" t="e">
        <f>'통장내역(환율표)'!#REF!</f>
        <v>#REF!</v>
      </c>
      <c r="M47" s="619" t="e">
        <f t="shared" si="14"/>
        <v>#REF!</v>
      </c>
      <c r="N47" s="613" t="e">
        <f t="shared" si="8"/>
        <v>#REF!</v>
      </c>
      <c r="O47" s="614" t="e">
        <f t="shared" si="9"/>
        <v>#REF!</v>
      </c>
      <c r="P47" s="608" t="s">
        <v>1260</v>
      </c>
      <c r="Q47" s="543"/>
      <c r="R47" s="599" t="s">
        <v>941</v>
      </c>
      <c r="S47" s="525" t="e">
        <f t="shared" si="15"/>
        <v>#REF!</v>
      </c>
    </row>
    <row r="48" spans="2:19" ht="11.25" hidden="1" customHeight="1">
      <c r="B48" s="568">
        <v>45373</v>
      </c>
      <c r="C48" s="669" t="s">
        <v>892</v>
      </c>
      <c r="D48" s="667"/>
      <c r="E48" s="668">
        <v>17</v>
      </c>
      <c r="F48" s="569" t="s">
        <v>107</v>
      </c>
      <c r="G48" s="569"/>
      <c r="H48" s="571"/>
      <c r="I48" s="570"/>
      <c r="J48" s="572"/>
      <c r="K48" s="596">
        <v>300</v>
      </c>
      <c r="L48" s="542" t="e">
        <f>'통장내역(환율표)'!#REF!</f>
        <v>#REF!</v>
      </c>
      <c r="M48" s="619" t="e">
        <f t="shared" si="14"/>
        <v>#REF!</v>
      </c>
      <c r="N48" s="613" t="e">
        <f t="shared" si="8"/>
        <v>#REF!</v>
      </c>
      <c r="O48" s="614" t="e">
        <f t="shared" si="9"/>
        <v>#REF!</v>
      </c>
      <c r="P48" s="608" t="s">
        <v>1260</v>
      </c>
      <c r="Q48" s="543"/>
      <c r="R48" s="599" t="s">
        <v>941</v>
      </c>
      <c r="S48" s="525" t="e">
        <f t="shared" si="15"/>
        <v>#REF!</v>
      </c>
    </row>
    <row r="49" spans="2:19" ht="11.25" hidden="1" customHeight="1">
      <c r="B49" s="568">
        <v>45373</v>
      </c>
      <c r="C49" s="669" t="s">
        <v>891</v>
      </c>
      <c r="D49" s="667"/>
      <c r="E49" s="668">
        <v>17</v>
      </c>
      <c r="F49" s="569" t="s">
        <v>107</v>
      </c>
      <c r="G49" s="569"/>
      <c r="H49" s="571"/>
      <c r="I49" s="570"/>
      <c r="J49" s="572"/>
      <c r="K49" s="596">
        <v>25000</v>
      </c>
      <c r="L49" s="542" t="e">
        <f>'통장내역(환율표)'!#REF!</f>
        <v>#REF!</v>
      </c>
      <c r="M49" s="619" t="e">
        <f t="shared" si="14"/>
        <v>#REF!</v>
      </c>
      <c r="N49" s="613" t="e">
        <f t="shared" si="8"/>
        <v>#REF!</v>
      </c>
      <c r="O49" s="614" t="e">
        <f t="shared" si="9"/>
        <v>#REF!</v>
      </c>
      <c r="P49" s="608" t="s">
        <v>1260</v>
      </c>
      <c r="Q49" s="543"/>
      <c r="R49" s="640" t="s">
        <v>942</v>
      </c>
      <c r="S49" s="525" t="e">
        <f t="shared" si="15"/>
        <v>#REF!</v>
      </c>
    </row>
    <row r="50" spans="2:19" ht="11.25" hidden="1" customHeight="1">
      <c r="B50" s="568">
        <v>45373</v>
      </c>
      <c r="C50" s="669" t="s">
        <v>939</v>
      </c>
      <c r="D50" s="667"/>
      <c r="E50" s="668">
        <v>17</v>
      </c>
      <c r="F50" s="569" t="s">
        <v>107</v>
      </c>
      <c r="G50" s="569"/>
      <c r="H50" s="571"/>
      <c r="I50" s="570"/>
      <c r="J50" s="572"/>
      <c r="K50" s="596">
        <v>6686.19</v>
      </c>
      <c r="L50" s="542" t="e">
        <f>'통장내역(환율표)'!#REF!</f>
        <v>#REF!</v>
      </c>
      <c r="M50" s="619" t="e">
        <f t="shared" si="14"/>
        <v>#REF!</v>
      </c>
      <c r="N50" s="613" t="e">
        <f t="shared" si="8"/>
        <v>#REF!</v>
      </c>
      <c r="O50" s="614" t="e">
        <f t="shared" si="9"/>
        <v>#REF!</v>
      </c>
      <c r="P50" s="608" t="s">
        <v>1260</v>
      </c>
      <c r="Q50" s="543"/>
      <c r="R50" s="640" t="s">
        <v>942</v>
      </c>
      <c r="S50" s="525" t="e">
        <f t="shared" si="15"/>
        <v>#REF!</v>
      </c>
    </row>
    <row r="51" spans="2:19" ht="11.25" hidden="1" customHeight="1">
      <c r="B51" s="568">
        <v>45373</v>
      </c>
      <c r="C51" s="669" t="s">
        <v>892</v>
      </c>
      <c r="D51" s="667"/>
      <c r="E51" s="668">
        <v>17</v>
      </c>
      <c r="F51" s="569" t="s">
        <v>107</v>
      </c>
      <c r="G51" s="569"/>
      <c r="H51" s="571"/>
      <c r="I51" s="570"/>
      <c r="J51" s="572"/>
      <c r="K51" s="596">
        <v>300</v>
      </c>
      <c r="L51" s="542" t="e">
        <f>'통장내역(환율표)'!#REF!</f>
        <v>#REF!</v>
      </c>
      <c r="M51" s="619" t="e">
        <f t="shared" si="14"/>
        <v>#REF!</v>
      </c>
      <c r="N51" s="613" t="e">
        <f t="shared" ref="N51:N82" si="16">N50+H51-K51</f>
        <v>#REF!</v>
      </c>
      <c r="O51" s="614" t="e">
        <f t="shared" ref="O51:O82" si="17">O50+J51-M51</f>
        <v>#REF!</v>
      </c>
      <c r="P51" s="608" t="s">
        <v>1260</v>
      </c>
      <c r="Q51" s="543"/>
      <c r="R51" s="640" t="s">
        <v>942</v>
      </c>
      <c r="S51" s="525" t="e">
        <f t="shared" si="15"/>
        <v>#REF!</v>
      </c>
    </row>
    <row r="52" spans="2:19" ht="11.25" hidden="1" customHeight="1">
      <c r="B52" s="568">
        <v>45373</v>
      </c>
      <c r="C52" s="669" t="s">
        <v>983</v>
      </c>
      <c r="D52" s="667"/>
      <c r="E52" s="668">
        <v>17</v>
      </c>
      <c r="F52" s="569" t="s">
        <v>107</v>
      </c>
      <c r="G52" s="569"/>
      <c r="H52" s="571"/>
      <c r="I52" s="570"/>
      <c r="J52" s="572"/>
      <c r="K52" s="596">
        <v>1000</v>
      </c>
      <c r="L52" s="542" t="e">
        <f>'통장내역(환율표)'!#REF!</f>
        <v>#REF!</v>
      </c>
      <c r="M52" s="619" t="e">
        <f t="shared" si="14"/>
        <v>#REF!</v>
      </c>
      <c r="N52" s="613" t="e">
        <f t="shared" si="16"/>
        <v>#REF!</v>
      </c>
      <c r="O52" s="614" t="e">
        <f t="shared" si="17"/>
        <v>#REF!</v>
      </c>
      <c r="P52" s="608" t="s">
        <v>1260</v>
      </c>
      <c r="Q52" s="543"/>
      <c r="R52" s="640" t="s">
        <v>942</v>
      </c>
      <c r="S52" s="525" t="e">
        <f t="shared" si="15"/>
        <v>#REF!</v>
      </c>
    </row>
    <row r="53" spans="2:19" ht="11.25" hidden="1" customHeight="1">
      <c r="B53" s="568">
        <v>45373</v>
      </c>
      <c r="C53" s="669" t="s">
        <v>891</v>
      </c>
      <c r="D53" s="667"/>
      <c r="E53" s="668">
        <v>17</v>
      </c>
      <c r="F53" s="569" t="s">
        <v>107</v>
      </c>
      <c r="G53" s="569"/>
      <c r="H53" s="571"/>
      <c r="I53" s="570"/>
      <c r="J53" s="572"/>
      <c r="K53" s="596">
        <v>13000</v>
      </c>
      <c r="L53" s="542" t="e">
        <f>'통장내역(환율표)'!#REF!</f>
        <v>#REF!</v>
      </c>
      <c r="M53" s="619" t="e">
        <f t="shared" si="14"/>
        <v>#REF!</v>
      </c>
      <c r="N53" s="613" t="e">
        <f t="shared" si="16"/>
        <v>#REF!</v>
      </c>
      <c r="O53" s="614" t="e">
        <f t="shared" si="17"/>
        <v>#REF!</v>
      </c>
      <c r="P53" s="608" t="s">
        <v>1260</v>
      </c>
      <c r="Q53" s="543"/>
      <c r="R53" s="599" t="s">
        <v>943</v>
      </c>
      <c r="S53" s="525" t="e">
        <f t="shared" si="15"/>
        <v>#REF!</v>
      </c>
    </row>
    <row r="54" spans="2:19" ht="11.25" hidden="1" customHeight="1">
      <c r="B54" s="568">
        <v>45373</v>
      </c>
      <c r="C54" s="669" t="s">
        <v>939</v>
      </c>
      <c r="D54" s="667"/>
      <c r="E54" s="668">
        <v>17</v>
      </c>
      <c r="F54" s="569" t="s">
        <v>107</v>
      </c>
      <c r="G54" s="569"/>
      <c r="H54" s="571"/>
      <c r="I54" s="570"/>
      <c r="J54" s="572"/>
      <c r="K54" s="596">
        <v>2911.59</v>
      </c>
      <c r="L54" s="542" t="e">
        <f>'통장내역(환율표)'!#REF!</f>
        <v>#REF!</v>
      </c>
      <c r="M54" s="619" t="e">
        <f t="shared" si="14"/>
        <v>#REF!</v>
      </c>
      <c r="N54" s="613" t="e">
        <f t="shared" si="16"/>
        <v>#REF!</v>
      </c>
      <c r="O54" s="614" t="e">
        <f t="shared" si="17"/>
        <v>#REF!</v>
      </c>
      <c r="P54" s="608" t="s">
        <v>1260</v>
      </c>
      <c r="Q54" s="543"/>
      <c r="R54" s="599" t="s">
        <v>943</v>
      </c>
      <c r="S54" s="525" t="e">
        <f t="shared" si="15"/>
        <v>#REF!</v>
      </c>
    </row>
    <row r="55" spans="2:19" ht="11.25" hidden="1" customHeight="1">
      <c r="B55" s="568">
        <v>45373</v>
      </c>
      <c r="C55" s="669" t="s">
        <v>892</v>
      </c>
      <c r="D55" s="667"/>
      <c r="E55" s="668">
        <v>17</v>
      </c>
      <c r="F55" s="569" t="s">
        <v>107</v>
      </c>
      <c r="G55" s="569"/>
      <c r="H55" s="571"/>
      <c r="I55" s="570"/>
      <c r="J55" s="572"/>
      <c r="K55" s="596">
        <v>300</v>
      </c>
      <c r="L55" s="542" t="e">
        <f>'통장내역(환율표)'!#REF!</f>
        <v>#REF!</v>
      </c>
      <c r="M55" s="619" t="e">
        <f t="shared" si="14"/>
        <v>#REF!</v>
      </c>
      <c r="N55" s="613" t="e">
        <f t="shared" si="16"/>
        <v>#REF!</v>
      </c>
      <c r="O55" s="614" t="e">
        <f t="shared" si="17"/>
        <v>#REF!</v>
      </c>
      <c r="P55" s="608" t="s">
        <v>1260</v>
      </c>
      <c r="Q55" s="543"/>
      <c r="R55" s="599" t="s">
        <v>943</v>
      </c>
      <c r="S55" s="525" t="e">
        <f t="shared" si="15"/>
        <v>#REF!</v>
      </c>
    </row>
    <row r="56" spans="2:19" ht="11.25" hidden="1" customHeight="1">
      <c r="B56" s="568">
        <v>45373</v>
      </c>
      <c r="C56" s="656" t="s">
        <v>983</v>
      </c>
      <c r="D56" s="667"/>
      <c r="E56" s="668">
        <v>17</v>
      </c>
      <c r="F56" s="569" t="s">
        <v>107</v>
      </c>
      <c r="G56" s="569"/>
      <c r="H56" s="571"/>
      <c r="I56" s="570"/>
      <c r="J56" s="572"/>
      <c r="K56" s="596">
        <v>1400</v>
      </c>
      <c r="L56" s="542" t="e">
        <f>'통장내역(환율표)'!#REF!</f>
        <v>#REF!</v>
      </c>
      <c r="M56" s="619" t="e">
        <f t="shared" si="14"/>
        <v>#REF!</v>
      </c>
      <c r="N56" s="613" t="e">
        <f t="shared" si="16"/>
        <v>#REF!</v>
      </c>
      <c r="O56" s="614" t="e">
        <f t="shared" si="17"/>
        <v>#REF!</v>
      </c>
      <c r="P56" s="608" t="s">
        <v>1260</v>
      </c>
      <c r="Q56" s="543"/>
      <c r="R56" s="599" t="s">
        <v>943</v>
      </c>
      <c r="S56" s="525" t="e">
        <f t="shared" si="15"/>
        <v>#REF!</v>
      </c>
    </row>
    <row r="57" spans="2:19" ht="11.25" hidden="1" customHeight="1">
      <c r="B57" s="568">
        <v>45373</v>
      </c>
      <c r="C57" s="669" t="s">
        <v>891</v>
      </c>
      <c r="D57" s="667"/>
      <c r="E57" s="668">
        <v>17</v>
      </c>
      <c r="F57" s="569" t="s">
        <v>107</v>
      </c>
      <c r="G57" s="569"/>
      <c r="H57" s="571"/>
      <c r="I57" s="686"/>
      <c r="J57" s="572"/>
      <c r="K57" s="596">
        <v>25000</v>
      </c>
      <c r="L57" s="542" t="e">
        <f>'통장내역(환율표)'!#REF!</f>
        <v>#REF!</v>
      </c>
      <c r="M57" s="619" t="e">
        <f t="shared" si="14"/>
        <v>#REF!</v>
      </c>
      <c r="N57" s="687" t="e">
        <f t="shared" si="16"/>
        <v>#REF!</v>
      </c>
      <c r="O57" s="688" t="e">
        <f t="shared" si="17"/>
        <v>#REF!</v>
      </c>
      <c r="P57" s="689" t="s">
        <v>1260</v>
      </c>
      <c r="Q57" s="641"/>
      <c r="R57" s="641" t="s">
        <v>944</v>
      </c>
      <c r="S57" s="525" t="e">
        <f t="shared" si="15"/>
        <v>#REF!</v>
      </c>
    </row>
    <row r="58" spans="2:19" ht="11.25" hidden="1" customHeight="1">
      <c r="B58" s="568">
        <v>45373</v>
      </c>
      <c r="C58" s="669" t="s">
        <v>939</v>
      </c>
      <c r="D58" s="667"/>
      <c r="E58" s="668">
        <v>17</v>
      </c>
      <c r="F58" s="569" t="s">
        <v>107</v>
      </c>
      <c r="G58" s="569"/>
      <c r="H58" s="571"/>
      <c r="I58" s="686"/>
      <c r="J58" s="572"/>
      <c r="K58" s="596">
        <v>6686.19</v>
      </c>
      <c r="L58" s="542" t="e">
        <f>'통장내역(환율표)'!#REF!</f>
        <v>#REF!</v>
      </c>
      <c r="M58" s="619" t="e">
        <f t="shared" si="14"/>
        <v>#REF!</v>
      </c>
      <c r="N58" s="687" t="e">
        <f t="shared" si="16"/>
        <v>#REF!</v>
      </c>
      <c r="O58" s="688" t="e">
        <f t="shared" si="17"/>
        <v>#REF!</v>
      </c>
      <c r="P58" s="689" t="s">
        <v>1260</v>
      </c>
      <c r="Q58" s="641"/>
      <c r="R58" s="641" t="s">
        <v>944</v>
      </c>
      <c r="S58" s="525" t="e">
        <f t="shared" si="15"/>
        <v>#REF!</v>
      </c>
    </row>
    <row r="59" spans="2:19" ht="11.25" hidden="1" customHeight="1">
      <c r="B59" s="568">
        <v>45373</v>
      </c>
      <c r="C59" s="669" t="s">
        <v>892</v>
      </c>
      <c r="D59" s="667"/>
      <c r="E59" s="668">
        <v>17</v>
      </c>
      <c r="F59" s="569" t="s">
        <v>107</v>
      </c>
      <c r="G59" s="569"/>
      <c r="H59" s="571"/>
      <c r="I59" s="686"/>
      <c r="J59" s="572"/>
      <c r="K59" s="596">
        <v>300</v>
      </c>
      <c r="L59" s="542" t="e">
        <f>'통장내역(환율표)'!#REF!</f>
        <v>#REF!</v>
      </c>
      <c r="M59" s="619" t="e">
        <f t="shared" si="14"/>
        <v>#REF!</v>
      </c>
      <c r="N59" s="687" t="e">
        <f t="shared" si="16"/>
        <v>#REF!</v>
      </c>
      <c r="O59" s="688" t="e">
        <f t="shared" si="17"/>
        <v>#REF!</v>
      </c>
      <c r="P59" s="689" t="s">
        <v>1260</v>
      </c>
      <c r="Q59" s="641"/>
      <c r="R59" s="641" t="s">
        <v>944</v>
      </c>
      <c r="S59" s="525" t="e">
        <f t="shared" si="15"/>
        <v>#REF!</v>
      </c>
    </row>
    <row r="60" spans="2:19" ht="11.25" hidden="1" customHeight="1">
      <c r="B60" s="568">
        <v>45373</v>
      </c>
      <c r="C60" s="669" t="s">
        <v>983</v>
      </c>
      <c r="D60" s="667"/>
      <c r="E60" s="668">
        <v>17</v>
      </c>
      <c r="F60" s="569" t="s">
        <v>107</v>
      </c>
      <c r="G60" s="569"/>
      <c r="H60" s="571"/>
      <c r="I60" s="686"/>
      <c r="J60" s="572"/>
      <c r="K60" s="596">
        <v>300</v>
      </c>
      <c r="L60" s="542" t="e">
        <f>'통장내역(환율표)'!#REF!</f>
        <v>#REF!</v>
      </c>
      <c r="M60" s="619" t="e">
        <f t="shared" si="14"/>
        <v>#REF!</v>
      </c>
      <c r="N60" s="687" t="e">
        <f t="shared" si="16"/>
        <v>#REF!</v>
      </c>
      <c r="O60" s="688" t="e">
        <f t="shared" si="17"/>
        <v>#REF!</v>
      </c>
      <c r="P60" s="689" t="s">
        <v>1260</v>
      </c>
      <c r="Q60" s="641"/>
      <c r="R60" s="641" t="s">
        <v>944</v>
      </c>
      <c r="S60" s="525" t="e">
        <f t="shared" si="15"/>
        <v>#REF!</v>
      </c>
    </row>
    <row r="61" spans="2:19" ht="11.25" hidden="1" customHeight="1">
      <c r="B61" s="568">
        <v>45373</v>
      </c>
      <c r="C61" s="656" t="s">
        <v>250</v>
      </c>
      <c r="D61" s="667"/>
      <c r="E61" s="668">
        <v>18</v>
      </c>
      <c r="F61" s="569" t="s">
        <v>107</v>
      </c>
      <c r="G61" s="569"/>
      <c r="H61" s="571"/>
      <c r="I61" s="686"/>
      <c r="J61" s="572"/>
      <c r="K61" s="596">
        <v>12</v>
      </c>
      <c r="L61" s="542" t="e">
        <f>'통장내역(환율표)'!#REF!</f>
        <v>#REF!</v>
      </c>
      <c r="M61" s="619" t="e">
        <f t="shared" si="14"/>
        <v>#REF!</v>
      </c>
      <c r="N61" s="687" t="e">
        <f t="shared" si="16"/>
        <v>#REF!</v>
      </c>
      <c r="O61" s="688" t="e">
        <f t="shared" si="17"/>
        <v>#REF!</v>
      </c>
      <c r="P61" s="689" t="s">
        <v>1260</v>
      </c>
      <c r="Q61" s="641"/>
      <c r="R61" s="641"/>
      <c r="S61" s="525" t="e">
        <f t="shared" si="15"/>
        <v>#REF!</v>
      </c>
    </row>
    <row r="62" spans="2:19" ht="11.25" hidden="1" customHeight="1">
      <c r="B62" s="568">
        <v>45373</v>
      </c>
      <c r="C62" s="669" t="s">
        <v>878</v>
      </c>
      <c r="D62" s="667"/>
      <c r="E62" s="668">
        <v>19</v>
      </c>
      <c r="F62" s="569" t="s">
        <v>107</v>
      </c>
      <c r="G62" s="569"/>
      <c r="H62" s="571"/>
      <c r="I62" s="570"/>
      <c r="J62" s="572"/>
      <c r="K62" s="596">
        <v>1010</v>
      </c>
      <c r="L62" s="542" t="e">
        <f>'통장내역(환율표)'!#REF!</f>
        <v>#REF!</v>
      </c>
      <c r="M62" s="619" t="e">
        <f t="shared" si="14"/>
        <v>#REF!</v>
      </c>
      <c r="N62" s="613" t="e">
        <f t="shared" si="16"/>
        <v>#REF!</v>
      </c>
      <c r="O62" s="614" t="e">
        <f t="shared" si="17"/>
        <v>#REF!</v>
      </c>
      <c r="P62" s="608" t="s">
        <v>1260</v>
      </c>
      <c r="Q62" s="543"/>
      <c r="R62" s="599"/>
      <c r="S62" s="525" t="e">
        <f t="shared" si="15"/>
        <v>#REF!</v>
      </c>
    </row>
    <row r="63" spans="2:19" ht="11.25" hidden="1" customHeight="1">
      <c r="B63" s="568">
        <v>45373</v>
      </c>
      <c r="C63" s="656" t="s">
        <v>250</v>
      </c>
      <c r="D63" s="667"/>
      <c r="E63" s="668">
        <v>20</v>
      </c>
      <c r="F63" s="569" t="s">
        <v>107</v>
      </c>
      <c r="G63" s="569"/>
      <c r="H63" s="571"/>
      <c r="I63" s="686"/>
      <c r="J63" s="572"/>
      <c r="K63" s="596">
        <v>3.6</v>
      </c>
      <c r="L63" s="542" t="e">
        <f>'통장내역(환율표)'!#REF!</f>
        <v>#REF!</v>
      </c>
      <c r="M63" s="619" t="e">
        <f t="shared" si="14"/>
        <v>#REF!</v>
      </c>
      <c r="N63" s="687" t="e">
        <f t="shared" si="16"/>
        <v>#REF!</v>
      </c>
      <c r="O63" s="688" t="e">
        <f t="shared" si="17"/>
        <v>#REF!</v>
      </c>
      <c r="P63" s="689" t="s">
        <v>1260</v>
      </c>
      <c r="Q63" s="641"/>
      <c r="R63" s="641"/>
      <c r="S63" s="525" t="e">
        <f t="shared" si="15"/>
        <v>#REF!</v>
      </c>
    </row>
    <row r="64" spans="2:19" ht="11.25" hidden="1" customHeight="1">
      <c r="B64" s="568">
        <v>45373</v>
      </c>
      <c r="C64" s="656" t="s">
        <v>999</v>
      </c>
      <c r="D64" s="667"/>
      <c r="E64" s="668">
        <v>21</v>
      </c>
      <c r="F64" s="569" t="s">
        <v>146</v>
      </c>
      <c r="G64" s="698" t="s">
        <v>322</v>
      </c>
      <c r="H64" s="571"/>
      <c r="I64" s="686"/>
      <c r="J64" s="572"/>
      <c r="K64" s="596">
        <v>3308</v>
      </c>
      <c r="L64" s="542" t="e">
        <f>'통장내역(환율표)'!#REF!</f>
        <v>#REF!</v>
      </c>
      <c r="M64" s="619" t="e">
        <f t="shared" si="14"/>
        <v>#REF!</v>
      </c>
      <c r="N64" s="687" t="e">
        <f t="shared" si="16"/>
        <v>#REF!</v>
      </c>
      <c r="O64" s="688" t="e">
        <f t="shared" si="17"/>
        <v>#REF!</v>
      </c>
      <c r="P64" s="689" t="s">
        <v>1260</v>
      </c>
      <c r="Q64" s="641"/>
      <c r="R64" s="641"/>
      <c r="S64" s="525" t="e">
        <f t="shared" si="15"/>
        <v>#REF!</v>
      </c>
    </row>
    <row r="65" spans="2:19" ht="11.25" hidden="1" customHeight="1">
      <c r="B65" s="568">
        <v>45373</v>
      </c>
      <c r="C65" s="656" t="s">
        <v>997</v>
      </c>
      <c r="D65" s="667"/>
      <c r="E65" s="668">
        <v>22</v>
      </c>
      <c r="F65" s="569" t="s">
        <v>146</v>
      </c>
      <c r="G65" s="569" t="s">
        <v>147</v>
      </c>
      <c r="H65" s="571"/>
      <c r="I65" s="686"/>
      <c r="J65" s="572"/>
      <c r="K65" s="596">
        <v>1255</v>
      </c>
      <c r="L65" s="542" t="e">
        <f>'통장내역(환율표)'!#REF!</f>
        <v>#REF!</v>
      </c>
      <c r="M65" s="619" t="e">
        <f t="shared" si="14"/>
        <v>#REF!</v>
      </c>
      <c r="N65" s="687" t="e">
        <f t="shared" si="16"/>
        <v>#REF!</v>
      </c>
      <c r="O65" s="688" t="e">
        <f t="shared" si="17"/>
        <v>#REF!</v>
      </c>
      <c r="P65" s="689" t="s">
        <v>1260</v>
      </c>
      <c r="Q65" s="641"/>
      <c r="R65" s="641"/>
      <c r="S65" s="525" t="e">
        <f t="shared" si="15"/>
        <v>#REF!</v>
      </c>
    </row>
    <row r="66" spans="2:19" ht="11.25" hidden="1" customHeight="1">
      <c r="B66" s="568">
        <v>45373</v>
      </c>
      <c r="C66" s="656" t="s">
        <v>998</v>
      </c>
      <c r="D66" s="667"/>
      <c r="E66" s="668">
        <v>23</v>
      </c>
      <c r="F66" s="569" t="s">
        <v>146</v>
      </c>
      <c r="G66" s="569" t="s">
        <v>322</v>
      </c>
      <c r="H66" s="571"/>
      <c r="I66" s="686"/>
      <c r="J66" s="572"/>
      <c r="K66" s="596">
        <v>509</v>
      </c>
      <c r="L66" s="542" t="e">
        <f>'통장내역(환율표)'!#REF!</f>
        <v>#REF!</v>
      </c>
      <c r="M66" s="619" t="e">
        <f t="shared" si="14"/>
        <v>#REF!</v>
      </c>
      <c r="N66" s="687" t="e">
        <f t="shared" si="16"/>
        <v>#REF!</v>
      </c>
      <c r="O66" s="688" t="e">
        <f t="shared" si="17"/>
        <v>#REF!</v>
      </c>
      <c r="P66" s="689" t="s">
        <v>1260</v>
      </c>
      <c r="Q66" s="641"/>
      <c r="R66" s="641"/>
      <c r="S66" s="525" t="e">
        <f t="shared" si="15"/>
        <v>#REF!</v>
      </c>
    </row>
    <row r="67" spans="2:19" ht="11.25" hidden="1" customHeight="1">
      <c r="B67" s="568">
        <v>45373</v>
      </c>
      <c r="C67" s="656" t="s">
        <v>250</v>
      </c>
      <c r="D67" s="667"/>
      <c r="E67" s="668">
        <v>24</v>
      </c>
      <c r="F67" s="569" t="s">
        <v>107</v>
      </c>
      <c r="G67" s="569"/>
      <c r="H67" s="571"/>
      <c r="I67" s="686"/>
      <c r="J67" s="572"/>
      <c r="K67" s="596">
        <v>3.6</v>
      </c>
      <c r="L67" s="542" t="e">
        <f>'통장내역(환율표)'!#REF!</f>
        <v>#REF!</v>
      </c>
      <c r="M67" s="619" t="e">
        <f t="shared" si="14"/>
        <v>#REF!</v>
      </c>
      <c r="N67" s="687" t="e">
        <f t="shared" si="16"/>
        <v>#REF!</v>
      </c>
      <c r="O67" s="688" t="e">
        <f t="shared" si="17"/>
        <v>#REF!</v>
      </c>
      <c r="P67" s="689" t="s">
        <v>1260</v>
      </c>
      <c r="Q67" s="641"/>
      <c r="R67" s="641"/>
      <c r="S67" s="525" t="e">
        <f t="shared" si="15"/>
        <v>#REF!</v>
      </c>
    </row>
    <row r="68" spans="2:19" ht="11.25" hidden="1" customHeight="1">
      <c r="B68" s="568">
        <v>45373</v>
      </c>
      <c r="C68" s="656" t="s">
        <v>995</v>
      </c>
      <c r="D68" s="667"/>
      <c r="E68" s="668">
        <v>25</v>
      </c>
      <c r="F68" s="569" t="s">
        <v>146</v>
      </c>
      <c r="G68" s="569" t="s">
        <v>322</v>
      </c>
      <c r="H68" s="571"/>
      <c r="I68" s="686"/>
      <c r="J68" s="572"/>
      <c r="K68" s="596">
        <v>529</v>
      </c>
      <c r="L68" s="542" t="e">
        <f>'통장내역(환율표)'!#REF!</f>
        <v>#REF!</v>
      </c>
      <c r="M68" s="619" t="e">
        <f t="shared" si="14"/>
        <v>#REF!</v>
      </c>
      <c r="N68" s="687" t="e">
        <f t="shared" si="16"/>
        <v>#REF!</v>
      </c>
      <c r="O68" s="688" t="e">
        <f t="shared" si="17"/>
        <v>#REF!</v>
      </c>
      <c r="P68" s="689" t="s">
        <v>1260</v>
      </c>
      <c r="Q68" s="641"/>
      <c r="R68" s="641"/>
      <c r="S68" s="525" t="e">
        <f t="shared" si="15"/>
        <v>#REF!</v>
      </c>
    </row>
    <row r="69" spans="2:19" ht="11.25" hidden="1" customHeight="1">
      <c r="B69" s="568">
        <v>45373</v>
      </c>
      <c r="C69" s="656" t="s">
        <v>994</v>
      </c>
      <c r="D69" s="667"/>
      <c r="E69" s="668">
        <v>26</v>
      </c>
      <c r="F69" s="569" t="s">
        <v>146</v>
      </c>
      <c r="G69" s="569" t="s">
        <v>322</v>
      </c>
      <c r="H69" s="571"/>
      <c r="I69" s="686"/>
      <c r="J69" s="572"/>
      <c r="K69" s="596">
        <v>1029</v>
      </c>
      <c r="L69" s="542" t="e">
        <f>'통장내역(환율표)'!#REF!</f>
        <v>#REF!</v>
      </c>
      <c r="M69" s="619" t="e">
        <f t="shared" si="14"/>
        <v>#REF!</v>
      </c>
      <c r="N69" s="687" t="e">
        <f t="shared" si="16"/>
        <v>#REF!</v>
      </c>
      <c r="O69" s="688" t="e">
        <f t="shared" si="17"/>
        <v>#REF!</v>
      </c>
      <c r="P69" s="689" t="s">
        <v>1260</v>
      </c>
      <c r="Q69" s="641"/>
      <c r="R69" s="641"/>
      <c r="S69" s="525" t="e">
        <f t="shared" si="15"/>
        <v>#REF!</v>
      </c>
    </row>
    <row r="70" spans="2:19" ht="11.25" hidden="1" customHeight="1">
      <c r="B70" s="568">
        <v>45373</v>
      </c>
      <c r="C70" s="656" t="s">
        <v>996</v>
      </c>
      <c r="D70" s="667"/>
      <c r="E70" s="668">
        <v>27</v>
      </c>
      <c r="F70" s="569" t="s">
        <v>146</v>
      </c>
      <c r="G70" s="569" t="s">
        <v>322</v>
      </c>
      <c r="H70" s="571"/>
      <c r="I70" s="686"/>
      <c r="J70" s="572"/>
      <c r="K70" s="596">
        <v>1974.96</v>
      </c>
      <c r="L70" s="542" t="e">
        <f>'통장내역(환율표)'!#REF!</f>
        <v>#REF!</v>
      </c>
      <c r="M70" s="619" t="e">
        <f t="shared" si="14"/>
        <v>#REF!</v>
      </c>
      <c r="N70" s="687" t="e">
        <f t="shared" si="16"/>
        <v>#REF!</v>
      </c>
      <c r="O70" s="688" t="e">
        <f t="shared" si="17"/>
        <v>#REF!</v>
      </c>
      <c r="P70" s="689" t="s">
        <v>1260</v>
      </c>
      <c r="Q70" s="641"/>
      <c r="R70" s="641"/>
      <c r="S70" s="525" t="e">
        <f t="shared" si="15"/>
        <v>#REF!</v>
      </c>
    </row>
    <row r="71" spans="2:19" ht="11.25" hidden="1" customHeight="1">
      <c r="B71" s="568">
        <v>45373</v>
      </c>
      <c r="C71" s="656" t="s">
        <v>250</v>
      </c>
      <c r="D71" s="667"/>
      <c r="E71" s="668">
        <v>28</v>
      </c>
      <c r="F71" s="569" t="s">
        <v>107</v>
      </c>
      <c r="G71" s="569"/>
      <c r="H71" s="571"/>
      <c r="I71" s="686"/>
      <c r="J71" s="572"/>
      <c r="K71" s="596">
        <v>3.6</v>
      </c>
      <c r="L71" s="542" t="e">
        <f>'통장내역(환율표)'!#REF!</f>
        <v>#REF!</v>
      </c>
      <c r="M71" s="619" t="e">
        <f t="shared" ref="M71:M102" si="18">K71/L71</f>
        <v>#REF!</v>
      </c>
      <c r="N71" s="687" t="e">
        <f t="shared" si="16"/>
        <v>#REF!</v>
      </c>
      <c r="O71" s="688" t="e">
        <f t="shared" si="17"/>
        <v>#REF!</v>
      </c>
      <c r="P71" s="689" t="s">
        <v>1260</v>
      </c>
      <c r="Q71" s="641"/>
      <c r="R71" s="641"/>
      <c r="S71" s="525" t="e">
        <f t="shared" si="15"/>
        <v>#REF!</v>
      </c>
    </row>
    <row r="72" spans="2:19" ht="11.25" hidden="1" customHeight="1">
      <c r="B72" s="568">
        <v>45373</v>
      </c>
      <c r="C72" s="656" t="s">
        <v>1090</v>
      </c>
      <c r="D72" s="667"/>
      <c r="E72" s="668">
        <v>29</v>
      </c>
      <c r="F72" s="569" t="s">
        <v>146</v>
      </c>
      <c r="G72" s="569" t="s">
        <v>322</v>
      </c>
      <c r="H72" s="571"/>
      <c r="I72" s="686"/>
      <c r="J72" s="572"/>
      <c r="K72" s="596">
        <v>1319.85</v>
      </c>
      <c r="L72" s="542" t="e">
        <f>'통장내역(환율표)'!#REF!</f>
        <v>#REF!</v>
      </c>
      <c r="M72" s="619" t="e">
        <f t="shared" si="18"/>
        <v>#REF!</v>
      </c>
      <c r="N72" s="687" t="e">
        <f t="shared" si="16"/>
        <v>#REF!</v>
      </c>
      <c r="O72" s="688" t="e">
        <f t="shared" si="17"/>
        <v>#REF!</v>
      </c>
      <c r="P72" s="689" t="s">
        <v>1260</v>
      </c>
      <c r="Q72" s="641"/>
      <c r="R72" s="641"/>
      <c r="S72" s="525" t="e">
        <f t="shared" si="15"/>
        <v>#REF!</v>
      </c>
    </row>
    <row r="73" spans="2:19" ht="11.25" hidden="1" customHeight="1">
      <c r="B73" s="568">
        <v>45373</v>
      </c>
      <c r="C73" s="656" t="s">
        <v>1089</v>
      </c>
      <c r="D73" s="667"/>
      <c r="E73" s="668">
        <v>30</v>
      </c>
      <c r="F73" s="569" t="s">
        <v>146</v>
      </c>
      <c r="G73" s="569" t="s">
        <v>322</v>
      </c>
      <c r="H73" s="571"/>
      <c r="I73" s="686"/>
      <c r="J73" s="572"/>
      <c r="K73" s="596">
        <v>7503</v>
      </c>
      <c r="L73" s="542" t="e">
        <f>'통장내역(환율표)'!#REF!</f>
        <v>#REF!</v>
      </c>
      <c r="M73" s="619" t="e">
        <f t="shared" si="18"/>
        <v>#REF!</v>
      </c>
      <c r="N73" s="687" t="e">
        <f t="shared" si="16"/>
        <v>#REF!</v>
      </c>
      <c r="O73" s="688" t="e">
        <f t="shared" si="17"/>
        <v>#REF!</v>
      </c>
      <c r="P73" s="689" t="s">
        <v>1260</v>
      </c>
      <c r="Q73" s="641"/>
      <c r="R73" s="641"/>
      <c r="S73" s="525" t="e">
        <f t="shared" si="15"/>
        <v>#REF!</v>
      </c>
    </row>
    <row r="74" spans="2:19" ht="11.25" hidden="1" customHeight="1">
      <c r="B74" s="568">
        <v>45373</v>
      </c>
      <c r="C74" s="656" t="s">
        <v>1115</v>
      </c>
      <c r="D74" s="667"/>
      <c r="E74" s="668">
        <v>31</v>
      </c>
      <c r="F74" s="569" t="s">
        <v>107</v>
      </c>
      <c r="G74" s="569"/>
      <c r="H74" s="571"/>
      <c r="I74" s="686"/>
      <c r="J74" s="572"/>
      <c r="K74" s="596">
        <v>29.7</v>
      </c>
      <c r="L74" s="542" t="e">
        <f>'통장내역(환율표)'!#REF!</f>
        <v>#REF!</v>
      </c>
      <c r="M74" s="619" t="e">
        <f t="shared" si="18"/>
        <v>#REF!</v>
      </c>
      <c r="N74" s="687" t="e">
        <f t="shared" si="16"/>
        <v>#REF!</v>
      </c>
      <c r="O74" s="688" t="e">
        <f t="shared" si="17"/>
        <v>#REF!</v>
      </c>
      <c r="P74" s="689" t="s">
        <v>1260</v>
      </c>
      <c r="Q74" s="641"/>
      <c r="R74" s="641"/>
      <c r="S74" s="525" t="e">
        <f t="shared" si="15"/>
        <v>#REF!</v>
      </c>
    </row>
    <row r="75" spans="2:19" ht="11.25" hidden="1" customHeight="1">
      <c r="B75" s="568">
        <v>45373</v>
      </c>
      <c r="C75" s="656" t="s">
        <v>1145</v>
      </c>
      <c r="D75" s="667"/>
      <c r="E75" s="668">
        <v>32</v>
      </c>
      <c r="F75" s="569" t="s">
        <v>125</v>
      </c>
      <c r="G75" s="569" t="s">
        <v>145</v>
      </c>
      <c r="H75" s="571"/>
      <c r="I75" s="686"/>
      <c r="J75" s="572"/>
      <c r="K75" s="596">
        <v>149</v>
      </c>
      <c r="L75" s="542" t="e">
        <f>'통장내역(환율표)'!#REF!</f>
        <v>#REF!</v>
      </c>
      <c r="M75" s="619" t="e">
        <f t="shared" si="18"/>
        <v>#REF!</v>
      </c>
      <c r="N75" s="687" t="e">
        <f t="shared" si="16"/>
        <v>#REF!</v>
      </c>
      <c r="O75" s="688" t="e">
        <f t="shared" si="17"/>
        <v>#REF!</v>
      </c>
      <c r="P75" s="689" t="s">
        <v>1260</v>
      </c>
      <c r="Q75" s="641"/>
      <c r="R75" s="641"/>
      <c r="S75" s="525" t="e">
        <f t="shared" si="15"/>
        <v>#REF!</v>
      </c>
    </row>
    <row r="76" spans="2:19" ht="11.25" hidden="1" customHeight="1">
      <c r="B76" s="568">
        <v>45373</v>
      </c>
      <c r="C76" s="656" t="s">
        <v>250</v>
      </c>
      <c r="D76" s="667"/>
      <c r="E76" s="668">
        <v>33</v>
      </c>
      <c r="F76" s="569" t="s">
        <v>107</v>
      </c>
      <c r="G76" s="569"/>
      <c r="H76" s="571"/>
      <c r="I76" s="686"/>
      <c r="J76" s="572"/>
      <c r="K76" s="596">
        <v>3.6</v>
      </c>
      <c r="L76" s="542" t="e">
        <f>'통장내역(환율표)'!#REF!</f>
        <v>#REF!</v>
      </c>
      <c r="M76" s="619" t="e">
        <f t="shared" si="18"/>
        <v>#REF!</v>
      </c>
      <c r="N76" s="687" t="e">
        <f t="shared" si="16"/>
        <v>#REF!</v>
      </c>
      <c r="O76" s="688" t="e">
        <f t="shared" si="17"/>
        <v>#REF!</v>
      </c>
      <c r="P76" s="689" t="s">
        <v>1260</v>
      </c>
      <c r="Q76" s="641"/>
      <c r="R76" s="641"/>
      <c r="S76" s="525" t="e">
        <f t="shared" si="15"/>
        <v>#REF!</v>
      </c>
    </row>
    <row r="77" spans="2:19" ht="11.25" hidden="1" customHeight="1">
      <c r="B77" s="568">
        <v>45373</v>
      </c>
      <c r="C77" s="656" t="s">
        <v>1146</v>
      </c>
      <c r="D77" s="667"/>
      <c r="E77" s="668">
        <v>34</v>
      </c>
      <c r="F77" s="569" t="s">
        <v>125</v>
      </c>
      <c r="G77" s="569" t="s">
        <v>145</v>
      </c>
      <c r="H77" s="571"/>
      <c r="I77" s="686"/>
      <c r="J77" s="572"/>
      <c r="K77" s="596">
        <v>267</v>
      </c>
      <c r="L77" s="542" t="e">
        <f>'통장내역(환율표)'!#REF!</f>
        <v>#REF!</v>
      </c>
      <c r="M77" s="619" t="e">
        <f t="shared" si="18"/>
        <v>#REF!</v>
      </c>
      <c r="N77" s="687" t="e">
        <f t="shared" si="16"/>
        <v>#REF!</v>
      </c>
      <c r="O77" s="688" t="e">
        <f t="shared" si="17"/>
        <v>#REF!</v>
      </c>
      <c r="P77" s="689" t="s">
        <v>1260</v>
      </c>
      <c r="Q77" s="641"/>
      <c r="R77" s="641"/>
      <c r="S77" s="525" t="e">
        <f t="shared" si="15"/>
        <v>#REF!</v>
      </c>
    </row>
    <row r="78" spans="2:19" ht="11.25" hidden="1" customHeight="1">
      <c r="B78" s="568">
        <v>45373</v>
      </c>
      <c r="C78" s="656" t="s">
        <v>1153</v>
      </c>
      <c r="D78" s="667"/>
      <c r="E78" s="668">
        <v>35</v>
      </c>
      <c r="F78" s="569" t="s">
        <v>146</v>
      </c>
      <c r="G78" s="569" t="s">
        <v>322</v>
      </c>
      <c r="H78" s="571"/>
      <c r="I78" s="686"/>
      <c r="J78" s="572"/>
      <c r="K78" s="596">
        <v>3883</v>
      </c>
      <c r="L78" s="542" t="e">
        <f>'통장내역(환율표)'!#REF!</f>
        <v>#REF!</v>
      </c>
      <c r="M78" s="619" t="e">
        <f t="shared" si="18"/>
        <v>#REF!</v>
      </c>
      <c r="N78" s="687" t="e">
        <f t="shared" si="16"/>
        <v>#REF!</v>
      </c>
      <c r="O78" s="688" t="e">
        <f t="shared" si="17"/>
        <v>#REF!</v>
      </c>
      <c r="P78" s="689" t="s">
        <v>1260</v>
      </c>
      <c r="Q78" s="641"/>
      <c r="R78" s="641"/>
      <c r="S78" s="525" t="e">
        <f t="shared" si="15"/>
        <v>#REF!</v>
      </c>
    </row>
    <row r="79" spans="2:19" ht="11.25" hidden="1" customHeight="1">
      <c r="B79" s="568">
        <v>45373</v>
      </c>
      <c r="C79" s="656" t="s">
        <v>852</v>
      </c>
      <c r="D79" s="667"/>
      <c r="E79" s="668">
        <v>36</v>
      </c>
      <c r="F79" s="569" t="s">
        <v>107</v>
      </c>
      <c r="G79" s="569"/>
      <c r="H79" s="571"/>
      <c r="I79" s="686"/>
      <c r="J79" s="572"/>
      <c r="K79" s="596">
        <v>223.65</v>
      </c>
      <c r="L79" s="542" t="e">
        <f>'통장내역(환율표)'!#REF!</f>
        <v>#REF!</v>
      </c>
      <c r="M79" s="619" t="e">
        <f t="shared" si="18"/>
        <v>#REF!</v>
      </c>
      <c r="N79" s="687" t="e">
        <f t="shared" si="16"/>
        <v>#REF!</v>
      </c>
      <c r="O79" s="688" t="e">
        <f t="shared" si="17"/>
        <v>#REF!</v>
      </c>
      <c r="P79" s="689" t="s">
        <v>1260</v>
      </c>
      <c r="Q79" s="641"/>
      <c r="R79" s="641"/>
      <c r="S79" s="525" t="e">
        <f t="shared" si="15"/>
        <v>#REF!</v>
      </c>
    </row>
    <row r="80" spans="2:19" ht="11.25" hidden="1" customHeight="1">
      <c r="B80" s="568">
        <v>45373</v>
      </c>
      <c r="C80" s="656" t="s">
        <v>851</v>
      </c>
      <c r="D80" s="667"/>
      <c r="E80" s="668">
        <v>37</v>
      </c>
      <c r="F80" s="569" t="s">
        <v>116</v>
      </c>
      <c r="G80" s="569" t="s">
        <v>140</v>
      </c>
      <c r="H80" s="571"/>
      <c r="I80" s="686"/>
      <c r="J80" s="572"/>
      <c r="K80" s="596">
        <v>99</v>
      </c>
      <c r="L80" s="542" t="e">
        <f>'통장내역(환율표)'!#REF!</f>
        <v>#REF!</v>
      </c>
      <c r="M80" s="619" t="e">
        <f t="shared" si="18"/>
        <v>#REF!</v>
      </c>
      <c r="N80" s="687" t="e">
        <f t="shared" si="16"/>
        <v>#REF!</v>
      </c>
      <c r="O80" s="688" t="e">
        <f t="shared" si="17"/>
        <v>#REF!</v>
      </c>
      <c r="P80" s="689" t="s">
        <v>1260</v>
      </c>
      <c r="Q80" s="641"/>
      <c r="R80" s="641"/>
      <c r="S80" s="525" t="e">
        <f t="shared" si="15"/>
        <v>#REF!</v>
      </c>
    </row>
    <row r="81" spans="2:19" ht="11.25" hidden="1" customHeight="1">
      <c r="B81" s="568">
        <v>45373</v>
      </c>
      <c r="C81" s="656" t="s">
        <v>853</v>
      </c>
      <c r="D81" s="667"/>
      <c r="E81" s="668">
        <v>38</v>
      </c>
      <c r="F81" s="569" t="s">
        <v>146</v>
      </c>
      <c r="G81" s="569" t="s">
        <v>322</v>
      </c>
      <c r="H81" s="571"/>
      <c r="I81" s="686"/>
      <c r="J81" s="572"/>
      <c r="K81" s="596">
        <v>1226.78</v>
      </c>
      <c r="L81" s="542" t="e">
        <f>'통장내역(환율표)'!#REF!</f>
        <v>#REF!</v>
      </c>
      <c r="M81" s="619" t="e">
        <f t="shared" si="18"/>
        <v>#REF!</v>
      </c>
      <c r="N81" s="687" t="e">
        <f t="shared" si="16"/>
        <v>#REF!</v>
      </c>
      <c r="O81" s="688" t="e">
        <f t="shared" si="17"/>
        <v>#REF!</v>
      </c>
      <c r="P81" s="689" t="s">
        <v>1260</v>
      </c>
      <c r="Q81" s="641"/>
      <c r="R81" s="641"/>
      <c r="S81" s="525" t="e">
        <f t="shared" si="15"/>
        <v>#REF!</v>
      </c>
    </row>
    <row r="82" spans="2:19" ht="11.25" hidden="1" customHeight="1">
      <c r="B82" s="568">
        <v>45373</v>
      </c>
      <c r="C82" s="656" t="s">
        <v>1147</v>
      </c>
      <c r="D82" s="667"/>
      <c r="E82" s="668">
        <v>39</v>
      </c>
      <c r="F82" s="569" t="s">
        <v>107</v>
      </c>
      <c r="G82" s="569"/>
      <c r="H82" s="571"/>
      <c r="I82" s="686"/>
      <c r="J82" s="572"/>
      <c r="K82" s="596">
        <v>1214.4000000000001</v>
      </c>
      <c r="L82" s="542" t="e">
        <f>'통장내역(환율표)'!#REF!</f>
        <v>#REF!</v>
      </c>
      <c r="M82" s="619" t="e">
        <f t="shared" si="18"/>
        <v>#REF!</v>
      </c>
      <c r="N82" s="687" t="e">
        <f t="shared" si="16"/>
        <v>#REF!</v>
      </c>
      <c r="O82" s="688" t="e">
        <f t="shared" si="17"/>
        <v>#REF!</v>
      </c>
      <c r="P82" s="689" t="s">
        <v>1260</v>
      </c>
      <c r="Q82" s="641"/>
      <c r="R82" s="641"/>
      <c r="S82" s="525" t="e">
        <f t="shared" si="15"/>
        <v>#REF!</v>
      </c>
    </row>
    <row r="83" spans="2:19" ht="11.25" hidden="1" customHeight="1">
      <c r="B83" s="568">
        <v>45373</v>
      </c>
      <c r="C83" s="656" t="s">
        <v>250</v>
      </c>
      <c r="D83" s="667"/>
      <c r="E83" s="668">
        <v>40</v>
      </c>
      <c r="F83" s="569" t="s">
        <v>107</v>
      </c>
      <c r="G83" s="569"/>
      <c r="H83" s="571"/>
      <c r="I83" s="686"/>
      <c r="J83" s="572"/>
      <c r="K83" s="596">
        <v>3.6</v>
      </c>
      <c r="L83" s="542" t="e">
        <f>'통장내역(환율표)'!#REF!</f>
        <v>#REF!</v>
      </c>
      <c r="M83" s="619" t="e">
        <f t="shared" si="18"/>
        <v>#REF!</v>
      </c>
      <c r="N83" s="687" t="e">
        <f t="shared" ref="N83:N107" si="19">N82+H83-K83</f>
        <v>#REF!</v>
      </c>
      <c r="O83" s="688" t="e">
        <f t="shared" ref="O83:O107" si="20">O82+J83-M83</f>
        <v>#REF!</v>
      </c>
      <c r="P83" s="689" t="s">
        <v>1260</v>
      </c>
      <c r="Q83" s="641"/>
      <c r="R83" s="641"/>
      <c r="S83" s="525" t="e">
        <f t="shared" si="15"/>
        <v>#REF!</v>
      </c>
    </row>
    <row r="84" spans="2:19" ht="11.25" hidden="1" customHeight="1">
      <c r="B84" s="568">
        <v>45373</v>
      </c>
      <c r="C84" s="571" t="s">
        <v>1148</v>
      </c>
      <c r="D84" s="667"/>
      <c r="E84" s="668">
        <v>41</v>
      </c>
      <c r="F84" s="569" t="s">
        <v>125</v>
      </c>
      <c r="G84" s="569" t="s">
        <v>145</v>
      </c>
      <c r="H84" s="571"/>
      <c r="I84" s="686"/>
      <c r="J84" s="572"/>
      <c r="K84" s="596">
        <v>3782.2</v>
      </c>
      <c r="L84" s="542" t="e">
        <f>'통장내역(환율표)'!#REF!</f>
        <v>#REF!</v>
      </c>
      <c r="M84" s="619" t="e">
        <f t="shared" si="18"/>
        <v>#REF!</v>
      </c>
      <c r="N84" s="687" t="e">
        <f t="shared" si="19"/>
        <v>#REF!</v>
      </c>
      <c r="O84" s="688" t="e">
        <f t="shared" si="20"/>
        <v>#REF!</v>
      </c>
      <c r="P84" s="689" t="s">
        <v>1260</v>
      </c>
      <c r="Q84" s="641"/>
      <c r="R84" s="641"/>
      <c r="S84" s="525" t="e">
        <f t="shared" si="15"/>
        <v>#REF!</v>
      </c>
    </row>
    <row r="85" spans="2:19" ht="11.25" hidden="1" customHeight="1">
      <c r="B85" s="568">
        <v>45373</v>
      </c>
      <c r="C85" s="571" t="s">
        <v>1149</v>
      </c>
      <c r="D85" s="667"/>
      <c r="E85" s="668">
        <v>42</v>
      </c>
      <c r="F85" s="569" t="s">
        <v>107</v>
      </c>
      <c r="G85" s="569"/>
      <c r="H85" s="571"/>
      <c r="I85" s="686"/>
      <c r="J85" s="572"/>
      <c r="K85" s="596">
        <v>1538</v>
      </c>
      <c r="L85" s="542" t="e">
        <f>'통장내역(환율표)'!#REF!</f>
        <v>#REF!</v>
      </c>
      <c r="M85" s="619" t="e">
        <f t="shared" si="18"/>
        <v>#REF!</v>
      </c>
      <c r="N85" s="687" t="e">
        <f t="shared" si="19"/>
        <v>#REF!</v>
      </c>
      <c r="O85" s="688" t="e">
        <f t="shared" si="20"/>
        <v>#REF!</v>
      </c>
      <c r="P85" s="689" t="s">
        <v>1260</v>
      </c>
      <c r="Q85" s="641"/>
      <c r="R85" s="641"/>
      <c r="S85" s="525" t="e">
        <f t="shared" si="15"/>
        <v>#REF!</v>
      </c>
    </row>
    <row r="86" spans="2:19" ht="11.25" hidden="1" customHeight="1">
      <c r="B86" s="568">
        <v>45373</v>
      </c>
      <c r="C86" s="571" t="s">
        <v>1150</v>
      </c>
      <c r="D86" s="667"/>
      <c r="E86" s="668">
        <v>43</v>
      </c>
      <c r="F86" s="569" t="s">
        <v>107</v>
      </c>
      <c r="G86" s="569"/>
      <c r="H86" s="571"/>
      <c r="I86" s="686"/>
      <c r="J86" s="572"/>
      <c r="K86" s="596">
        <v>4635</v>
      </c>
      <c r="L86" s="542" t="e">
        <f>'통장내역(환율표)'!#REF!</f>
        <v>#REF!</v>
      </c>
      <c r="M86" s="619" t="e">
        <f t="shared" si="18"/>
        <v>#REF!</v>
      </c>
      <c r="N86" s="687" t="e">
        <f t="shared" si="19"/>
        <v>#REF!</v>
      </c>
      <c r="O86" s="688" t="e">
        <f t="shared" si="20"/>
        <v>#REF!</v>
      </c>
      <c r="P86" s="689" t="s">
        <v>1260</v>
      </c>
      <c r="Q86" s="641"/>
      <c r="R86" s="641" t="s">
        <v>1160</v>
      </c>
      <c r="S86" s="525" t="e">
        <f t="shared" si="15"/>
        <v>#REF!</v>
      </c>
    </row>
    <row r="87" spans="2:19" ht="11.25" hidden="1" customHeight="1">
      <c r="B87" s="568">
        <v>45373</v>
      </c>
      <c r="C87" s="571" t="s">
        <v>1161</v>
      </c>
      <c r="D87" s="667"/>
      <c r="E87" s="668">
        <v>44</v>
      </c>
      <c r="F87" s="569" t="s">
        <v>107</v>
      </c>
      <c r="G87" s="569"/>
      <c r="H87" s="571"/>
      <c r="I87" s="686"/>
      <c r="J87" s="572"/>
      <c r="K87" s="596">
        <v>303.10000000000002</v>
      </c>
      <c r="L87" s="542" t="e">
        <f>'통장내역(환율표)'!#REF!</f>
        <v>#REF!</v>
      </c>
      <c r="M87" s="619" t="e">
        <f t="shared" si="18"/>
        <v>#REF!</v>
      </c>
      <c r="N87" s="687" t="e">
        <f t="shared" si="19"/>
        <v>#REF!</v>
      </c>
      <c r="O87" s="688" t="e">
        <f t="shared" si="20"/>
        <v>#REF!</v>
      </c>
      <c r="P87" s="689" t="s">
        <v>1260</v>
      </c>
      <c r="Q87" s="641"/>
      <c r="R87" s="641"/>
      <c r="S87" s="525" t="e">
        <f t="shared" si="15"/>
        <v>#REF!</v>
      </c>
    </row>
    <row r="88" spans="2:19" ht="11.25" hidden="1" customHeight="1">
      <c r="B88" s="568">
        <v>45373</v>
      </c>
      <c r="C88" s="571" t="s">
        <v>1151</v>
      </c>
      <c r="D88" s="667"/>
      <c r="E88" s="668">
        <v>45</v>
      </c>
      <c r="F88" s="569" t="s">
        <v>146</v>
      </c>
      <c r="G88" s="569" t="s">
        <v>322</v>
      </c>
      <c r="H88" s="571"/>
      <c r="I88" s="686"/>
      <c r="J88" s="572"/>
      <c r="K88" s="697">
        <v>3232.35</v>
      </c>
      <c r="L88" s="542" t="e">
        <f>'통장내역(환율표)'!#REF!</f>
        <v>#REF!</v>
      </c>
      <c r="M88" s="619" t="e">
        <f t="shared" si="18"/>
        <v>#REF!</v>
      </c>
      <c r="N88" s="687" t="e">
        <f t="shared" si="19"/>
        <v>#REF!</v>
      </c>
      <c r="O88" s="688" t="e">
        <f t="shared" si="20"/>
        <v>#REF!</v>
      </c>
      <c r="P88" s="689" t="s">
        <v>1260</v>
      </c>
      <c r="Q88" s="641"/>
      <c r="R88" s="641"/>
      <c r="S88" s="525" t="e">
        <f t="shared" si="15"/>
        <v>#REF!</v>
      </c>
    </row>
    <row r="89" spans="2:19" ht="11.25" hidden="1" customHeight="1">
      <c r="B89" s="568">
        <v>45373</v>
      </c>
      <c r="C89" s="656" t="s">
        <v>1152</v>
      </c>
      <c r="D89" s="667"/>
      <c r="E89" s="668">
        <v>46</v>
      </c>
      <c r="F89" s="569" t="s">
        <v>146</v>
      </c>
      <c r="G89" s="569" t="s">
        <v>322</v>
      </c>
      <c r="H89" s="571"/>
      <c r="I89" s="686"/>
      <c r="J89" s="572"/>
      <c r="K89" s="697">
        <v>960.3</v>
      </c>
      <c r="L89" s="542" t="e">
        <f>'통장내역(환율표)'!#REF!</f>
        <v>#REF!</v>
      </c>
      <c r="M89" s="619" t="e">
        <f t="shared" si="18"/>
        <v>#REF!</v>
      </c>
      <c r="N89" s="687" t="e">
        <f t="shared" si="19"/>
        <v>#REF!</v>
      </c>
      <c r="O89" s="688" t="e">
        <f t="shared" si="20"/>
        <v>#REF!</v>
      </c>
      <c r="P89" s="689" t="s">
        <v>1260</v>
      </c>
      <c r="Q89" s="641"/>
      <c r="R89" s="641" t="s">
        <v>1169</v>
      </c>
      <c r="S89" s="525" t="e">
        <f t="shared" si="15"/>
        <v>#REF!</v>
      </c>
    </row>
    <row r="90" spans="2:19" ht="11.25" hidden="1" customHeight="1">
      <c r="B90" s="568">
        <v>45373</v>
      </c>
      <c r="C90" s="656" t="s">
        <v>250</v>
      </c>
      <c r="D90" s="667"/>
      <c r="E90" s="668">
        <v>47</v>
      </c>
      <c r="F90" s="569" t="s">
        <v>107</v>
      </c>
      <c r="G90" s="569"/>
      <c r="H90" s="571"/>
      <c r="I90" s="686"/>
      <c r="J90" s="572"/>
      <c r="K90" s="637">
        <v>7.2</v>
      </c>
      <c r="L90" s="542" t="e">
        <f>'통장내역(환율표)'!#REF!</f>
        <v>#REF!</v>
      </c>
      <c r="M90" s="619" t="e">
        <f t="shared" si="18"/>
        <v>#REF!</v>
      </c>
      <c r="N90" s="687" t="e">
        <f t="shared" si="19"/>
        <v>#REF!</v>
      </c>
      <c r="O90" s="688" t="e">
        <f t="shared" si="20"/>
        <v>#REF!</v>
      </c>
      <c r="P90" s="689" t="s">
        <v>1260</v>
      </c>
      <c r="Q90" s="641"/>
      <c r="R90" s="641"/>
      <c r="S90" s="525" t="e">
        <f t="shared" si="15"/>
        <v>#REF!</v>
      </c>
    </row>
    <row r="91" spans="2:19" ht="11.25" hidden="1" customHeight="1">
      <c r="B91" s="568">
        <v>45373</v>
      </c>
      <c r="C91" s="656" t="s">
        <v>1162</v>
      </c>
      <c r="D91" s="667"/>
      <c r="E91" s="668">
        <v>48</v>
      </c>
      <c r="F91" s="569" t="s">
        <v>125</v>
      </c>
      <c r="G91" s="569" t="s">
        <v>145</v>
      </c>
      <c r="H91" s="571"/>
      <c r="I91" s="686"/>
      <c r="J91" s="572"/>
      <c r="K91" s="637">
        <v>1314</v>
      </c>
      <c r="L91" s="542" t="e">
        <f>'통장내역(환율표)'!#REF!</f>
        <v>#REF!</v>
      </c>
      <c r="M91" s="619" t="e">
        <f t="shared" si="18"/>
        <v>#REF!</v>
      </c>
      <c r="N91" s="687" t="e">
        <f t="shared" si="19"/>
        <v>#REF!</v>
      </c>
      <c r="O91" s="688" t="e">
        <f t="shared" si="20"/>
        <v>#REF!</v>
      </c>
      <c r="P91" s="689" t="s">
        <v>1260</v>
      </c>
      <c r="Q91" s="641"/>
      <c r="R91" s="641"/>
      <c r="S91" s="525" t="e">
        <f t="shared" si="15"/>
        <v>#REF!</v>
      </c>
    </row>
    <row r="92" spans="2:19" ht="11.25" hidden="1" customHeight="1">
      <c r="B92" s="568">
        <v>45373</v>
      </c>
      <c r="C92" s="656" t="s">
        <v>1163</v>
      </c>
      <c r="D92" s="667"/>
      <c r="E92" s="668">
        <v>49</v>
      </c>
      <c r="F92" s="569" t="s">
        <v>116</v>
      </c>
      <c r="G92" s="569" t="s">
        <v>140</v>
      </c>
      <c r="H92" s="571"/>
      <c r="I92" s="686"/>
      <c r="J92" s="572"/>
      <c r="K92" s="637">
        <v>300</v>
      </c>
      <c r="L92" s="542" t="e">
        <f>'통장내역(환율표)'!#REF!</f>
        <v>#REF!</v>
      </c>
      <c r="M92" s="619" t="e">
        <f t="shared" si="18"/>
        <v>#REF!</v>
      </c>
      <c r="N92" s="687" t="e">
        <f t="shared" si="19"/>
        <v>#REF!</v>
      </c>
      <c r="O92" s="688" t="e">
        <f t="shared" si="20"/>
        <v>#REF!</v>
      </c>
      <c r="P92" s="689" t="s">
        <v>1260</v>
      </c>
      <c r="Q92" s="641"/>
      <c r="R92" s="641"/>
      <c r="S92" s="525" t="e">
        <f t="shared" si="15"/>
        <v>#REF!</v>
      </c>
    </row>
    <row r="93" spans="2:19" ht="11.25" hidden="1" customHeight="1">
      <c r="B93" s="568">
        <v>45373</v>
      </c>
      <c r="C93" s="656" t="s">
        <v>1164</v>
      </c>
      <c r="D93" s="667"/>
      <c r="E93" s="668">
        <v>50</v>
      </c>
      <c r="F93" s="569" t="s">
        <v>107</v>
      </c>
      <c r="G93" s="569"/>
      <c r="H93" s="571"/>
      <c r="I93" s="686"/>
      <c r="J93" s="572"/>
      <c r="K93" s="637">
        <v>5050</v>
      </c>
      <c r="L93" s="542" t="e">
        <f>'통장내역(환율표)'!#REF!</f>
        <v>#REF!</v>
      </c>
      <c r="M93" s="619" t="e">
        <f t="shared" si="18"/>
        <v>#REF!</v>
      </c>
      <c r="N93" s="687" t="e">
        <f t="shared" si="19"/>
        <v>#REF!</v>
      </c>
      <c r="O93" s="688" t="e">
        <f t="shared" si="20"/>
        <v>#REF!</v>
      </c>
      <c r="P93" s="689" t="s">
        <v>1260</v>
      </c>
      <c r="Q93" s="641"/>
      <c r="R93" s="641"/>
      <c r="S93" s="525" t="e">
        <f t="shared" si="15"/>
        <v>#REF!</v>
      </c>
    </row>
    <row r="94" spans="2:19" ht="11.25" hidden="1" customHeight="1">
      <c r="B94" s="568">
        <v>45373</v>
      </c>
      <c r="C94" s="656" t="s">
        <v>1165</v>
      </c>
      <c r="D94" s="667"/>
      <c r="E94" s="668">
        <v>51</v>
      </c>
      <c r="F94" s="569" t="s">
        <v>146</v>
      </c>
      <c r="G94" s="569" t="s">
        <v>322</v>
      </c>
      <c r="H94" s="571"/>
      <c r="I94" s="686"/>
      <c r="J94" s="572"/>
      <c r="K94" s="637">
        <v>777.09</v>
      </c>
      <c r="L94" s="542" t="e">
        <f>'통장내역(환율표)'!#REF!</f>
        <v>#REF!</v>
      </c>
      <c r="M94" s="619" t="e">
        <f t="shared" si="18"/>
        <v>#REF!</v>
      </c>
      <c r="N94" s="687" t="e">
        <f t="shared" si="19"/>
        <v>#REF!</v>
      </c>
      <c r="O94" s="688" t="e">
        <f t="shared" si="20"/>
        <v>#REF!</v>
      </c>
      <c r="P94" s="689" t="s">
        <v>1260</v>
      </c>
      <c r="Q94" s="641"/>
      <c r="R94" s="641" t="s">
        <v>1170</v>
      </c>
      <c r="S94" s="525" t="e">
        <f t="shared" si="15"/>
        <v>#REF!</v>
      </c>
    </row>
    <row r="95" spans="2:19" ht="11.25" hidden="1" customHeight="1">
      <c r="B95" s="568">
        <v>45373</v>
      </c>
      <c r="C95" s="656" t="s">
        <v>1166</v>
      </c>
      <c r="D95" s="667"/>
      <c r="E95" s="668">
        <v>52</v>
      </c>
      <c r="F95" s="569" t="s">
        <v>146</v>
      </c>
      <c r="G95" s="569" t="s">
        <v>322</v>
      </c>
      <c r="H95" s="571"/>
      <c r="I95" s="686"/>
      <c r="J95" s="572"/>
      <c r="K95" s="637">
        <v>14335.71</v>
      </c>
      <c r="L95" s="542" t="e">
        <f>'통장내역(환율표)'!#REF!</f>
        <v>#REF!</v>
      </c>
      <c r="M95" s="619" t="e">
        <f t="shared" si="18"/>
        <v>#REF!</v>
      </c>
      <c r="N95" s="687" t="e">
        <f t="shared" si="19"/>
        <v>#REF!</v>
      </c>
      <c r="O95" s="688" t="e">
        <f t="shared" si="20"/>
        <v>#REF!</v>
      </c>
      <c r="P95" s="689" t="s">
        <v>1260</v>
      </c>
      <c r="Q95" s="641"/>
      <c r="R95" s="641"/>
      <c r="S95" s="525" t="e">
        <f t="shared" si="15"/>
        <v>#REF!</v>
      </c>
    </row>
    <row r="96" spans="2:19" ht="11.25" hidden="1" customHeight="1">
      <c r="B96" s="568">
        <v>45373</v>
      </c>
      <c r="C96" s="656" t="s">
        <v>250</v>
      </c>
      <c r="D96" s="667"/>
      <c r="E96" s="668">
        <v>53</v>
      </c>
      <c r="F96" s="569" t="s">
        <v>107</v>
      </c>
      <c r="G96" s="569"/>
      <c r="H96" s="571"/>
      <c r="I96" s="686"/>
      <c r="J96" s="572"/>
      <c r="K96" s="637">
        <v>7.2</v>
      </c>
      <c r="L96" s="542" t="e">
        <f>'통장내역(환율표)'!#REF!</f>
        <v>#REF!</v>
      </c>
      <c r="M96" s="619" t="e">
        <f t="shared" si="18"/>
        <v>#REF!</v>
      </c>
      <c r="N96" s="687" t="e">
        <f t="shared" si="19"/>
        <v>#REF!</v>
      </c>
      <c r="O96" s="688" t="e">
        <f t="shared" si="20"/>
        <v>#REF!</v>
      </c>
      <c r="P96" s="689" t="s">
        <v>1260</v>
      </c>
      <c r="Q96" s="641"/>
      <c r="R96" s="641"/>
      <c r="S96" s="525" t="e">
        <f t="shared" si="15"/>
        <v>#REF!</v>
      </c>
    </row>
    <row r="97" spans="1:24" ht="11.25" hidden="1" customHeight="1">
      <c r="B97" s="568">
        <v>45376</v>
      </c>
      <c r="C97" s="656" t="s">
        <v>1154</v>
      </c>
      <c r="D97" s="667"/>
      <c r="E97" s="668">
        <v>54</v>
      </c>
      <c r="F97" s="569" t="s">
        <v>107</v>
      </c>
      <c r="G97" s="569"/>
      <c r="H97" s="571"/>
      <c r="I97" s="686"/>
      <c r="J97" s="572"/>
      <c r="K97" s="637">
        <v>211.1</v>
      </c>
      <c r="L97" s="542" t="e">
        <f>'통장내역(환율표)'!#REF!</f>
        <v>#REF!</v>
      </c>
      <c r="M97" s="619" t="e">
        <f t="shared" si="18"/>
        <v>#REF!</v>
      </c>
      <c r="N97" s="687" t="e">
        <f t="shared" si="19"/>
        <v>#REF!</v>
      </c>
      <c r="O97" s="688" t="e">
        <f t="shared" si="20"/>
        <v>#REF!</v>
      </c>
      <c r="P97" s="689" t="s">
        <v>1260</v>
      </c>
      <c r="Q97" s="641"/>
      <c r="R97" s="641"/>
      <c r="S97" s="525" t="e">
        <f t="shared" si="15"/>
        <v>#REF!</v>
      </c>
    </row>
    <row r="98" spans="1:24" ht="11.25" hidden="1" customHeight="1">
      <c r="B98" s="568">
        <v>45376</v>
      </c>
      <c r="C98" s="656" t="s">
        <v>250</v>
      </c>
      <c r="D98" s="667"/>
      <c r="E98" s="668">
        <v>55</v>
      </c>
      <c r="F98" s="569" t="s">
        <v>107</v>
      </c>
      <c r="G98" s="569"/>
      <c r="H98" s="571"/>
      <c r="I98" s="686"/>
      <c r="J98" s="572"/>
      <c r="K98" s="637">
        <v>3.6</v>
      </c>
      <c r="L98" s="542" t="e">
        <f>'통장내역(환율표)'!#REF!</f>
        <v>#REF!</v>
      </c>
      <c r="M98" s="619" t="e">
        <f t="shared" si="18"/>
        <v>#REF!</v>
      </c>
      <c r="N98" s="687" t="e">
        <f t="shared" si="19"/>
        <v>#REF!</v>
      </c>
      <c r="O98" s="688" t="e">
        <f t="shared" si="20"/>
        <v>#REF!</v>
      </c>
      <c r="P98" s="689" t="s">
        <v>1260</v>
      </c>
      <c r="Q98" s="641"/>
      <c r="R98" s="641"/>
      <c r="S98" s="525" t="e">
        <f t="shared" si="15"/>
        <v>#REF!</v>
      </c>
    </row>
    <row r="99" spans="1:24" ht="11.25" hidden="1" customHeight="1">
      <c r="B99" s="568">
        <v>45376</v>
      </c>
      <c r="C99" s="656" t="s">
        <v>1098</v>
      </c>
      <c r="D99" s="667"/>
      <c r="E99" s="668">
        <v>56</v>
      </c>
      <c r="F99" s="569" t="s">
        <v>146</v>
      </c>
      <c r="G99" s="569" t="s">
        <v>322</v>
      </c>
      <c r="H99" s="571"/>
      <c r="I99" s="686"/>
      <c r="J99" s="572"/>
      <c r="K99" s="637">
        <v>8489.65</v>
      </c>
      <c r="L99" s="542" t="e">
        <f>'통장내역(환율표)'!#REF!</f>
        <v>#REF!</v>
      </c>
      <c r="M99" s="619" t="e">
        <f t="shared" si="18"/>
        <v>#REF!</v>
      </c>
      <c r="N99" s="687" t="e">
        <f t="shared" si="19"/>
        <v>#REF!</v>
      </c>
      <c r="O99" s="688" t="e">
        <f t="shared" si="20"/>
        <v>#REF!</v>
      </c>
      <c r="P99" s="689" t="s">
        <v>1260</v>
      </c>
      <c r="Q99" s="641"/>
      <c r="R99" s="641"/>
      <c r="S99" s="525" t="e">
        <f t="shared" si="15"/>
        <v>#REF!</v>
      </c>
    </row>
    <row r="100" spans="1:24" ht="11.25" hidden="1" customHeight="1">
      <c r="B100" s="568">
        <v>45376</v>
      </c>
      <c r="C100" s="656" t="s">
        <v>844</v>
      </c>
      <c r="D100" s="667"/>
      <c r="E100" s="668">
        <v>57</v>
      </c>
      <c r="F100" s="569" t="s">
        <v>146</v>
      </c>
      <c r="G100" s="569" t="s">
        <v>322</v>
      </c>
      <c r="H100" s="571"/>
      <c r="I100" s="686"/>
      <c r="J100" s="572"/>
      <c r="K100" s="637">
        <v>272.89</v>
      </c>
      <c r="L100" s="542" t="e">
        <f>'통장내역(환율표)'!#REF!</f>
        <v>#REF!</v>
      </c>
      <c r="M100" s="619" t="e">
        <f t="shared" si="18"/>
        <v>#REF!</v>
      </c>
      <c r="N100" s="687" t="e">
        <f t="shared" si="19"/>
        <v>#REF!</v>
      </c>
      <c r="O100" s="688" t="e">
        <f t="shared" si="20"/>
        <v>#REF!</v>
      </c>
      <c r="P100" s="689" t="s">
        <v>1260</v>
      </c>
      <c r="Q100" s="641"/>
      <c r="R100" s="641"/>
      <c r="S100" s="525" t="e">
        <f t="shared" si="15"/>
        <v>#REF!</v>
      </c>
    </row>
    <row r="101" spans="1:24" ht="11.25" hidden="1" customHeight="1">
      <c r="B101" s="568">
        <v>45376</v>
      </c>
      <c r="C101" s="656" t="s">
        <v>854</v>
      </c>
      <c r="D101" s="667"/>
      <c r="E101" s="668">
        <v>58</v>
      </c>
      <c r="F101" s="569" t="s">
        <v>116</v>
      </c>
      <c r="G101" s="569" t="s">
        <v>140</v>
      </c>
      <c r="H101" s="571"/>
      <c r="I101" s="686"/>
      <c r="J101" s="572"/>
      <c r="K101" s="697">
        <v>499</v>
      </c>
      <c r="L101" s="542" t="e">
        <f>'통장내역(환율표)'!#REF!</f>
        <v>#REF!</v>
      </c>
      <c r="M101" s="619" t="e">
        <f t="shared" si="18"/>
        <v>#REF!</v>
      </c>
      <c r="N101" s="687" t="e">
        <f t="shared" si="19"/>
        <v>#REF!</v>
      </c>
      <c r="O101" s="688" t="e">
        <f t="shared" si="20"/>
        <v>#REF!</v>
      </c>
      <c r="P101" s="689" t="s">
        <v>1260</v>
      </c>
      <c r="Q101" s="641"/>
      <c r="R101" s="641"/>
      <c r="S101" s="525" t="e">
        <f t="shared" si="15"/>
        <v>#REF!</v>
      </c>
    </row>
    <row r="102" spans="1:24" ht="11.25" hidden="1" customHeight="1">
      <c r="B102" s="568">
        <v>45376</v>
      </c>
      <c r="C102" s="656" t="s">
        <v>1100</v>
      </c>
      <c r="D102" s="667"/>
      <c r="E102" s="668">
        <v>59</v>
      </c>
      <c r="F102" s="569" t="s">
        <v>116</v>
      </c>
      <c r="G102" s="569" t="s">
        <v>140</v>
      </c>
      <c r="H102" s="571"/>
      <c r="I102" s="686"/>
      <c r="J102" s="572"/>
      <c r="K102" s="637">
        <v>397.01</v>
      </c>
      <c r="L102" s="542" t="e">
        <f>'통장내역(환율표)'!#REF!</f>
        <v>#REF!</v>
      </c>
      <c r="M102" s="619" t="e">
        <f t="shared" si="18"/>
        <v>#REF!</v>
      </c>
      <c r="N102" s="687" t="e">
        <f t="shared" si="19"/>
        <v>#REF!</v>
      </c>
      <c r="O102" s="688" t="e">
        <f t="shared" si="20"/>
        <v>#REF!</v>
      </c>
      <c r="P102" s="689" t="s">
        <v>1260</v>
      </c>
      <c r="Q102" s="641"/>
      <c r="R102" s="641"/>
      <c r="S102" s="525" t="e">
        <f t="shared" si="15"/>
        <v>#REF!</v>
      </c>
    </row>
    <row r="103" spans="1:24" ht="11.25" hidden="1" customHeight="1">
      <c r="B103" s="568">
        <v>45376</v>
      </c>
      <c r="C103" s="656" t="s">
        <v>857</v>
      </c>
      <c r="D103" s="667"/>
      <c r="E103" s="668">
        <v>60</v>
      </c>
      <c r="F103" s="569" t="s">
        <v>107</v>
      </c>
      <c r="G103" s="569"/>
      <c r="H103" s="571"/>
      <c r="I103" s="686"/>
      <c r="J103" s="572"/>
      <c r="K103" s="637">
        <v>433.8</v>
      </c>
      <c r="L103" s="542" t="e">
        <f>'통장내역(환율표)'!#REF!</f>
        <v>#REF!</v>
      </c>
      <c r="M103" s="619" t="e">
        <f t="shared" ref="M103:M104" si="21">K103/L103</f>
        <v>#REF!</v>
      </c>
      <c r="N103" s="687" t="e">
        <f t="shared" si="19"/>
        <v>#REF!</v>
      </c>
      <c r="O103" s="688" t="e">
        <f t="shared" si="20"/>
        <v>#REF!</v>
      </c>
      <c r="P103" s="689" t="s">
        <v>1260</v>
      </c>
      <c r="Q103" s="641"/>
      <c r="R103" s="641"/>
      <c r="S103" s="525" t="e">
        <f t="shared" si="15"/>
        <v>#REF!</v>
      </c>
    </row>
    <row r="104" spans="1:24" ht="11.25" hidden="1" customHeight="1">
      <c r="B104" s="568">
        <v>45376</v>
      </c>
      <c r="C104" s="656" t="s">
        <v>1099</v>
      </c>
      <c r="D104" s="667"/>
      <c r="E104" s="668">
        <v>61</v>
      </c>
      <c r="F104" s="569" t="s">
        <v>107</v>
      </c>
      <c r="G104" s="569"/>
      <c r="H104" s="571"/>
      <c r="I104" s="686"/>
      <c r="J104" s="572"/>
      <c r="K104" s="637">
        <v>243.6</v>
      </c>
      <c r="L104" s="542" t="e">
        <f>'통장내역(환율표)'!#REF!</f>
        <v>#REF!</v>
      </c>
      <c r="M104" s="619" t="e">
        <f t="shared" si="21"/>
        <v>#REF!</v>
      </c>
      <c r="N104" s="687" t="e">
        <f t="shared" si="19"/>
        <v>#REF!</v>
      </c>
      <c r="O104" s="688" t="e">
        <f t="shared" si="20"/>
        <v>#REF!</v>
      </c>
      <c r="P104" s="689" t="s">
        <v>1260</v>
      </c>
      <c r="Q104" s="641"/>
      <c r="R104" s="641"/>
      <c r="S104" s="525" t="e">
        <f t="shared" si="15"/>
        <v>#REF!</v>
      </c>
    </row>
    <row r="105" spans="1:24" ht="11.25" hidden="1" customHeight="1">
      <c r="B105" s="568">
        <v>45376</v>
      </c>
      <c r="C105" s="656" t="s">
        <v>845</v>
      </c>
      <c r="D105" s="667"/>
      <c r="E105" s="668">
        <v>62</v>
      </c>
      <c r="F105" s="569" t="s">
        <v>125</v>
      </c>
      <c r="G105" s="569" t="s">
        <v>145</v>
      </c>
      <c r="H105" s="571"/>
      <c r="I105" s="686"/>
      <c r="J105" s="572"/>
      <c r="K105" s="637">
        <v>6593</v>
      </c>
      <c r="L105" s="542" t="e">
        <f>'통장내역(환율표)'!#REF!</f>
        <v>#REF!</v>
      </c>
      <c r="M105" s="619">
        <v>920.58</v>
      </c>
      <c r="N105" s="687" t="e">
        <f t="shared" si="19"/>
        <v>#REF!</v>
      </c>
      <c r="O105" s="688" t="e">
        <f t="shared" si="20"/>
        <v>#REF!</v>
      </c>
      <c r="P105" s="689" t="s">
        <v>1260</v>
      </c>
      <c r="Q105" s="641"/>
      <c r="R105" s="641"/>
      <c r="S105" s="525" t="e">
        <f t="shared" ref="S105:S106" si="22">S104-M105</f>
        <v>#REF!</v>
      </c>
    </row>
    <row r="106" spans="1:24" ht="11.25" hidden="1" customHeight="1">
      <c r="B106" s="568">
        <v>45376</v>
      </c>
      <c r="C106" s="656" t="s">
        <v>250</v>
      </c>
      <c r="D106" s="667"/>
      <c r="E106" s="668">
        <v>63</v>
      </c>
      <c r="F106" s="569" t="s">
        <v>107</v>
      </c>
      <c r="G106" s="569"/>
      <c r="H106" s="571"/>
      <c r="I106" s="686"/>
      <c r="J106" s="572"/>
      <c r="K106" s="637">
        <v>7.2</v>
      </c>
      <c r="L106" s="542" t="e">
        <f>'통장내역(환율표)'!#REF!</f>
        <v>#REF!</v>
      </c>
      <c r="M106" s="619" t="e">
        <f>K106/L106</f>
        <v>#REF!</v>
      </c>
      <c r="N106" s="687" t="e">
        <f t="shared" si="19"/>
        <v>#REF!</v>
      </c>
      <c r="O106" s="688" t="e">
        <f t="shared" si="20"/>
        <v>#REF!</v>
      </c>
      <c r="P106" s="689" t="s">
        <v>1260</v>
      </c>
      <c r="Q106" s="641"/>
      <c r="R106" s="641"/>
      <c r="S106" s="525" t="e">
        <f t="shared" si="22"/>
        <v>#REF!</v>
      </c>
    </row>
    <row r="107" spans="1:24" ht="11.25" hidden="1" customHeight="1">
      <c r="B107" s="568">
        <v>45378</v>
      </c>
      <c r="C107" s="656" t="s">
        <v>250</v>
      </c>
      <c r="D107" s="667"/>
      <c r="E107" s="668">
        <v>64</v>
      </c>
      <c r="F107" s="569" t="s">
        <v>107</v>
      </c>
      <c r="G107" s="569"/>
      <c r="H107" s="571"/>
      <c r="I107" s="686"/>
      <c r="J107" s="572"/>
      <c r="K107" s="637">
        <v>3.6</v>
      </c>
      <c r="L107" s="542" t="e">
        <f>'통장내역(환율표)'!#REF!</f>
        <v>#REF!</v>
      </c>
      <c r="M107" s="619" t="e">
        <f>K107/L107</f>
        <v>#REF!</v>
      </c>
      <c r="N107" s="687" t="e">
        <f t="shared" si="19"/>
        <v>#REF!</v>
      </c>
      <c r="O107" s="740" t="e">
        <f t="shared" si="20"/>
        <v>#REF!</v>
      </c>
      <c r="P107" s="689" t="s">
        <v>1260</v>
      </c>
      <c r="Q107" s="641"/>
      <c r="R107" s="641" t="s">
        <v>1171</v>
      </c>
      <c r="S107" s="741" t="e">
        <f t="shared" ref="S107" si="23">S106-M107</f>
        <v>#REF!</v>
      </c>
    </row>
    <row r="108" spans="1:24" s="574" customFormat="1" ht="11.25" hidden="1" customHeight="1" thickBot="1">
      <c r="A108" s="544"/>
      <c r="B108" s="670"/>
      <c r="C108" s="671"/>
      <c r="D108" s="672"/>
      <c r="E108" s="671"/>
      <c r="F108" s="673"/>
      <c r="G108" s="674"/>
      <c r="H108" s="675"/>
      <c r="I108" s="676"/>
      <c r="J108" s="677"/>
      <c r="K108" s="678"/>
      <c r="L108" s="664"/>
      <c r="M108" s="680"/>
      <c r="N108" s="684"/>
      <c r="O108" s="685"/>
      <c r="P108" s="681"/>
      <c r="Q108" s="660"/>
      <c r="R108" s="665"/>
      <c r="S108" s="525"/>
      <c r="T108" s="461"/>
      <c r="V108" s="461"/>
      <c r="W108" s="461"/>
      <c r="X108" s="461"/>
    </row>
    <row r="109" spans="1:24" ht="11.25" customHeight="1">
      <c r="C109" s="519"/>
      <c r="D109" s="519"/>
      <c r="E109" s="519"/>
      <c r="F109" s="519"/>
      <c r="G109" s="519"/>
      <c r="H109" s="519"/>
      <c r="K109" s="461"/>
    </row>
    <row r="110" spans="1:24" ht="11.25" customHeight="1">
      <c r="C110" s="519"/>
      <c r="D110" s="519"/>
      <c r="E110" s="519"/>
      <c r="F110" s="519"/>
      <c r="G110" s="519"/>
      <c r="H110" s="519"/>
      <c r="K110" s="461"/>
    </row>
    <row r="111" spans="1:24" ht="11.25" customHeight="1">
      <c r="C111" s="519"/>
      <c r="D111" s="519"/>
      <c r="E111" s="519"/>
      <c r="F111" s="519"/>
      <c r="G111" s="519"/>
      <c r="H111" s="812"/>
      <c r="I111" s="499"/>
      <c r="J111" s="813" t="s">
        <v>1266</v>
      </c>
      <c r="K111" s="499" t="s">
        <v>1267</v>
      </c>
    </row>
    <row r="112" spans="1:24" ht="11.25" customHeight="1">
      <c r="C112" s="519"/>
      <c r="D112" s="519"/>
      <c r="E112" s="519"/>
      <c r="F112" s="519"/>
      <c r="G112" s="519"/>
      <c r="H112" s="814" t="s">
        <v>1268</v>
      </c>
      <c r="I112" s="815" t="e">
        <f>'통장내역(환율표)'!#REF!</f>
        <v>#REF!</v>
      </c>
      <c r="J112" s="816">
        <v>248022.02000000002</v>
      </c>
      <c r="K112" s="817" t="e">
        <f>J112/I112</f>
        <v>#REF!</v>
      </c>
      <c r="L112" s="461" t="e">
        <f>K112-K113</f>
        <v>#REF!</v>
      </c>
    </row>
    <row r="113" spans="3:11" ht="11.25" customHeight="1">
      <c r="C113" s="519"/>
      <c r="D113" s="519"/>
      <c r="E113" s="519"/>
      <c r="F113" s="519"/>
      <c r="G113" s="519"/>
      <c r="H113" s="812" t="s">
        <v>1265</v>
      </c>
      <c r="I113" s="818">
        <v>7.1651000242822729</v>
      </c>
      <c r="J113" s="819">
        <v>248022.02000000002</v>
      </c>
      <c r="K113" s="820">
        <f>J113/I113</f>
        <v>34615.290667187073</v>
      </c>
    </row>
    <row r="114" spans="3:11" ht="11.25" customHeight="1">
      <c r="C114" s="519"/>
      <c r="D114" s="519"/>
      <c r="E114" s="519"/>
      <c r="F114" s="519"/>
      <c r="G114" s="519"/>
      <c r="H114" s="519"/>
    </row>
    <row r="115" spans="3:11" ht="11.25" customHeight="1">
      <c r="C115" s="519"/>
      <c r="D115" s="519"/>
      <c r="E115" s="519"/>
      <c r="F115" s="519"/>
      <c r="G115" s="519"/>
      <c r="H115" s="519"/>
    </row>
    <row r="116" spans="3:11" ht="11.25" customHeight="1">
      <c r="C116" s="519"/>
      <c r="D116" s="519"/>
      <c r="E116" s="519"/>
      <c r="F116" s="519"/>
      <c r="G116" s="519"/>
      <c r="H116" s="519"/>
    </row>
    <row r="117" spans="3:11" ht="11.25" customHeight="1">
      <c r="C117" s="519"/>
      <c r="D117" s="519"/>
      <c r="E117" s="519"/>
      <c r="F117" s="519"/>
      <c r="G117" s="519"/>
      <c r="H117" s="519"/>
    </row>
    <row r="118" spans="3:11" ht="11.25" customHeight="1">
      <c r="C118" s="519"/>
      <c r="D118" s="519"/>
      <c r="E118" s="519"/>
      <c r="F118" s="519"/>
      <c r="G118" s="519"/>
      <c r="H118" s="519"/>
    </row>
    <row r="119" spans="3:11" ht="11.25" customHeight="1">
      <c r="C119" s="519"/>
      <c r="D119" s="519"/>
      <c r="E119" s="519"/>
      <c r="F119" s="519"/>
      <c r="G119" s="519"/>
      <c r="H119" s="519"/>
    </row>
    <row r="120" spans="3:11" ht="11.25" customHeight="1">
      <c r="C120" s="519"/>
      <c r="D120" s="519"/>
      <c r="E120" s="519"/>
      <c r="F120" s="519"/>
      <c r="G120" s="519"/>
      <c r="H120" s="519"/>
    </row>
    <row r="121" spans="3:11" ht="11.25" customHeight="1">
      <c r="C121" s="519"/>
      <c r="D121" s="519"/>
      <c r="E121" s="519"/>
      <c r="F121" s="519"/>
      <c r="G121" s="519"/>
      <c r="H121" s="519"/>
    </row>
    <row r="122" spans="3:11" ht="11.25" customHeight="1">
      <c r="C122" s="519"/>
      <c r="D122" s="519"/>
      <c r="E122" s="519"/>
      <c r="F122" s="519"/>
      <c r="G122" s="519"/>
      <c r="H122" s="519"/>
    </row>
    <row r="123" spans="3:11" ht="11.25" customHeight="1">
      <c r="C123" s="519"/>
      <c r="D123" s="519"/>
      <c r="E123" s="519"/>
      <c r="F123" s="519"/>
      <c r="G123" s="519"/>
      <c r="H123" s="519"/>
    </row>
  </sheetData>
  <autoFilter ref="B17:R108" xr:uid="{00000000-0009-0000-0000-000001000000}">
    <filterColumn colId="4">
      <colorFilter dxfId="26"/>
    </filterColumn>
    <filterColumn colId="14" showButton="0"/>
    <sortState xmlns:xlrd2="http://schemas.microsoft.com/office/spreadsheetml/2017/richdata2" ref="B21:R29">
      <sortCondition sortBy="cellColor" ref="M17:M108" dxfId="27"/>
    </sortState>
  </autoFilter>
  <mergeCells count="5">
    <mergeCell ref="H16:J16"/>
    <mergeCell ref="K16:M16"/>
    <mergeCell ref="N16:O16"/>
    <mergeCell ref="P16:Q16"/>
    <mergeCell ref="P17:Q17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ADD2-D6A4-4866-B605-DE53B46FA8DA}">
  <sheetPr>
    <tabColor theme="4" tint="-0.499984740745262"/>
  </sheetPr>
  <dimension ref="A1:AC121"/>
  <sheetViews>
    <sheetView showGridLines="0" zoomScaleNormal="100" workbookViewId="0">
      <pane ySplit="18" topLeftCell="A94" activePane="bottomLeft" state="frozen"/>
      <selection pane="bottomLeft" activeCell="S104" sqref="S104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1258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1139</v>
      </c>
      <c r="C3" s="477"/>
      <c r="D3" s="477"/>
      <c r="E3" s="477"/>
      <c r="F3" s="715">
        <v>1323.1</v>
      </c>
      <c r="G3" s="480"/>
      <c r="H3" s="476" t="s">
        <v>1259</v>
      </c>
      <c r="I3" s="477"/>
      <c r="K3" s="478"/>
      <c r="L3" s="715">
        <v>1354.4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N4" s="771"/>
      <c r="O4" s="772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494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14643.63</v>
      </c>
      <c r="K5" s="693">
        <v>2027.16</v>
      </c>
      <c r="L5" s="651">
        <f>ROUND(K5*$L$3,0)</f>
        <v>2745586</v>
      </c>
      <c r="M5" s="842">
        <f>L5+F5</f>
        <v>2745586</v>
      </c>
      <c r="N5" s="461">
        <v>63837</v>
      </c>
      <c r="P5" s="776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1603.6</v>
      </c>
      <c r="E6" s="500">
        <v>223.81</v>
      </c>
      <c r="F6" s="497">
        <f t="shared" ref="F6:F10" si="0">ROUND(E6*$F$3,0)</f>
        <v>296123</v>
      </c>
      <c r="G6" s="502"/>
      <c r="H6" s="499" t="s">
        <v>13</v>
      </c>
      <c r="I6" s="499" t="s">
        <v>14</v>
      </c>
      <c r="J6" s="693">
        <v>51369.17</v>
      </c>
      <c r="K6" s="693">
        <v>7111.2</v>
      </c>
      <c r="L6" s="651">
        <f t="shared" ref="L6:L10" si="1">ROUND(K6*$L$3,0)</f>
        <v>9631409</v>
      </c>
      <c r="M6" s="842">
        <f t="shared" ref="M6:M13" si="2">L6+F6</f>
        <v>9927532</v>
      </c>
      <c r="N6" s="574">
        <f>N5-K13</f>
        <v>20518.760000000002</v>
      </c>
      <c r="P6" s="776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496">
        <v>24297</v>
      </c>
      <c r="E7" s="496">
        <v>3391.02</v>
      </c>
      <c r="F7" s="497">
        <f t="shared" si="0"/>
        <v>4486659</v>
      </c>
      <c r="G7" s="503"/>
      <c r="H7" s="499" t="s">
        <v>15</v>
      </c>
      <c r="I7" s="499" t="s">
        <v>1055</v>
      </c>
      <c r="J7" s="694"/>
      <c r="K7" s="694"/>
      <c r="L7" s="651">
        <f t="shared" si="1"/>
        <v>0</v>
      </c>
      <c r="M7" s="842">
        <f t="shared" si="2"/>
        <v>4486659</v>
      </c>
      <c r="P7" s="776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694">
        <v>2422.58</v>
      </c>
      <c r="L8" s="651">
        <f t="shared" si="1"/>
        <v>3281142</v>
      </c>
      <c r="M8" s="842">
        <f t="shared" si="2"/>
        <v>3281142</v>
      </c>
      <c r="O8" s="520"/>
      <c r="P8" s="776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2688.17</v>
      </c>
      <c r="K9" s="693">
        <v>372.13</v>
      </c>
      <c r="L9" s="651">
        <f t="shared" si="1"/>
        <v>504013</v>
      </c>
      <c r="M9" s="842">
        <f t="shared" si="2"/>
        <v>504013</v>
      </c>
      <c r="O9" s="520"/>
      <c r="P9" s="776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109656.67999999979</v>
      </c>
      <c r="E10" s="500">
        <v>15315.72</v>
      </c>
      <c r="F10" s="497">
        <f t="shared" si="0"/>
        <v>20264229</v>
      </c>
      <c r="G10" s="505"/>
      <c r="H10" s="499" t="s">
        <v>21</v>
      </c>
      <c r="I10" s="499"/>
      <c r="J10" s="693">
        <v>226348.63000000027</v>
      </c>
      <c r="K10" s="693">
        <v>31385.17</v>
      </c>
      <c r="L10" s="651">
        <f t="shared" si="1"/>
        <v>42508074</v>
      </c>
      <c r="M10" s="842">
        <f t="shared" si="2"/>
        <v>62772303</v>
      </c>
      <c r="P10" s="776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ref="F11:F12" si="3">ROUND(E11*$F$3,0)</f>
        <v>0</v>
      </c>
      <c r="G11" s="510">
        <f>G13/G12</f>
        <v>1323.1000155832769</v>
      </c>
      <c r="H11" s="506" t="s">
        <v>1057</v>
      </c>
      <c r="I11" s="507" t="s">
        <v>1058</v>
      </c>
      <c r="J11" s="511"/>
      <c r="K11" s="511"/>
      <c r="L11" s="509">
        <f>ROUND(K11*$R$3,0)</f>
        <v>0</v>
      </c>
      <c r="M11" s="842">
        <f t="shared" si="2"/>
        <v>0</v>
      </c>
      <c r="N11" s="777"/>
      <c r="P11" s="776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499"/>
      <c r="E12" s="500"/>
      <c r="F12" s="497">
        <f t="shared" si="3"/>
        <v>0</v>
      </c>
      <c r="G12" s="512">
        <f>E13+Q13+AB13</f>
        <v>18930.55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42">
        <f t="shared" si="2"/>
        <v>0</v>
      </c>
      <c r="P12" s="776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ht="11.25" customHeight="1">
      <c r="A13" s="449"/>
      <c r="B13" s="513" t="s">
        <v>22</v>
      </c>
      <c r="C13" s="514"/>
      <c r="D13" s="516">
        <f>SUM(D5:D11)-D12</f>
        <v>135557.2799999998</v>
      </c>
      <c r="E13" s="516">
        <f>SUM(E5:E11)-E12</f>
        <v>18930.55</v>
      </c>
      <c r="F13" s="517">
        <f>SUM(F5:F11)-F12</f>
        <v>25047011</v>
      </c>
      <c r="G13" s="518">
        <f>F13+R13+AC13</f>
        <v>25047011</v>
      </c>
      <c r="H13" s="513" t="s">
        <v>22</v>
      </c>
      <c r="I13" s="514"/>
      <c r="J13" s="515">
        <f>SUM(J5:J11)-J12</f>
        <v>312549.60000000027</v>
      </c>
      <c r="K13" s="516">
        <f>SUM(K5:K11)-K12</f>
        <v>43318.239999999998</v>
      </c>
      <c r="L13" s="517">
        <f>SUM(L5:L11)-L12</f>
        <v>58670224</v>
      </c>
      <c r="M13" s="842">
        <f t="shared" si="2"/>
        <v>83717235</v>
      </c>
      <c r="N13" s="778"/>
      <c r="O13" s="779"/>
      <c r="P13" s="776"/>
      <c r="Q13" s="776"/>
      <c r="R13" s="776"/>
      <c r="X13" s="714">
        <f>F13+R13</f>
        <v>25047011</v>
      </c>
      <c r="Y13" s="643"/>
      <c r="Z13" s="473"/>
      <c r="AA13" s="466"/>
      <c r="AB13" s="470"/>
      <c r="AC13" s="468"/>
    </row>
    <row r="14" spans="1:29" ht="14.25" customHeight="1">
      <c r="A14" s="449"/>
      <c r="C14" s="520"/>
      <c r="D14" s="520">
        <f t="shared" ref="D14:E14" si="4">SUM(D7:D10)</f>
        <v>133953.67999999979</v>
      </c>
      <c r="E14" s="738">
        <f t="shared" si="4"/>
        <v>18706.739999999998</v>
      </c>
      <c r="F14" s="739">
        <f>SUM(F7:F10)</f>
        <v>24750888</v>
      </c>
      <c r="G14" s="524"/>
      <c r="O14" s="525"/>
      <c r="P14" s="648">
        <f>P13+D13+J13</f>
        <v>448106.88000000006</v>
      </c>
      <c r="Q14" s="648">
        <f>Q13+E13+K13</f>
        <v>62248.789999999994</v>
      </c>
      <c r="R14" s="649">
        <f>R13+F13+L13</f>
        <v>83717235</v>
      </c>
      <c r="X14" s="470"/>
      <c r="Y14" s="525"/>
      <c r="AB14" s="525"/>
      <c r="AC14" s="489"/>
    </row>
    <row r="15" spans="1:29" ht="18.75" customHeight="1" thickBot="1">
      <c r="A15" s="449"/>
      <c r="C15" s="520"/>
      <c r="D15" s="520"/>
      <c r="E15" s="523"/>
      <c r="F15" s="523"/>
      <c r="G15" s="524"/>
      <c r="I15" s="525"/>
      <c r="J15" s="526"/>
      <c r="K15" s="652">
        <f>SUBTOTAL(9,K18:K135)</f>
        <v>448106.88000000006</v>
      </c>
      <c r="L15" s="137"/>
      <c r="M15" s="652" t="e">
        <f>SUBTOTAL(9,M18:M135)</f>
        <v>#REF!</v>
      </c>
      <c r="N15" s="525"/>
      <c r="Q15" s="525"/>
    </row>
    <row r="16" spans="1:29" ht="11.25" customHeight="1">
      <c r="A16" s="449"/>
      <c r="B16" s="527" t="s">
        <v>24</v>
      </c>
      <c r="C16" s="528" t="s">
        <v>25</v>
      </c>
      <c r="D16" s="528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7"/>
      <c r="R16" s="533" t="s">
        <v>1062</v>
      </c>
    </row>
    <row r="17" spans="1:19" ht="11.25" customHeight="1">
      <c r="A17" s="449"/>
      <c r="B17" s="534" t="s">
        <v>1063</v>
      </c>
      <c r="C17" s="535" t="s">
        <v>1064</v>
      </c>
      <c r="D17" s="535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81" t="s">
        <v>32</v>
      </c>
      <c r="Q17" s="2081"/>
      <c r="R17" s="486" t="s">
        <v>1062</v>
      </c>
    </row>
    <row r="18" spans="1:19" ht="11.25" customHeight="1">
      <c r="B18" s="657">
        <v>45378</v>
      </c>
      <c r="C18" s="658"/>
      <c r="D18" s="658"/>
      <c r="E18" s="660"/>
      <c r="F18" s="658"/>
      <c r="G18" s="661"/>
      <c r="H18" s="662"/>
      <c r="I18" s="658"/>
      <c r="J18" s="661"/>
      <c r="K18" s="682"/>
      <c r="L18" s="663"/>
      <c r="M18" s="679"/>
      <c r="N18" s="781">
        <v>135557.2799999998</v>
      </c>
      <c r="O18" s="782">
        <v>18930.55</v>
      </c>
      <c r="P18" s="681"/>
      <c r="Q18" s="798"/>
      <c r="R18" s="805"/>
      <c r="S18" s="645">
        <v>18930.55</v>
      </c>
    </row>
    <row r="19" spans="1:19" ht="11.25" customHeight="1">
      <c r="B19" s="783">
        <v>45378</v>
      </c>
      <c r="C19" s="784" t="s">
        <v>1257</v>
      </c>
      <c r="D19" s="784"/>
      <c r="E19" s="785">
        <v>1</v>
      </c>
      <c r="F19" s="786" t="s">
        <v>146</v>
      </c>
      <c r="G19" s="786" t="s">
        <v>147</v>
      </c>
      <c r="H19" s="787"/>
      <c r="I19" s="788"/>
      <c r="J19" s="789"/>
      <c r="K19" s="790">
        <v>1603.6</v>
      </c>
      <c r="L19" s="791" t="e">
        <f>'통장내역(환율표)'!#REF!</f>
        <v>#REF!</v>
      </c>
      <c r="M19" s="723" t="e">
        <f>K19/L19</f>
        <v>#REF!</v>
      </c>
      <c r="N19" s="792">
        <f>N18+H19-K19</f>
        <v>133953.67999999979</v>
      </c>
      <c r="O19" s="793" t="e">
        <f>O18+J19-M19</f>
        <v>#REF!</v>
      </c>
      <c r="P19" s="794" t="s">
        <v>1260</v>
      </c>
      <c r="Q19" s="799"/>
      <c r="R19" s="806" t="s">
        <v>1264</v>
      </c>
      <c r="S19" s="525" t="e">
        <f>S18-M19</f>
        <v>#REF!</v>
      </c>
    </row>
    <row r="20" spans="1:19" ht="11.25" customHeight="1">
      <c r="B20" s="744">
        <v>45394</v>
      </c>
      <c r="C20" s="745" t="s">
        <v>834</v>
      </c>
      <c r="D20" s="745"/>
      <c r="E20" s="746">
        <v>2</v>
      </c>
      <c r="F20" s="747"/>
      <c r="G20" s="747"/>
      <c r="H20" s="748">
        <v>460770.93</v>
      </c>
      <c r="I20" s="749"/>
      <c r="J20" s="748">
        <v>63837</v>
      </c>
      <c r="K20" s="750"/>
      <c r="L20" s="751"/>
      <c r="M20" s="692"/>
      <c r="N20" s="752">
        <f t="shared" ref="N20:N31" si="5">N19+H20-K20</f>
        <v>594724.60999999975</v>
      </c>
      <c r="O20" s="753" t="e">
        <f t="shared" ref="O20:O31" si="6">O19+J20-M20</f>
        <v>#REF!</v>
      </c>
      <c r="P20" s="754"/>
      <c r="Q20" s="800"/>
      <c r="R20" s="807"/>
      <c r="S20" s="525"/>
    </row>
    <row r="21" spans="1:19" ht="11.25" customHeight="1">
      <c r="B21" s="744">
        <v>45394</v>
      </c>
      <c r="C21" s="745" t="s">
        <v>250</v>
      </c>
      <c r="D21" s="745"/>
      <c r="E21" s="746">
        <v>2</v>
      </c>
      <c r="F21" s="747" t="s">
        <v>21</v>
      </c>
      <c r="G21" s="747"/>
      <c r="H21" s="748"/>
      <c r="I21" s="749"/>
      <c r="J21" s="748"/>
      <c r="K21" s="750"/>
      <c r="L21" s="751"/>
      <c r="M21" s="766">
        <v>51</v>
      </c>
      <c r="N21" s="752">
        <f t="shared" si="5"/>
        <v>594724.60999999975</v>
      </c>
      <c r="O21" s="753" t="e">
        <f t="shared" si="6"/>
        <v>#REF!</v>
      </c>
      <c r="P21" s="754" t="s">
        <v>1263</v>
      </c>
      <c r="Q21" s="800"/>
      <c r="R21" s="807"/>
      <c r="S21" s="525"/>
    </row>
    <row r="22" spans="1:19" ht="11.25" customHeight="1">
      <c r="B22" s="568">
        <v>45394</v>
      </c>
      <c r="C22" s="656" t="s">
        <v>304</v>
      </c>
      <c r="D22" s="656"/>
      <c r="E22" s="668">
        <v>3</v>
      </c>
      <c r="F22" s="569" t="s">
        <v>105</v>
      </c>
      <c r="G22" s="569" t="s">
        <v>1122</v>
      </c>
      <c r="H22" s="571"/>
      <c r="I22" s="686"/>
      <c r="J22" s="572"/>
      <c r="K22" s="637">
        <v>24297</v>
      </c>
      <c r="L22" s="542" t="e">
        <f>'통장내역(환율표)'!#REF!</f>
        <v>#REF!</v>
      </c>
      <c r="M22" s="723" t="e">
        <f t="shared" ref="M22:M31" si="7">K22/L22</f>
        <v>#REF!</v>
      </c>
      <c r="N22" s="687">
        <f t="shared" si="5"/>
        <v>570427.60999999975</v>
      </c>
      <c r="O22" s="688" t="e">
        <f t="shared" si="6"/>
        <v>#REF!</v>
      </c>
      <c r="P22" s="689" t="s">
        <v>1260</v>
      </c>
      <c r="Q22" s="801"/>
      <c r="R22" s="808"/>
      <c r="S22" s="525" t="e">
        <f>S19-M22</f>
        <v>#REF!</v>
      </c>
    </row>
    <row r="23" spans="1:19" ht="11.25" customHeight="1">
      <c r="B23" s="568">
        <v>45394</v>
      </c>
      <c r="C23" s="656" t="s">
        <v>250</v>
      </c>
      <c r="D23" s="656"/>
      <c r="E23" s="668">
        <v>4</v>
      </c>
      <c r="F23" s="569" t="s">
        <v>107</v>
      </c>
      <c r="G23" s="569"/>
      <c r="H23" s="571"/>
      <c r="I23" s="686"/>
      <c r="J23" s="572"/>
      <c r="K23" s="637">
        <v>7.2</v>
      </c>
      <c r="L23" s="542" t="e">
        <f>'통장내역(환율표)'!#REF!</f>
        <v>#REF!</v>
      </c>
      <c r="M23" s="723" t="e">
        <f t="shared" si="7"/>
        <v>#REF!</v>
      </c>
      <c r="N23" s="687">
        <f t="shared" si="5"/>
        <v>570420.4099999998</v>
      </c>
      <c r="O23" s="688" t="e">
        <f t="shared" si="6"/>
        <v>#REF!</v>
      </c>
      <c r="P23" s="689" t="s">
        <v>1260</v>
      </c>
      <c r="Q23" s="801"/>
      <c r="R23" s="808"/>
      <c r="S23" s="525" t="e">
        <f t="shared" ref="S23:S31" si="8">S22-M23</f>
        <v>#REF!</v>
      </c>
    </row>
    <row r="24" spans="1:19" ht="11.25" customHeight="1">
      <c r="B24" s="568">
        <v>45399</v>
      </c>
      <c r="C24" s="656" t="s">
        <v>1246</v>
      </c>
      <c r="D24" s="656"/>
      <c r="E24" s="668">
        <v>5</v>
      </c>
      <c r="F24" s="569" t="s">
        <v>107</v>
      </c>
      <c r="G24" s="569"/>
      <c r="H24" s="571"/>
      <c r="I24" s="686"/>
      <c r="J24" s="572"/>
      <c r="K24" s="637">
        <v>44555.76</v>
      </c>
      <c r="L24" s="542" t="e">
        <f>'통장내역(환율표)'!#REF!</f>
        <v>#REF!</v>
      </c>
      <c r="M24" s="723" t="e">
        <f t="shared" si="7"/>
        <v>#REF!</v>
      </c>
      <c r="N24" s="687">
        <f t="shared" si="5"/>
        <v>525864.64999999979</v>
      </c>
      <c r="O24" s="688" t="e">
        <f t="shared" si="6"/>
        <v>#REF!</v>
      </c>
      <c r="P24" s="689" t="s">
        <v>1260</v>
      </c>
      <c r="Q24" s="801"/>
      <c r="R24" s="808"/>
      <c r="S24" s="525" t="e">
        <f t="shared" si="8"/>
        <v>#REF!</v>
      </c>
    </row>
    <row r="25" spans="1:19" ht="11.25" customHeight="1">
      <c r="B25" s="568">
        <v>45405</v>
      </c>
      <c r="C25" s="656" t="s">
        <v>885</v>
      </c>
      <c r="D25" s="656"/>
      <c r="E25" s="668">
        <v>6</v>
      </c>
      <c r="F25" s="569" t="s">
        <v>107</v>
      </c>
      <c r="G25" s="569"/>
      <c r="H25" s="571"/>
      <c r="I25" s="686"/>
      <c r="J25" s="572"/>
      <c r="K25" s="637">
        <v>16000</v>
      </c>
      <c r="L25" s="542" t="e">
        <f>'통장내역(환율표)'!#REF!</f>
        <v>#REF!</v>
      </c>
      <c r="M25" s="723" t="e">
        <f t="shared" si="7"/>
        <v>#REF!</v>
      </c>
      <c r="N25" s="687">
        <f t="shared" si="5"/>
        <v>509864.64999999979</v>
      </c>
      <c r="O25" s="688" t="e">
        <f t="shared" si="6"/>
        <v>#REF!</v>
      </c>
      <c r="P25" s="689" t="s">
        <v>1260</v>
      </c>
      <c r="Q25" s="801"/>
      <c r="R25" s="809" t="s">
        <v>1110</v>
      </c>
      <c r="S25" s="525" t="e">
        <f t="shared" si="8"/>
        <v>#REF!</v>
      </c>
    </row>
    <row r="26" spans="1:19" ht="11.25" customHeight="1">
      <c r="B26" s="568">
        <v>45405</v>
      </c>
      <c r="C26" s="656" t="s">
        <v>938</v>
      </c>
      <c r="D26" s="656"/>
      <c r="E26" s="668">
        <v>6</v>
      </c>
      <c r="F26" s="569" t="s">
        <v>107</v>
      </c>
      <c r="G26" s="569"/>
      <c r="H26" s="571"/>
      <c r="I26" s="686"/>
      <c r="J26" s="572"/>
      <c r="K26" s="637">
        <v>24000</v>
      </c>
      <c r="L26" s="542" t="e">
        <f>'통장내역(환율표)'!#REF!</f>
        <v>#REF!</v>
      </c>
      <c r="M26" s="723" t="e">
        <f t="shared" si="7"/>
        <v>#REF!</v>
      </c>
      <c r="N26" s="687">
        <f t="shared" si="5"/>
        <v>485864.64999999979</v>
      </c>
      <c r="O26" s="688" t="e">
        <f t="shared" si="6"/>
        <v>#REF!</v>
      </c>
      <c r="P26" s="689" t="s">
        <v>1260</v>
      </c>
      <c r="Q26" s="801"/>
      <c r="R26" s="809" t="s">
        <v>1110</v>
      </c>
      <c r="S26" s="525" t="e">
        <f t="shared" si="8"/>
        <v>#REF!</v>
      </c>
    </row>
    <row r="27" spans="1:19" ht="11.25" customHeight="1">
      <c r="B27" s="568">
        <v>45405</v>
      </c>
      <c r="C27" s="656" t="s">
        <v>887</v>
      </c>
      <c r="D27" s="656"/>
      <c r="E27" s="668">
        <v>6</v>
      </c>
      <c r="F27" s="569" t="s">
        <v>107</v>
      </c>
      <c r="G27" s="569"/>
      <c r="H27" s="571"/>
      <c r="I27" s="686"/>
      <c r="J27" s="572"/>
      <c r="K27" s="637">
        <v>5125.99</v>
      </c>
      <c r="L27" s="542" t="e">
        <f>'통장내역(환율표)'!#REF!</f>
        <v>#REF!</v>
      </c>
      <c r="M27" s="723" t="e">
        <f t="shared" si="7"/>
        <v>#REF!</v>
      </c>
      <c r="N27" s="687">
        <f t="shared" si="5"/>
        <v>480738.6599999998</v>
      </c>
      <c r="O27" s="688" t="e">
        <f t="shared" si="6"/>
        <v>#REF!</v>
      </c>
      <c r="P27" s="689" t="s">
        <v>1260</v>
      </c>
      <c r="Q27" s="801"/>
      <c r="R27" s="809" t="s">
        <v>1110</v>
      </c>
      <c r="S27" s="525" t="e">
        <f t="shared" si="8"/>
        <v>#REF!</v>
      </c>
    </row>
    <row r="28" spans="1:19" ht="11.25" customHeight="1">
      <c r="B28" s="568">
        <v>45405</v>
      </c>
      <c r="C28" s="656" t="s">
        <v>888</v>
      </c>
      <c r="D28" s="656"/>
      <c r="E28" s="668">
        <v>6</v>
      </c>
      <c r="F28" s="569" t="s">
        <v>107</v>
      </c>
      <c r="G28" s="569"/>
      <c r="H28" s="571"/>
      <c r="I28" s="686"/>
      <c r="J28" s="572"/>
      <c r="K28" s="637">
        <v>3336.8000000000011</v>
      </c>
      <c r="L28" s="542" t="e">
        <f>'통장내역(환율표)'!#REF!</f>
        <v>#REF!</v>
      </c>
      <c r="M28" s="723" t="e">
        <f t="shared" si="7"/>
        <v>#REF!</v>
      </c>
      <c r="N28" s="687">
        <f t="shared" si="5"/>
        <v>477401.85999999981</v>
      </c>
      <c r="O28" s="688" t="e">
        <f t="shared" si="6"/>
        <v>#REF!</v>
      </c>
      <c r="P28" s="689" t="s">
        <v>1260</v>
      </c>
      <c r="Q28" s="801"/>
      <c r="R28" s="809" t="s">
        <v>1110</v>
      </c>
      <c r="S28" s="525" t="e">
        <f t="shared" si="8"/>
        <v>#REF!</v>
      </c>
    </row>
    <row r="29" spans="1:19" ht="11.25" customHeight="1">
      <c r="B29" s="568">
        <v>45405</v>
      </c>
      <c r="C29" s="656" t="s">
        <v>892</v>
      </c>
      <c r="D29" s="656"/>
      <c r="E29" s="668">
        <v>6</v>
      </c>
      <c r="F29" s="569" t="s">
        <v>107</v>
      </c>
      <c r="G29" s="569"/>
      <c r="H29" s="571"/>
      <c r="I29" s="686"/>
      <c r="J29" s="572"/>
      <c r="K29" s="637">
        <v>300</v>
      </c>
      <c r="L29" s="542" t="e">
        <f>'통장내역(환율표)'!#REF!</f>
        <v>#REF!</v>
      </c>
      <c r="M29" s="723" t="e">
        <f t="shared" si="7"/>
        <v>#REF!</v>
      </c>
      <c r="N29" s="687">
        <f t="shared" si="5"/>
        <v>477101.85999999981</v>
      </c>
      <c r="O29" s="688" t="e">
        <f t="shared" si="6"/>
        <v>#REF!</v>
      </c>
      <c r="P29" s="689" t="s">
        <v>1260</v>
      </c>
      <c r="Q29" s="801"/>
      <c r="R29" s="809" t="s">
        <v>1110</v>
      </c>
      <c r="S29" s="525" t="e">
        <f t="shared" si="8"/>
        <v>#REF!</v>
      </c>
    </row>
    <row r="30" spans="1:19" ht="11.25" customHeight="1">
      <c r="B30" s="568">
        <v>45405</v>
      </c>
      <c r="C30" s="656" t="s">
        <v>885</v>
      </c>
      <c r="D30" s="656"/>
      <c r="E30" s="668">
        <v>6</v>
      </c>
      <c r="F30" s="569" t="s">
        <v>107</v>
      </c>
      <c r="G30" s="569"/>
      <c r="H30" s="571"/>
      <c r="I30" s="686"/>
      <c r="J30" s="572"/>
      <c r="K30" s="637">
        <v>15000</v>
      </c>
      <c r="L30" s="542" t="e">
        <f>'통장내역(환율표)'!#REF!</f>
        <v>#REF!</v>
      </c>
      <c r="M30" s="723" t="e">
        <f t="shared" si="7"/>
        <v>#REF!</v>
      </c>
      <c r="N30" s="687">
        <f t="shared" si="5"/>
        <v>462101.85999999981</v>
      </c>
      <c r="O30" s="688" t="e">
        <f t="shared" si="6"/>
        <v>#REF!</v>
      </c>
      <c r="P30" s="689" t="s">
        <v>1260</v>
      </c>
      <c r="Q30" s="801"/>
      <c r="R30" s="809" t="s">
        <v>1111</v>
      </c>
      <c r="S30" s="525" t="e">
        <f t="shared" si="8"/>
        <v>#REF!</v>
      </c>
    </row>
    <row r="31" spans="1:19" ht="11.25" customHeight="1">
      <c r="B31" s="755">
        <v>45405</v>
      </c>
      <c r="C31" s="756" t="s">
        <v>938</v>
      </c>
      <c r="D31" s="756"/>
      <c r="E31" s="757">
        <v>6</v>
      </c>
      <c r="F31" s="758" t="s">
        <v>107</v>
      </c>
      <c r="G31" s="758"/>
      <c r="H31" s="759"/>
      <c r="I31" s="760"/>
      <c r="J31" s="761"/>
      <c r="K31" s="762">
        <v>1330.9299999997893</v>
      </c>
      <c r="L31" s="763" t="e">
        <f>'통장내역(환율표)'!#REF!</f>
        <v>#REF!</v>
      </c>
      <c r="M31" s="723" t="e">
        <f t="shared" si="7"/>
        <v>#REF!</v>
      </c>
      <c r="N31" s="764">
        <f t="shared" si="5"/>
        <v>460770.93000000005</v>
      </c>
      <c r="O31" s="740" t="e">
        <f t="shared" si="6"/>
        <v>#REF!</v>
      </c>
      <c r="P31" s="765" t="s">
        <v>1260</v>
      </c>
      <c r="Q31" s="802"/>
      <c r="R31" s="810" t="s">
        <v>1111</v>
      </c>
      <c r="S31" s="828" t="e">
        <f t="shared" si="8"/>
        <v>#REF!</v>
      </c>
    </row>
    <row r="32" spans="1:19" ht="11.25" customHeight="1">
      <c r="B32" s="755"/>
      <c r="C32" s="829" t="s">
        <v>1270</v>
      </c>
      <c r="D32" s="829"/>
      <c r="E32" s="830">
        <v>6</v>
      </c>
      <c r="F32" s="831" t="s">
        <v>107</v>
      </c>
      <c r="G32" s="831"/>
      <c r="H32" s="832"/>
      <c r="I32" s="833"/>
      <c r="J32" s="834"/>
      <c r="K32" s="835"/>
      <c r="L32" s="836"/>
      <c r="M32" s="837">
        <v>11.444957418468221</v>
      </c>
      <c r="N32" s="838">
        <f t="shared" ref="N32:N95" si="9">N31+H32-K32</f>
        <v>460770.93000000005</v>
      </c>
      <c r="O32" s="839" t="e">
        <f t="shared" ref="O32:O95" si="10">O31+J32-M32</f>
        <v>#REF!</v>
      </c>
      <c r="P32" s="765" t="s">
        <v>1260</v>
      </c>
      <c r="Q32" s="840"/>
      <c r="R32" s="841" t="s">
        <v>1271</v>
      </c>
      <c r="S32" s="828"/>
    </row>
    <row r="33" spans="2:19" ht="11.25" customHeight="1">
      <c r="B33" s="755">
        <v>45405</v>
      </c>
      <c r="C33" s="756" t="s">
        <v>938</v>
      </c>
      <c r="D33" s="756"/>
      <c r="E33" s="757">
        <v>6</v>
      </c>
      <c r="F33" s="758" t="s">
        <v>107</v>
      </c>
      <c r="G33" s="758"/>
      <c r="H33" s="759"/>
      <c r="I33" s="760"/>
      <c r="J33" s="761"/>
      <c r="K33" s="762">
        <f>22000-K31</f>
        <v>20669.070000000211</v>
      </c>
      <c r="L33" s="763" t="e">
        <f>'통장내역(환율표)'!#REF!</f>
        <v>#REF!</v>
      </c>
      <c r="M33" s="766" t="e">
        <f t="shared" ref="M33:M96" si="11">K33/L33</f>
        <v>#REF!</v>
      </c>
      <c r="N33" s="764">
        <f t="shared" si="9"/>
        <v>440101.85999999987</v>
      </c>
      <c r="O33" s="740" t="e">
        <f t="shared" si="10"/>
        <v>#REF!</v>
      </c>
      <c r="P33" s="765" t="s">
        <v>1262</v>
      </c>
      <c r="Q33" s="802"/>
      <c r="R33" s="810" t="s">
        <v>1111</v>
      </c>
      <c r="S33" s="525" t="e">
        <f>63786-M33</f>
        <v>#REF!</v>
      </c>
    </row>
    <row r="34" spans="2:19" ht="11.25" customHeight="1">
      <c r="B34" s="568">
        <v>45405</v>
      </c>
      <c r="C34" s="656" t="s">
        <v>887</v>
      </c>
      <c r="D34" s="656"/>
      <c r="E34" s="668">
        <v>6</v>
      </c>
      <c r="F34" s="569" t="s">
        <v>107</v>
      </c>
      <c r="G34" s="569"/>
      <c r="H34" s="571"/>
      <c r="I34" s="686"/>
      <c r="J34" s="572"/>
      <c r="K34" s="637">
        <v>8558.1899999999987</v>
      </c>
      <c r="L34" s="542" t="e">
        <f>'통장내역(환율표)'!#REF!</f>
        <v>#REF!</v>
      </c>
      <c r="M34" s="766" t="e">
        <f t="shared" si="11"/>
        <v>#REF!</v>
      </c>
      <c r="N34" s="687">
        <f t="shared" si="9"/>
        <v>431543.66999999987</v>
      </c>
      <c r="O34" s="688" t="e">
        <f t="shared" si="10"/>
        <v>#REF!</v>
      </c>
      <c r="P34" s="689" t="s">
        <v>1262</v>
      </c>
      <c r="Q34" s="801"/>
      <c r="R34" s="809" t="s">
        <v>1111</v>
      </c>
      <c r="S34" s="525" t="e">
        <f t="shared" ref="S34:S97" si="12">S33-M34</f>
        <v>#REF!</v>
      </c>
    </row>
    <row r="35" spans="2:19" ht="11.25" customHeight="1">
      <c r="B35" s="568">
        <v>45405</v>
      </c>
      <c r="C35" s="656" t="s">
        <v>888</v>
      </c>
      <c r="D35" s="656"/>
      <c r="E35" s="668">
        <v>6</v>
      </c>
      <c r="F35" s="569" t="s">
        <v>107</v>
      </c>
      <c r="G35" s="569"/>
      <c r="H35" s="571"/>
      <c r="I35" s="686"/>
      <c r="J35" s="637"/>
      <c r="K35" s="637">
        <v>2867</v>
      </c>
      <c r="L35" s="542" t="e">
        <f>'통장내역(환율표)'!#REF!</f>
        <v>#REF!</v>
      </c>
      <c r="M35" s="766" t="e">
        <f t="shared" si="11"/>
        <v>#REF!</v>
      </c>
      <c r="N35" s="687">
        <f t="shared" si="9"/>
        <v>428676.66999999987</v>
      </c>
      <c r="O35" s="688" t="e">
        <f t="shared" si="10"/>
        <v>#REF!</v>
      </c>
      <c r="P35" s="689" t="s">
        <v>1262</v>
      </c>
      <c r="Q35" s="801"/>
      <c r="R35" s="809" t="s">
        <v>1111</v>
      </c>
      <c r="S35" s="525" t="e">
        <f t="shared" si="12"/>
        <v>#REF!</v>
      </c>
    </row>
    <row r="36" spans="2:19" ht="11.25" customHeight="1">
      <c r="B36" s="568">
        <v>45405</v>
      </c>
      <c r="C36" s="656" t="s">
        <v>892</v>
      </c>
      <c r="D36" s="656"/>
      <c r="E36" s="668">
        <v>6</v>
      </c>
      <c r="F36" s="569" t="s">
        <v>107</v>
      </c>
      <c r="G36" s="569"/>
      <c r="H36" s="571"/>
      <c r="I36" s="686"/>
      <c r="J36" s="572"/>
      <c r="K36" s="637">
        <v>300</v>
      </c>
      <c r="L36" s="542" t="e">
        <f>'통장내역(환율표)'!#REF!</f>
        <v>#REF!</v>
      </c>
      <c r="M36" s="766" t="e">
        <f t="shared" si="11"/>
        <v>#REF!</v>
      </c>
      <c r="N36" s="687">
        <f t="shared" si="9"/>
        <v>428376.66999999987</v>
      </c>
      <c r="O36" s="688" t="e">
        <f t="shared" si="10"/>
        <v>#REF!</v>
      </c>
      <c r="P36" s="689" t="s">
        <v>1262</v>
      </c>
      <c r="Q36" s="801"/>
      <c r="R36" s="809" t="s">
        <v>1111</v>
      </c>
      <c r="S36" s="525" t="e">
        <f t="shared" si="12"/>
        <v>#REF!</v>
      </c>
    </row>
    <row r="37" spans="2:19" ht="11.25" customHeight="1">
      <c r="B37" s="568">
        <v>45405</v>
      </c>
      <c r="C37" s="656" t="s">
        <v>891</v>
      </c>
      <c r="D37" s="656"/>
      <c r="E37" s="668">
        <v>6</v>
      </c>
      <c r="F37" s="569" t="s">
        <v>107</v>
      </c>
      <c r="G37" s="569"/>
      <c r="H37" s="571"/>
      <c r="I37" s="686"/>
      <c r="J37" s="572"/>
      <c r="K37" s="637">
        <v>25000</v>
      </c>
      <c r="L37" s="542" t="e">
        <f>'통장내역(환율표)'!#REF!</f>
        <v>#REF!</v>
      </c>
      <c r="M37" s="766" t="e">
        <f t="shared" si="11"/>
        <v>#REF!</v>
      </c>
      <c r="N37" s="687">
        <f t="shared" si="9"/>
        <v>403376.66999999987</v>
      </c>
      <c r="O37" s="688" t="e">
        <f t="shared" si="10"/>
        <v>#REF!</v>
      </c>
      <c r="P37" s="689" t="s">
        <v>1262</v>
      </c>
      <c r="Q37" s="801"/>
      <c r="R37" s="809" t="s">
        <v>1112</v>
      </c>
      <c r="S37" s="525" t="e">
        <f t="shared" si="12"/>
        <v>#REF!</v>
      </c>
    </row>
    <row r="38" spans="2:19" ht="11.25" customHeight="1">
      <c r="B38" s="568">
        <v>45405</v>
      </c>
      <c r="C38" s="656" t="s">
        <v>1272</v>
      </c>
      <c r="D38" s="656"/>
      <c r="E38" s="668">
        <v>6</v>
      </c>
      <c r="F38" s="569" t="s">
        <v>107</v>
      </c>
      <c r="G38" s="569"/>
      <c r="H38" s="571"/>
      <c r="I38" s="686"/>
      <c r="J38" s="572"/>
      <c r="K38" s="637">
        <v>12500</v>
      </c>
      <c r="L38" s="542" t="e">
        <f>'통장내역(환율표)'!#REF!</f>
        <v>#REF!</v>
      </c>
      <c r="M38" s="766" t="e">
        <f t="shared" si="11"/>
        <v>#REF!</v>
      </c>
      <c r="N38" s="687">
        <f t="shared" si="9"/>
        <v>390876.66999999987</v>
      </c>
      <c r="O38" s="688" t="e">
        <f t="shared" si="10"/>
        <v>#REF!</v>
      </c>
      <c r="P38" s="689" t="s">
        <v>1262</v>
      </c>
      <c r="Q38" s="801"/>
      <c r="R38" s="809" t="s">
        <v>1112</v>
      </c>
      <c r="S38" s="525" t="e">
        <f t="shared" si="12"/>
        <v>#REF!</v>
      </c>
    </row>
    <row r="39" spans="2:19" ht="11.25" customHeight="1">
      <c r="B39" s="568">
        <v>45405</v>
      </c>
      <c r="C39" s="669" t="s">
        <v>939</v>
      </c>
      <c r="D39" s="669"/>
      <c r="E39" s="668">
        <v>6</v>
      </c>
      <c r="F39" s="569" t="s">
        <v>107</v>
      </c>
      <c r="G39" s="569"/>
      <c r="H39" s="571"/>
      <c r="I39" s="570" t="s">
        <v>1046</v>
      </c>
      <c r="J39" s="572"/>
      <c r="K39" s="697">
        <v>6936.19</v>
      </c>
      <c r="L39" s="542" t="e">
        <f>'통장내역(환율표)'!#REF!</f>
        <v>#REF!</v>
      </c>
      <c r="M39" s="766" t="e">
        <f t="shared" si="11"/>
        <v>#REF!</v>
      </c>
      <c r="N39" s="687">
        <f t="shared" si="9"/>
        <v>383940.47999999986</v>
      </c>
      <c r="O39" s="688" t="e">
        <f t="shared" si="10"/>
        <v>#REF!</v>
      </c>
      <c r="P39" s="608" t="s">
        <v>1262</v>
      </c>
      <c r="Q39" s="803"/>
      <c r="R39" s="809" t="s">
        <v>1112</v>
      </c>
      <c r="S39" s="525" t="e">
        <f t="shared" si="12"/>
        <v>#REF!</v>
      </c>
    </row>
    <row r="40" spans="2:19" ht="11.25" customHeight="1">
      <c r="B40" s="568">
        <v>45405</v>
      </c>
      <c r="C40" s="571" t="s">
        <v>892</v>
      </c>
      <c r="D40" s="571"/>
      <c r="E40" s="668">
        <v>6</v>
      </c>
      <c r="F40" s="569" t="s">
        <v>107</v>
      </c>
      <c r="G40" s="569"/>
      <c r="H40" s="571"/>
      <c r="I40" s="570"/>
      <c r="J40" s="572"/>
      <c r="K40" s="697">
        <v>300</v>
      </c>
      <c r="L40" s="542" t="e">
        <f>'통장내역(환율표)'!#REF!</f>
        <v>#REF!</v>
      </c>
      <c r="M40" s="766" t="e">
        <f t="shared" si="11"/>
        <v>#REF!</v>
      </c>
      <c r="N40" s="780">
        <f t="shared" si="9"/>
        <v>383640.47999999986</v>
      </c>
      <c r="O40" s="688" t="e">
        <f t="shared" si="10"/>
        <v>#REF!</v>
      </c>
      <c r="P40" s="608" t="s">
        <v>1262</v>
      </c>
      <c r="Q40" s="803"/>
      <c r="R40" s="809" t="s">
        <v>1112</v>
      </c>
      <c r="S40" s="525" t="e">
        <f t="shared" si="12"/>
        <v>#REF!</v>
      </c>
    </row>
    <row r="41" spans="2:19" ht="11.25" customHeight="1">
      <c r="B41" s="568">
        <v>45405</v>
      </c>
      <c r="C41" s="669" t="s">
        <v>983</v>
      </c>
      <c r="D41" s="669"/>
      <c r="E41" s="668">
        <v>6</v>
      </c>
      <c r="F41" s="569" t="s">
        <v>107</v>
      </c>
      <c r="G41" s="569"/>
      <c r="H41" s="571"/>
      <c r="I41" s="570"/>
      <c r="J41" s="572"/>
      <c r="K41" s="596">
        <v>700</v>
      </c>
      <c r="L41" s="542" t="e">
        <f>'통장내역(환율표)'!#REF!</f>
        <v>#REF!</v>
      </c>
      <c r="M41" s="766" t="e">
        <f t="shared" si="11"/>
        <v>#REF!</v>
      </c>
      <c r="N41" s="780">
        <f t="shared" si="9"/>
        <v>382940.47999999986</v>
      </c>
      <c r="O41" s="688" t="e">
        <f t="shared" si="10"/>
        <v>#REF!</v>
      </c>
      <c r="P41" s="608" t="s">
        <v>1262</v>
      </c>
      <c r="Q41" s="803"/>
      <c r="R41" s="809" t="s">
        <v>1112</v>
      </c>
      <c r="S41" s="525" t="e">
        <f t="shared" si="12"/>
        <v>#REF!</v>
      </c>
    </row>
    <row r="42" spans="2:19" ht="11.25" customHeight="1">
      <c r="B42" s="568">
        <v>45405</v>
      </c>
      <c r="C42" s="669" t="s">
        <v>891</v>
      </c>
      <c r="D42" s="669"/>
      <c r="E42" s="668">
        <v>6</v>
      </c>
      <c r="F42" s="569" t="s">
        <v>107</v>
      </c>
      <c r="G42" s="569"/>
      <c r="H42" s="571"/>
      <c r="I42" s="570"/>
      <c r="J42" s="572"/>
      <c r="K42" s="596">
        <v>13000</v>
      </c>
      <c r="L42" s="542" t="e">
        <f>'통장내역(환율표)'!#REF!</f>
        <v>#REF!</v>
      </c>
      <c r="M42" s="766" t="e">
        <f t="shared" si="11"/>
        <v>#REF!</v>
      </c>
      <c r="N42" s="780">
        <f t="shared" si="9"/>
        <v>369940.47999999986</v>
      </c>
      <c r="O42" s="688" t="e">
        <f t="shared" si="10"/>
        <v>#REF!</v>
      </c>
      <c r="P42" s="608" t="s">
        <v>1262</v>
      </c>
      <c r="Q42" s="803"/>
      <c r="R42" s="811" t="s">
        <v>1113</v>
      </c>
      <c r="S42" s="525" t="e">
        <f t="shared" si="12"/>
        <v>#REF!</v>
      </c>
    </row>
    <row r="43" spans="2:19" ht="11.25" customHeight="1">
      <c r="B43" s="568">
        <v>45405</v>
      </c>
      <c r="C43" s="669" t="s">
        <v>1109</v>
      </c>
      <c r="D43" s="669"/>
      <c r="E43" s="668">
        <v>6</v>
      </c>
      <c r="F43" s="569" t="s">
        <v>107</v>
      </c>
      <c r="G43" s="569"/>
      <c r="H43" s="571"/>
      <c r="I43" s="570"/>
      <c r="J43" s="572"/>
      <c r="K43" s="638">
        <v>4000</v>
      </c>
      <c r="L43" s="542" t="e">
        <f>'통장내역(환율표)'!#REF!</f>
        <v>#REF!</v>
      </c>
      <c r="M43" s="766" t="e">
        <f t="shared" si="11"/>
        <v>#REF!</v>
      </c>
      <c r="N43" s="780">
        <f t="shared" si="9"/>
        <v>365940.47999999986</v>
      </c>
      <c r="O43" s="688" t="e">
        <f t="shared" si="10"/>
        <v>#REF!</v>
      </c>
      <c r="P43" s="608" t="s">
        <v>1262</v>
      </c>
      <c r="Q43" s="803"/>
      <c r="R43" s="811" t="s">
        <v>1113</v>
      </c>
      <c r="S43" s="525" t="e">
        <f t="shared" si="12"/>
        <v>#REF!</v>
      </c>
    </row>
    <row r="44" spans="2:19" ht="11.25" customHeight="1">
      <c r="B44" s="568">
        <v>45405</v>
      </c>
      <c r="C44" s="669" t="s">
        <v>939</v>
      </c>
      <c r="D44" s="669"/>
      <c r="E44" s="668">
        <v>6</v>
      </c>
      <c r="F44" s="569" t="s">
        <v>107</v>
      </c>
      <c r="G44" s="569"/>
      <c r="H44" s="571"/>
      <c r="I44" s="570"/>
      <c r="J44" s="572"/>
      <c r="K44" s="638">
        <v>3041.59</v>
      </c>
      <c r="L44" s="542" t="e">
        <f>'통장내역(환율표)'!#REF!</f>
        <v>#REF!</v>
      </c>
      <c r="M44" s="766" t="e">
        <f t="shared" si="11"/>
        <v>#REF!</v>
      </c>
      <c r="N44" s="780">
        <f t="shared" si="9"/>
        <v>362898.88999999984</v>
      </c>
      <c r="O44" s="688" t="e">
        <f t="shared" si="10"/>
        <v>#REF!</v>
      </c>
      <c r="P44" s="608" t="s">
        <v>1262</v>
      </c>
      <c r="Q44" s="803"/>
      <c r="R44" s="811" t="s">
        <v>1113</v>
      </c>
      <c r="S44" s="525" t="e">
        <f t="shared" si="12"/>
        <v>#REF!</v>
      </c>
    </row>
    <row r="45" spans="2:19" ht="11.25" customHeight="1">
      <c r="B45" s="568">
        <v>45405</v>
      </c>
      <c r="C45" s="669" t="s">
        <v>892</v>
      </c>
      <c r="D45" s="669"/>
      <c r="E45" s="668">
        <v>6</v>
      </c>
      <c r="F45" s="569" t="s">
        <v>107</v>
      </c>
      <c r="G45" s="569"/>
      <c r="H45" s="571"/>
      <c r="I45" s="570"/>
      <c r="J45" s="572"/>
      <c r="K45" s="638">
        <v>300</v>
      </c>
      <c r="L45" s="542" t="e">
        <f>'통장내역(환율표)'!#REF!</f>
        <v>#REF!</v>
      </c>
      <c r="M45" s="766" t="e">
        <f t="shared" si="11"/>
        <v>#REF!</v>
      </c>
      <c r="N45" s="780">
        <f t="shared" si="9"/>
        <v>362598.88999999984</v>
      </c>
      <c r="O45" s="688" t="e">
        <f t="shared" si="10"/>
        <v>#REF!</v>
      </c>
      <c r="P45" s="608" t="s">
        <v>1262</v>
      </c>
      <c r="Q45" s="803"/>
      <c r="R45" s="811" t="s">
        <v>1113</v>
      </c>
      <c r="S45" s="525" t="e">
        <f t="shared" si="12"/>
        <v>#REF!</v>
      </c>
    </row>
    <row r="46" spans="2:19" ht="11.25" customHeight="1">
      <c r="B46" s="568">
        <v>45405</v>
      </c>
      <c r="C46" s="669" t="s">
        <v>983</v>
      </c>
      <c r="D46" s="669"/>
      <c r="E46" s="668">
        <v>6</v>
      </c>
      <c r="F46" s="569" t="s">
        <v>107</v>
      </c>
      <c r="G46" s="569"/>
      <c r="H46" s="571"/>
      <c r="I46" s="570"/>
      <c r="J46" s="572"/>
      <c r="K46" s="639">
        <v>1500</v>
      </c>
      <c r="L46" s="542" t="e">
        <f>'통장내역(환율표)'!#REF!</f>
        <v>#REF!</v>
      </c>
      <c r="M46" s="766" t="e">
        <f t="shared" si="11"/>
        <v>#REF!</v>
      </c>
      <c r="N46" s="780">
        <f t="shared" si="9"/>
        <v>361098.88999999984</v>
      </c>
      <c r="O46" s="688" t="e">
        <f t="shared" si="10"/>
        <v>#REF!</v>
      </c>
      <c r="P46" s="608" t="s">
        <v>1262</v>
      </c>
      <c r="Q46" s="803"/>
      <c r="R46" s="811" t="s">
        <v>1113</v>
      </c>
      <c r="S46" s="525" t="e">
        <f t="shared" si="12"/>
        <v>#REF!</v>
      </c>
    </row>
    <row r="47" spans="2:19" ht="11.25" customHeight="1">
      <c r="B47" s="568">
        <v>45405</v>
      </c>
      <c r="C47" s="669" t="s">
        <v>891</v>
      </c>
      <c r="D47" s="669"/>
      <c r="E47" s="668">
        <v>6</v>
      </c>
      <c r="F47" s="569" t="s">
        <v>107</v>
      </c>
      <c r="G47" s="569"/>
      <c r="H47" s="571"/>
      <c r="I47" s="570"/>
      <c r="J47" s="572"/>
      <c r="K47" s="596">
        <v>25000</v>
      </c>
      <c r="L47" s="542" t="e">
        <f>'통장내역(환율표)'!#REF!</f>
        <v>#REF!</v>
      </c>
      <c r="M47" s="766" t="e">
        <f t="shared" si="11"/>
        <v>#REF!</v>
      </c>
      <c r="N47" s="780">
        <f t="shared" si="9"/>
        <v>336098.88999999984</v>
      </c>
      <c r="O47" s="688" t="e">
        <f t="shared" si="10"/>
        <v>#REF!</v>
      </c>
      <c r="P47" s="608" t="s">
        <v>1262</v>
      </c>
      <c r="Q47" s="803"/>
      <c r="R47" s="809" t="s">
        <v>1114</v>
      </c>
      <c r="S47" s="525" t="e">
        <f t="shared" si="12"/>
        <v>#REF!</v>
      </c>
    </row>
    <row r="48" spans="2:19" ht="11.25" customHeight="1">
      <c r="B48" s="568">
        <v>45405</v>
      </c>
      <c r="C48" s="669" t="s">
        <v>1109</v>
      </c>
      <c r="D48" s="669"/>
      <c r="E48" s="668">
        <v>6</v>
      </c>
      <c r="F48" s="569" t="s">
        <v>107</v>
      </c>
      <c r="G48" s="569"/>
      <c r="H48" s="571"/>
      <c r="I48" s="570"/>
      <c r="J48" s="572"/>
      <c r="K48" s="596">
        <v>10000</v>
      </c>
      <c r="L48" s="542" t="e">
        <f>'통장내역(환율표)'!#REF!</f>
        <v>#REF!</v>
      </c>
      <c r="M48" s="766" t="e">
        <f t="shared" si="11"/>
        <v>#REF!</v>
      </c>
      <c r="N48" s="780">
        <f t="shared" si="9"/>
        <v>326098.88999999984</v>
      </c>
      <c r="O48" s="688" t="e">
        <f t="shared" si="10"/>
        <v>#REF!</v>
      </c>
      <c r="P48" s="608" t="s">
        <v>1262</v>
      </c>
      <c r="Q48" s="803"/>
      <c r="R48" s="809" t="s">
        <v>1114</v>
      </c>
      <c r="S48" s="525" t="e">
        <f t="shared" si="12"/>
        <v>#REF!</v>
      </c>
    </row>
    <row r="49" spans="2:19" ht="11.25" customHeight="1">
      <c r="B49" s="568">
        <v>45405</v>
      </c>
      <c r="C49" s="669" t="s">
        <v>939</v>
      </c>
      <c r="D49" s="669"/>
      <c r="E49" s="668">
        <v>6</v>
      </c>
      <c r="F49" s="569" t="s">
        <v>107</v>
      </c>
      <c r="G49" s="569"/>
      <c r="H49" s="571"/>
      <c r="I49" s="570"/>
      <c r="J49" s="572"/>
      <c r="K49" s="596">
        <v>6936.19</v>
      </c>
      <c r="L49" s="542" t="e">
        <f>'통장내역(환율표)'!#REF!</f>
        <v>#REF!</v>
      </c>
      <c r="M49" s="766" t="e">
        <f t="shared" si="11"/>
        <v>#REF!</v>
      </c>
      <c r="N49" s="780">
        <f t="shared" si="9"/>
        <v>319162.69999999984</v>
      </c>
      <c r="O49" s="688" t="e">
        <f t="shared" si="10"/>
        <v>#REF!</v>
      </c>
      <c r="P49" s="608" t="s">
        <v>1262</v>
      </c>
      <c r="Q49" s="803"/>
      <c r="R49" s="809" t="s">
        <v>1114</v>
      </c>
      <c r="S49" s="525" t="e">
        <f t="shared" si="12"/>
        <v>#REF!</v>
      </c>
    </row>
    <row r="50" spans="2:19" ht="11.25" customHeight="1">
      <c r="B50" s="568">
        <v>45405</v>
      </c>
      <c r="C50" s="669" t="s">
        <v>892</v>
      </c>
      <c r="D50" s="669"/>
      <c r="E50" s="668">
        <v>6</v>
      </c>
      <c r="F50" s="569" t="s">
        <v>107</v>
      </c>
      <c r="G50" s="569"/>
      <c r="H50" s="571"/>
      <c r="I50" s="570"/>
      <c r="J50" s="572"/>
      <c r="K50" s="596">
        <v>300</v>
      </c>
      <c r="L50" s="542" t="e">
        <f>'통장내역(환율표)'!#REF!</f>
        <v>#REF!</v>
      </c>
      <c r="M50" s="766" t="e">
        <f t="shared" si="11"/>
        <v>#REF!</v>
      </c>
      <c r="N50" s="780">
        <f t="shared" si="9"/>
        <v>318862.69999999984</v>
      </c>
      <c r="O50" s="688" t="e">
        <f t="shared" si="10"/>
        <v>#REF!</v>
      </c>
      <c r="P50" s="608" t="s">
        <v>1262</v>
      </c>
      <c r="Q50" s="803"/>
      <c r="R50" s="809" t="s">
        <v>1114</v>
      </c>
      <c r="S50" s="525" t="e">
        <f t="shared" si="12"/>
        <v>#REF!</v>
      </c>
    </row>
    <row r="51" spans="2:19" ht="11.25" customHeight="1">
      <c r="B51" s="568">
        <v>45405</v>
      </c>
      <c r="C51" s="669" t="s">
        <v>983</v>
      </c>
      <c r="D51" s="669"/>
      <c r="E51" s="668">
        <v>6</v>
      </c>
      <c r="F51" s="569" t="s">
        <v>107</v>
      </c>
      <c r="G51" s="569"/>
      <c r="H51" s="571"/>
      <c r="I51" s="570"/>
      <c r="J51" s="572"/>
      <c r="K51" s="596">
        <v>600</v>
      </c>
      <c r="L51" s="542" t="e">
        <f>'통장내역(환율표)'!#REF!</f>
        <v>#REF!</v>
      </c>
      <c r="M51" s="766" t="e">
        <f t="shared" si="11"/>
        <v>#REF!</v>
      </c>
      <c r="N51" s="780">
        <f t="shared" si="9"/>
        <v>318262.69999999984</v>
      </c>
      <c r="O51" s="688" t="e">
        <f t="shared" si="10"/>
        <v>#REF!</v>
      </c>
      <c r="P51" s="608" t="s">
        <v>1262</v>
      </c>
      <c r="Q51" s="803"/>
      <c r="R51" s="809" t="s">
        <v>1114</v>
      </c>
      <c r="S51" s="525" t="e">
        <f t="shared" si="12"/>
        <v>#REF!</v>
      </c>
    </row>
    <row r="52" spans="2:19" ht="11.25" customHeight="1">
      <c r="B52" s="568">
        <v>45405</v>
      </c>
      <c r="C52" s="656" t="s">
        <v>250</v>
      </c>
      <c r="D52" s="656"/>
      <c r="E52" s="668">
        <v>7</v>
      </c>
      <c r="F52" s="569" t="s">
        <v>107</v>
      </c>
      <c r="G52" s="569"/>
      <c r="H52" s="571"/>
      <c r="I52" s="570"/>
      <c r="J52" s="572"/>
      <c r="K52" s="596">
        <v>12</v>
      </c>
      <c r="L52" s="542" t="e">
        <f>'통장내역(환율표)'!#REF!</f>
        <v>#REF!</v>
      </c>
      <c r="M52" s="766" t="e">
        <f t="shared" si="11"/>
        <v>#REF!</v>
      </c>
      <c r="N52" s="780">
        <f t="shared" si="9"/>
        <v>318250.69999999984</v>
      </c>
      <c r="O52" s="688" t="e">
        <f t="shared" si="10"/>
        <v>#REF!</v>
      </c>
      <c r="P52" s="608" t="s">
        <v>1262</v>
      </c>
      <c r="Q52" s="803"/>
      <c r="R52" s="809"/>
      <c r="S52" s="525" t="e">
        <f t="shared" si="12"/>
        <v>#REF!</v>
      </c>
    </row>
    <row r="53" spans="2:19" ht="11.25" customHeight="1">
      <c r="B53" s="568">
        <v>45405</v>
      </c>
      <c r="C53" s="669" t="s">
        <v>305</v>
      </c>
      <c r="D53" s="669"/>
      <c r="E53" s="668">
        <v>8</v>
      </c>
      <c r="F53" s="569" t="s">
        <v>105</v>
      </c>
      <c r="G53" s="569" t="s">
        <v>227</v>
      </c>
      <c r="H53" s="571"/>
      <c r="I53" s="570"/>
      <c r="J53" s="572"/>
      <c r="K53" s="596">
        <v>10500</v>
      </c>
      <c r="L53" s="542" t="e">
        <f>'통장내역(환율표)'!#REF!</f>
        <v>#REF!</v>
      </c>
      <c r="M53" s="766" t="e">
        <f t="shared" si="11"/>
        <v>#REF!</v>
      </c>
      <c r="N53" s="780">
        <f t="shared" si="9"/>
        <v>307750.69999999984</v>
      </c>
      <c r="O53" s="688" t="e">
        <f t="shared" si="10"/>
        <v>#REF!</v>
      </c>
      <c r="P53" s="608" t="s">
        <v>1262</v>
      </c>
      <c r="Q53" s="803"/>
      <c r="R53" s="809" t="s">
        <v>1247</v>
      </c>
      <c r="S53" s="525" t="e">
        <f t="shared" si="12"/>
        <v>#REF!</v>
      </c>
    </row>
    <row r="54" spans="2:19" ht="11.25" customHeight="1">
      <c r="B54" s="568">
        <v>45405</v>
      </c>
      <c r="C54" s="669" t="s">
        <v>1107</v>
      </c>
      <c r="D54" s="669"/>
      <c r="E54" s="668">
        <v>9</v>
      </c>
      <c r="F54" s="569" t="s">
        <v>107</v>
      </c>
      <c r="G54" s="569"/>
      <c r="H54" s="571"/>
      <c r="I54" s="686"/>
      <c r="J54" s="572"/>
      <c r="K54" s="596">
        <v>6000</v>
      </c>
      <c r="L54" s="542" t="e">
        <f>'통장내역(환율표)'!#REF!</f>
        <v>#REF!</v>
      </c>
      <c r="M54" s="766" t="e">
        <f t="shared" si="11"/>
        <v>#REF!</v>
      </c>
      <c r="N54" s="780">
        <f t="shared" si="9"/>
        <v>301750.69999999984</v>
      </c>
      <c r="O54" s="688" t="e">
        <f t="shared" si="10"/>
        <v>#REF!</v>
      </c>
      <c r="P54" s="689" t="s">
        <v>1262</v>
      </c>
      <c r="Q54" s="801"/>
      <c r="R54" s="808"/>
      <c r="S54" s="525" t="e">
        <f t="shared" si="12"/>
        <v>#REF!</v>
      </c>
    </row>
    <row r="55" spans="2:19" ht="11.25" customHeight="1">
      <c r="B55" s="568">
        <v>45405</v>
      </c>
      <c r="C55" s="669" t="s">
        <v>1108</v>
      </c>
      <c r="D55" s="669"/>
      <c r="E55" s="668">
        <v>11</v>
      </c>
      <c r="F55" s="569" t="s">
        <v>107</v>
      </c>
      <c r="G55" s="569"/>
      <c r="H55" s="571"/>
      <c r="I55" s="686"/>
      <c r="J55" s="572"/>
      <c r="K55" s="596">
        <v>180</v>
      </c>
      <c r="L55" s="542" t="e">
        <f>'통장내역(환율표)'!#REF!</f>
        <v>#REF!</v>
      </c>
      <c r="M55" s="766" t="e">
        <f t="shared" si="11"/>
        <v>#REF!</v>
      </c>
      <c r="N55" s="780">
        <f t="shared" si="9"/>
        <v>301570.69999999984</v>
      </c>
      <c r="O55" s="688" t="e">
        <f t="shared" si="10"/>
        <v>#REF!</v>
      </c>
      <c r="P55" s="689" t="s">
        <v>1262</v>
      </c>
      <c r="Q55" s="801"/>
      <c r="R55" s="808"/>
      <c r="S55" s="525" t="e">
        <f t="shared" si="12"/>
        <v>#REF!</v>
      </c>
    </row>
    <row r="56" spans="2:19" ht="11.25" customHeight="1">
      <c r="B56" s="568">
        <v>45405</v>
      </c>
      <c r="C56" s="669" t="s">
        <v>305</v>
      </c>
      <c r="D56" s="669"/>
      <c r="E56" s="668">
        <v>12</v>
      </c>
      <c r="F56" s="569" t="s">
        <v>105</v>
      </c>
      <c r="G56" s="569" t="s">
        <v>227</v>
      </c>
      <c r="H56" s="571"/>
      <c r="I56" s="686"/>
      <c r="J56" s="572"/>
      <c r="K56" s="697">
        <v>7000</v>
      </c>
      <c r="L56" s="542" t="e">
        <f>'통장내역(환율표)'!#REF!</f>
        <v>#REF!</v>
      </c>
      <c r="M56" s="766" t="e">
        <f>K56/L56-0.003</f>
        <v>#REF!</v>
      </c>
      <c r="N56" s="780">
        <f t="shared" si="9"/>
        <v>294570.69999999984</v>
      </c>
      <c r="O56" s="688" t="e">
        <f t="shared" si="10"/>
        <v>#REF!</v>
      </c>
      <c r="P56" s="689" t="s">
        <v>1262</v>
      </c>
      <c r="Q56" s="801"/>
      <c r="R56" s="808"/>
      <c r="S56" s="525" t="e">
        <f t="shared" si="12"/>
        <v>#REF!</v>
      </c>
    </row>
    <row r="57" spans="2:19" ht="11.25" customHeight="1">
      <c r="B57" s="568">
        <v>45405</v>
      </c>
      <c r="C57" s="669" t="s">
        <v>1107</v>
      </c>
      <c r="D57" s="669"/>
      <c r="E57" s="668">
        <v>13</v>
      </c>
      <c r="F57" s="569" t="s">
        <v>107</v>
      </c>
      <c r="G57" s="569"/>
      <c r="H57" s="571"/>
      <c r="I57" s="686"/>
      <c r="J57" s="572"/>
      <c r="K57" s="697">
        <v>6000</v>
      </c>
      <c r="L57" s="542" t="e">
        <f>'통장내역(환율표)'!#REF!</f>
        <v>#REF!</v>
      </c>
      <c r="M57" s="766" t="e">
        <f t="shared" si="11"/>
        <v>#REF!</v>
      </c>
      <c r="N57" s="780">
        <f t="shared" si="9"/>
        <v>288570.69999999984</v>
      </c>
      <c r="O57" s="688" t="e">
        <f t="shared" si="10"/>
        <v>#REF!</v>
      </c>
      <c r="P57" s="689" t="s">
        <v>1262</v>
      </c>
      <c r="Q57" s="801"/>
      <c r="R57" s="808"/>
      <c r="S57" s="525" t="e">
        <f t="shared" si="12"/>
        <v>#REF!</v>
      </c>
    </row>
    <row r="58" spans="2:19" ht="11.25" customHeight="1">
      <c r="B58" s="568">
        <v>45405</v>
      </c>
      <c r="C58" s="669" t="s">
        <v>1108</v>
      </c>
      <c r="D58" s="669"/>
      <c r="E58" s="668">
        <v>14</v>
      </c>
      <c r="F58" s="569" t="s">
        <v>107</v>
      </c>
      <c r="G58" s="569"/>
      <c r="H58" s="571"/>
      <c r="I58" s="570"/>
      <c r="J58" s="572"/>
      <c r="K58" s="596">
        <v>1740</v>
      </c>
      <c r="L58" s="542" t="e">
        <f>'통장내역(환율표)'!#REF!</f>
        <v>#REF!</v>
      </c>
      <c r="M58" s="766" t="e">
        <f t="shared" si="11"/>
        <v>#REF!</v>
      </c>
      <c r="N58" s="780">
        <f t="shared" si="9"/>
        <v>286830.69999999984</v>
      </c>
      <c r="O58" s="688" t="e">
        <f t="shared" si="10"/>
        <v>#REF!</v>
      </c>
      <c r="P58" s="608" t="s">
        <v>1262</v>
      </c>
      <c r="Q58" s="803"/>
      <c r="R58" s="809"/>
      <c r="S58" s="525" t="e">
        <f t="shared" si="12"/>
        <v>#REF!</v>
      </c>
    </row>
    <row r="59" spans="2:19" ht="11.25" customHeight="1">
      <c r="B59" s="568">
        <v>45405</v>
      </c>
      <c r="C59" s="571" t="s">
        <v>445</v>
      </c>
      <c r="D59" s="571"/>
      <c r="E59" s="668">
        <v>15</v>
      </c>
      <c r="F59" s="569" t="s">
        <v>107</v>
      </c>
      <c r="G59" s="569"/>
      <c r="H59" s="571"/>
      <c r="I59" s="686"/>
      <c r="J59" s="572"/>
      <c r="K59" s="596">
        <v>7.2</v>
      </c>
      <c r="L59" s="542" t="e">
        <f>'통장내역(환율표)'!#REF!</f>
        <v>#REF!</v>
      </c>
      <c r="M59" s="766" t="e">
        <f t="shared" si="11"/>
        <v>#REF!</v>
      </c>
      <c r="N59" s="780">
        <f t="shared" si="9"/>
        <v>286823.49999999983</v>
      </c>
      <c r="O59" s="688" t="e">
        <f t="shared" si="10"/>
        <v>#REF!</v>
      </c>
      <c r="P59" s="689" t="s">
        <v>1262</v>
      </c>
      <c r="Q59" s="801"/>
      <c r="R59" s="808"/>
      <c r="S59" s="525" t="e">
        <f t="shared" si="12"/>
        <v>#REF!</v>
      </c>
    </row>
    <row r="60" spans="2:19" ht="11.25" customHeight="1">
      <c r="B60" s="568">
        <v>45405</v>
      </c>
      <c r="C60" s="571" t="s">
        <v>242</v>
      </c>
      <c r="D60" s="571"/>
      <c r="E60" s="668">
        <v>16</v>
      </c>
      <c r="F60" s="569" t="s">
        <v>107</v>
      </c>
      <c r="G60" s="698"/>
      <c r="H60" s="571"/>
      <c r="I60" s="686"/>
      <c r="J60" s="572"/>
      <c r="K60" s="596">
        <v>1313</v>
      </c>
      <c r="L60" s="542" t="e">
        <f>'통장내역(환율표)'!#REF!</f>
        <v>#REF!</v>
      </c>
      <c r="M60" s="766" t="e">
        <f t="shared" si="11"/>
        <v>#REF!</v>
      </c>
      <c r="N60" s="780">
        <f t="shared" si="9"/>
        <v>285510.49999999983</v>
      </c>
      <c r="O60" s="688" t="e">
        <f t="shared" si="10"/>
        <v>#REF!</v>
      </c>
      <c r="P60" s="689" t="s">
        <v>1262</v>
      </c>
      <c r="Q60" s="801"/>
      <c r="R60" s="808"/>
      <c r="S60" s="525" t="e">
        <f t="shared" si="12"/>
        <v>#REF!</v>
      </c>
    </row>
    <row r="61" spans="2:19" ht="11.25" customHeight="1">
      <c r="B61" s="568">
        <v>45405</v>
      </c>
      <c r="C61" s="571" t="s">
        <v>445</v>
      </c>
      <c r="D61" s="571"/>
      <c r="E61" s="668">
        <v>17</v>
      </c>
      <c r="F61" s="569" t="s">
        <v>107</v>
      </c>
      <c r="G61" s="569"/>
      <c r="H61" s="571"/>
      <c r="I61" s="686"/>
      <c r="J61" s="572"/>
      <c r="K61" s="596">
        <v>3.6</v>
      </c>
      <c r="L61" s="542" t="e">
        <f>'통장내역(환율표)'!#REF!</f>
        <v>#REF!</v>
      </c>
      <c r="M61" s="766" t="e">
        <f t="shared" si="11"/>
        <v>#REF!</v>
      </c>
      <c r="N61" s="780">
        <f t="shared" si="9"/>
        <v>285506.89999999985</v>
      </c>
      <c r="O61" s="688" t="e">
        <f t="shared" si="10"/>
        <v>#REF!</v>
      </c>
      <c r="P61" s="689" t="s">
        <v>1262</v>
      </c>
      <c r="Q61" s="801"/>
      <c r="R61" s="808"/>
      <c r="S61" s="525" t="e">
        <f t="shared" si="12"/>
        <v>#REF!</v>
      </c>
    </row>
    <row r="62" spans="2:19" ht="11.25" customHeight="1">
      <c r="B62" s="568">
        <v>45405</v>
      </c>
      <c r="C62" s="656" t="s">
        <v>995</v>
      </c>
      <c r="D62" s="656"/>
      <c r="E62" s="668">
        <v>18</v>
      </c>
      <c r="F62" s="569" t="s">
        <v>146</v>
      </c>
      <c r="G62" s="569" t="s">
        <v>147</v>
      </c>
      <c r="H62" s="571"/>
      <c r="I62" s="686"/>
      <c r="J62" s="572"/>
      <c r="K62" s="596">
        <v>220</v>
      </c>
      <c r="L62" s="542" t="e">
        <f>'통장내역(환율표)'!#REF!</f>
        <v>#REF!</v>
      </c>
      <c r="M62" s="766" t="e">
        <f t="shared" si="11"/>
        <v>#REF!</v>
      </c>
      <c r="N62" s="780">
        <f t="shared" si="9"/>
        <v>285286.89999999985</v>
      </c>
      <c r="O62" s="688" t="e">
        <f t="shared" si="10"/>
        <v>#REF!</v>
      </c>
      <c r="P62" s="689" t="s">
        <v>1262</v>
      </c>
      <c r="Q62" s="801"/>
      <c r="R62" s="808"/>
      <c r="S62" s="525" t="e">
        <f t="shared" si="12"/>
        <v>#REF!</v>
      </c>
    </row>
    <row r="63" spans="2:19" ht="11.25" customHeight="1">
      <c r="B63" s="568">
        <v>45405</v>
      </c>
      <c r="C63" s="656" t="s">
        <v>994</v>
      </c>
      <c r="D63" s="656"/>
      <c r="E63" s="668">
        <v>19</v>
      </c>
      <c r="F63" s="569" t="s">
        <v>146</v>
      </c>
      <c r="G63" s="569" t="s">
        <v>147</v>
      </c>
      <c r="H63" s="571"/>
      <c r="I63" s="686"/>
      <c r="J63" s="572"/>
      <c r="K63" s="596">
        <v>21</v>
      </c>
      <c r="L63" s="542" t="e">
        <f>'통장내역(환율표)'!#REF!</f>
        <v>#REF!</v>
      </c>
      <c r="M63" s="766" t="e">
        <f t="shared" si="11"/>
        <v>#REF!</v>
      </c>
      <c r="N63" s="780">
        <f t="shared" si="9"/>
        <v>285265.89999999985</v>
      </c>
      <c r="O63" s="688" t="e">
        <f t="shared" si="10"/>
        <v>#REF!</v>
      </c>
      <c r="P63" s="689" t="s">
        <v>1262</v>
      </c>
      <c r="Q63" s="801"/>
      <c r="R63" s="808"/>
      <c r="S63" s="525" t="e">
        <f t="shared" si="12"/>
        <v>#REF!</v>
      </c>
    </row>
    <row r="64" spans="2:19" ht="11.25" customHeight="1">
      <c r="B64" s="568">
        <v>45405</v>
      </c>
      <c r="C64" s="656" t="s">
        <v>996</v>
      </c>
      <c r="D64" s="656"/>
      <c r="E64" s="668">
        <v>20</v>
      </c>
      <c r="F64" s="569" t="s">
        <v>146</v>
      </c>
      <c r="G64" s="569" t="s">
        <v>147</v>
      </c>
      <c r="H64" s="571"/>
      <c r="I64" s="686"/>
      <c r="J64" s="572"/>
      <c r="K64" s="596">
        <v>1322</v>
      </c>
      <c r="L64" s="542" t="e">
        <f>'통장내역(환율표)'!#REF!</f>
        <v>#REF!</v>
      </c>
      <c r="M64" s="766" t="e">
        <f t="shared" si="11"/>
        <v>#REF!</v>
      </c>
      <c r="N64" s="780">
        <f t="shared" si="9"/>
        <v>283943.89999999985</v>
      </c>
      <c r="O64" s="688" t="e">
        <f t="shared" si="10"/>
        <v>#REF!</v>
      </c>
      <c r="P64" s="689" t="s">
        <v>1262</v>
      </c>
      <c r="Q64" s="801"/>
      <c r="R64" s="808"/>
      <c r="S64" s="525" t="e">
        <f t="shared" si="12"/>
        <v>#REF!</v>
      </c>
    </row>
    <row r="65" spans="2:19" ht="11.25" customHeight="1">
      <c r="B65" s="568">
        <v>45405</v>
      </c>
      <c r="C65" s="656" t="s">
        <v>250</v>
      </c>
      <c r="D65" s="656"/>
      <c r="E65" s="668">
        <v>21</v>
      </c>
      <c r="F65" s="569" t="s">
        <v>107</v>
      </c>
      <c r="G65" s="569"/>
      <c r="H65" s="571"/>
      <c r="I65" s="686"/>
      <c r="J65" s="572"/>
      <c r="K65" s="596">
        <v>3.6</v>
      </c>
      <c r="L65" s="542" t="e">
        <f>'통장내역(환율표)'!#REF!</f>
        <v>#REF!</v>
      </c>
      <c r="M65" s="766" t="e">
        <f t="shared" si="11"/>
        <v>#REF!</v>
      </c>
      <c r="N65" s="780">
        <f t="shared" si="9"/>
        <v>283940.29999999987</v>
      </c>
      <c r="O65" s="688" t="e">
        <f t="shared" si="10"/>
        <v>#REF!</v>
      </c>
      <c r="P65" s="689" t="s">
        <v>1262</v>
      </c>
      <c r="Q65" s="801"/>
      <c r="R65" s="808"/>
      <c r="S65" s="525" t="e">
        <f t="shared" si="12"/>
        <v>#REF!</v>
      </c>
    </row>
    <row r="66" spans="2:19" ht="11.25" customHeight="1">
      <c r="B66" s="568">
        <v>45405</v>
      </c>
      <c r="C66" s="656" t="s">
        <v>999</v>
      </c>
      <c r="D66" s="656"/>
      <c r="E66" s="668">
        <v>22</v>
      </c>
      <c r="F66" s="569" t="s">
        <v>146</v>
      </c>
      <c r="G66" s="569" t="s">
        <v>147</v>
      </c>
      <c r="H66" s="571"/>
      <c r="I66" s="686"/>
      <c r="J66" s="572"/>
      <c r="K66" s="596">
        <v>3857</v>
      </c>
      <c r="L66" s="542" t="e">
        <f>'통장내역(환율표)'!#REF!</f>
        <v>#REF!</v>
      </c>
      <c r="M66" s="766" t="e">
        <f t="shared" si="11"/>
        <v>#REF!</v>
      </c>
      <c r="N66" s="780">
        <f t="shared" si="9"/>
        <v>280083.29999999987</v>
      </c>
      <c r="O66" s="688" t="e">
        <f t="shared" si="10"/>
        <v>#REF!</v>
      </c>
      <c r="P66" s="689" t="s">
        <v>1262</v>
      </c>
      <c r="Q66" s="801"/>
      <c r="R66" s="808"/>
      <c r="S66" s="525" t="e">
        <f t="shared" si="12"/>
        <v>#REF!</v>
      </c>
    </row>
    <row r="67" spans="2:19" ht="11.25" customHeight="1">
      <c r="B67" s="568">
        <v>45405</v>
      </c>
      <c r="C67" s="656" t="s">
        <v>997</v>
      </c>
      <c r="D67" s="656"/>
      <c r="E67" s="668">
        <v>23</v>
      </c>
      <c r="F67" s="569" t="s">
        <v>146</v>
      </c>
      <c r="G67" s="569" t="s">
        <v>147</v>
      </c>
      <c r="H67" s="571"/>
      <c r="I67" s="686"/>
      <c r="J67" s="572"/>
      <c r="K67" s="596">
        <v>376.6</v>
      </c>
      <c r="L67" s="542" t="e">
        <f>'통장내역(환율표)'!#REF!</f>
        <v>#REF!</v>
      </c>
      <c r="M67" s="766" t="e">
        <f t="shared" si="11"/>
        <v>#REF!</v>
      </c>
      <c r="N67" s="780">
        <f t="shared" si="9"/>
        <v>279706.6999999999</v>
      </c>
      <c r="O67" s="688" t="e">
        <f t="shared" si="10"/>
        <v>#REF!</v>
      </c>
      <c r="P67" s="689" t="s">
        <v>1262</v>
      </c>
      <c r="Q67" s="801"/>
      <c r="R67" s="808"/>
      <c r="S67" s="525" t="e">
        <f t="shared" si="12"/>
        <v>#REF!</v>
      </c>
    </row>
    <row r="68" spans="2:19" ht="11.25" customHeight="1">
      <c r="B68" s="568">
        <v>45405</v>
      </c>
      <c r="C68" s="656" t="s">
        <v>998</v>
      </c>
      <c r="D68" s="656"/>
      <c r="E68" s="668">
        <v>24</v>
      </c>
      <c r="F68" s="569" t="s">
        <v>146</v>
      </c>
      <c r="G68" s="569" t="s">
        <v>147</v>
      </c>
      <c r="H68" s="571"/>
      <c r="I68" s="686"/>
      <c r="J68" s="572"/>
      <c r="K68" s="596">
        <v>348</v>
      </c>
      <c r="L68" s="542" t="e">
        <f>'통장내역(환율표)'!#REF!</f>
        <v>#REF!</v>
      </c>
      <c r="M68" s="766" t="e">
        <f t="shared" si="11"/>
        <v>#REF!</v>
      </c>
      <c r="N68" s="780">
        <f t="shared" si="9"/>
        <v>279358.6999999999</v>
      </c>
      <c r="O68" s="688" t="e">
        <f t="shared" si="10"/>
        <v>#REF!</v>
      </c>
      <c r="P68" s="689" t="s">
        <v>1262</v>
      </c>
      <c r="Q68" s="801"/>
      <c r="R68" s="808"/>
      <c r="S68" s="525" t="e">
        <f t="shared" si="12"/>
        <v>#REF!</v>
      </c>
    </row>
    <row r="69" spans="2:19" ht="11.25" customHeight="1">
      <c r="B69" s="568">
        <v>45405</v>
      </c>
      <c r="C69" s="656" t="s">
        <v>250</v>
      </c>
      <c r="D69" s="656"/>
      <c r="E69" s="668">
        <v>25</v>
      </c>
      <c r="F69" s="569" t="s">
        <v>107</v>
      </c>
      <c r="G69" s="569"/>
      <c r="H69" s="571"/>
      <c r="I69" s="686"/>
      <c r="J69" s="572"/>
      <c r="K69" s="596">
        <v>3.6</v>
      </c>
      <c r="L69" s="542" t="e">
        <f>'통장내역(환율표)'!#REF!</f>
        <v>#REF!</v>
      </c>
      <c r="M69" s="766" t="e">
        <f t="shared" si="11"/>
        <v>#REF!</v>
      </c>
      <c r="N69" s="780">
        <f t="shared" si="9"/>
        <v>279355.09999999992</v>
      </c>
      <c r="O69" s="688" t="e">
        <f t="shared" si="10"/>
        <v>#REF!</v>
      </c>
      <c r="P69" s="689" t="s">
        <v>1262</v>
      </c>
      <c r="Q69" s="801"/>
      <c r="R69" s="808"/>
      <c r="S69" s="525" t="e">
        <f t="shared" si="12"/>
        <v>#REF!</v>
      </c>
    </row>
    <row r="70" spans="2:19" ht="11.25" customHeight="1">
      <c r="B70" s="568">
        <v>45405</v>
      </c>
      <c r="C70" s="656" t="s">
        <v>1090</v>
      </c>
      <c r="D70" s="656"/>
      <c r="E70" s="668">
        <v>26</v>
      </c>
      <c r="F70" s="569" t="s">
        <v>146</v>
      </c>
      <c r="G70" s="569" t="s">
        <v>147</v>
      </c>
      <c r="H70" s="571"/>
      <c r="I70" s="686"/>
      <c r="J70" s="572"/>
      <c r="K70" s="596">
        <v>1109.6500000000001</v>
      </c>
      <c r="L70" s="542" t="e">
        <f>'통장내역(환율표)'!#REF!</f>
        <v>#REF!</v>
      </c>
      <c r="M70" s="766" t="e">
        <f t="shared" si="11"/>
        <v>#REF!</v>
      </c>
      <c r="N70" s="780">
        <f t="shared" si="9"/>
        <v>278245.4499999999</v>
      </c>
      <c r="O70" s="688" t="e">
        <f t="shared" si="10"/>
        <v>#REF!</v>
      </c>
      <c r="P70" s="689" t="s">
        <v>1262</v>
      </c>
      <c r="Q70" s="801"/>
      <c r="R70" s="808"/>
      <c r="S70" s="525" t="e">
        <f t="shared" si="12"/>
        <v>#REF!</v>
      </c>
    </row>
    <row r="71" spans="2:19" ht="11.25" customHeight="1">
      <c r="B71" s="568">
        <v>45405</v>
      </c>
      <c r="C71" s="656" t="s">
        <v>1089</v>
      </c>
      <c r="D71" s="656"/>
      <c r="E71" s="668">
        <v>27</v>
      </c>
      <c r="F71" s="569" t="s">
        <v>146</v>
      </c>
      <c r="G71" s="569" t="s">
        <v>147</v>
      </c>
      <c r="H71" s="571"/>
      <c r="I71" s="686"/>
      <c r="J71" s="572"/>
      <c r="K71" s="596">
        <v>13526</v>
      </c>
      <c r="L71" s="542" t="e">
        <f>'통장내역(환율표)'!#REF!</f>
        <v>#REF!</v>
      </c>
      <c r="M71" s="766" t="e">
        <f t="shared" si="11"/>
        <v>#REF!</v>
      </c>
      <c r="N71" s="780">
        <f t="shared" si="9"/>
        <v>264719.4499999999</v>
      </c>
      <c r="O71" s="688" t="e">
        <f t="shared" si="10"/>
        <v>#REF!</v>
      </c>
      <c r="P71" s="689" t="s">
        <v>1262</v>
      </c>
      <c r="Q71" s="801"/>
      <c r="R71" s="808"/>
      <c r="S71" s="525" t="e">
        <f t="shared" si="12"/>
        <v>#REF!</v>
      </c>
    </row>
    <row r="72" spans="2:19" ht="11.25" customHeight="1">
      <c r="B72" s="568">
        <v>45405</v>
      </c>
      <c r="C72" s="656" t="s">
        <v>1115</v>
      </c>
      <c r="D72" s="656"/>
      <c r="E72" s="668">
        <v>28</v>
      </c>
      <c r="F72" s="569" t="s">
        <v>107</v>
      </c>
      <c r="G72" s="569"/>
      <c r="H72" s="571"/>
      <c r="I72" s="686"/>
      <c r="J72" s="572"/>
      <c r="K72" s="596">
        <v>257.2</v>
      </c>
      <c r="L72" s="542" t="e">
        <f>'통장내역(환율표)'!#REF!</f>
        <v>#REF!</v>
      </c>
      <c r="M72" s="766" t="e">
        <f t="shared" si="11"/>
        <v>#REF!</v>
      </c>
      <c r="N72" s="780">
        <f t="shared" si="9"/>
        <v>264462.24999999988</v>
      </c>
      <c r="O72" s="688" t="e">
        <f t="shared" si="10"/>
        <v>#REF!</v>
      </c>
      <c r="P72" s="689" t="s">
        <v>1262</v>
      </c>
      <c r="Q72" s="801"/>
      <c r="R72" s="808"/>
      <c r="S72" s="525" t="e">
        <f t="shared" si="12"/>
        <v>#REF!</v>
      </c>
    </row>
    <row r="73" spans="2:19" ht="11.25" customHeight="1">
      <c r="B73" s="568">
        <v>45405</v>
      </c>
      <c r="C73" s="656" t="s">
        <v>1011</v>
      </c>
      <c r="D73" s="656"/>
      <c r="E73" s="668">
        <v>29</v>
      </c>
      <c r="F73" s="569" t="s">
        <v>116</v>
      </c>
      <c r="G73" s="569" t="s">
        <v>140</v>
      </c>
      <c r="H73" s="571"/>
      <c r="I73" s="686"/>
      <c r="J73" s="572"/>
      <c r="K73" s="596">
        <v>931.67</v>
      </c>
      <c r="L73" s="542" t="e">
        <f>'통장내역(환율표)'!#REF!</f>
        <v>#REF!</v>
      </c>
      <c r="M73" s="766" t="e">
        <f t="shared" si="11"/>
        <v>#REF!</v>
      </c>
      <c r="N73" s="780">
        <f t="shared" si="9"/>
        <v>263530.5799999999</v>
      </c>
      <c r="O73" s="688" t="e">
        <f t="shared" si="10"/>
        <v>#REF!</v>
      </c>
      <c r="P73" s="689" t="s">
        <v>1262</v>
      </c>
      <c r="Q73" s="801"/>
      <c r="R73" s="808"/>
      <c r="S73" s="525" t="e">
        <f t="shared" si="12"/>
        <v>#REF!</v>
      </c>
    </row>
    <row r="74" spans="2:19" ht="11.25" customHeight="1">
      <c r="B74" s="568">
        <v>45405</v>
      </c>
      <c r="C74" s="656" t="s">
        <v>1007</v>
      </c>
      <c r="D74" s="656"/>
      <c r="E74" s="668">
        <v>30</v>
      </c>
      <c r="F74" s="569" t="s">
        <v>107</v>
      </c>
      <c r="G74" s="569"/>
      <c r="H74" s="571"/>
      <c r="I74" s="686"/>
      <c r="J74" s="572"/>
      <c r="K74" s="596">
        <v>332</v>
      </c>
      <c r="L74" s="542" t="e">
        <f>'통장내역(환율표)'!#REF!</f>
        <v>#REF!</v>
      </c>
      <c r="M74" s="766" t="e">
        <f t="shared" si="11"/>
        <v>#REF!</v>
      </c>
      <c r="N74" s="780">
        <f t="shared" si="9"/>
        <v>263198.5799999999</v>
      </c>
      <c r="O74" s="688" t="e">
        <f t="shared" si="10"/>
        <v>#REF!</v>
      </c>
      <c r="P74" s="689" t="s">
        <v>1262</v>
      </c>
      <c r="Q74" s="801"/>
      <c r="R74" s="808"/>
      <c r="S74" s="525" t="e">
        <f t="shared" si="12"/>
        <v>#REF!</v>
      </c>
    </row>
    <row r="75" spans="2:19" ht="11.25" customHeight="1">
      <c r="B75" s="568">
        <v>45405</v>
      </c>
      <c r="C75" s="656" t="s">
        <v>250</v>
      </c>
      <c r="D75" s="656"/>
      <c r="E75" s="668">
        <v>31</v>
      </c>
      <c r="F75" s="569" t="s">
        <v>107</v>
      </c>
      <c r="G75" s="569"/>
      <c r="H75" s="571"/>
      <c r="I75" s="686"/>
      <c r="J75" s="572"/>
      <c r="K75" s="596">
        <v>7.2</v>
      </c>
      <c r="L75" s="542" t="e">
        <f>'통장내역(환율표)'!#REF!</f>
        <v>#REF!</v>
      </c>
      <c r="M75" s="766" t="e">
        <f t="shared" si="11"/>
        <v>#REF!</v>
      </c>
      <c r="N75" s="780">
        <f t="shared" si="9"/>
        <v>263191.37999999989</v>
      </c>
      <c r="O75" s="688" t="e">
        <f t="shared" si="10"/>
        <v>#REF!</v>
      </c>
      <c r="P75" s="689" t="s">
        <v>1262</v>
      </c>
      <c r="Q75" s="801"/>
      <c r="R75" s="808"/>
      <c r="S75" s="525" t="e">
        <f t="shared" si="12"/>
        <v>#REF!</v>
      </c>
    </row>
    <row r="76" spans="2:19" ht="11.25" customHeight="1">
      <c r="B76" s="568">
        <v>45405</v>
      </c>
      <c r="C76" s="656" t="s">
        <v>1153</v>
      </c>
      <c r="D76" s="656"/>
      <c r="E76" s="668">
        <v>32</v>
      </c>
      <c r="F76" s="569" t="s">
        <v>146</v>
      </c>
      <c r="G76" s="569" t="s">
        <v>147</v>
      </c>
      <c r="H76" s="571"/>
      <c r="I76" s="686"/>
      <c r="J76" s="572"/>
      <c r="K76" s="596">
        <v>5700.57</v>
      </c>
      <c r="L76" s="542" t="e">
        <f>'통장내역(환율표)'!#REF!</f>
        <v>#REF!</v>
      </c>
      <c r="M76" s="766" t="e">
        <f t="shared" si="11"/>
        <v>#REF!</v>
      </c>
      <c r="N76" s="780">
        <f t="shared" si="9"/>
        <v>257490.80999999988</v>
      </c>
      <c r="O76" s="688" t="e">
        <f t="shared" si="10"/>
        <v>#REF!</v>
      </c>
      <c r="P76" s="689" t="s">
        <v>1262</v>
      </c>
      <c r="Q76" s="801"/>
      <c r="R76" s="808"/>
      <c r="S76" s="525" t="e">
        <f t="shared" si="12"/>
        <v>#REF!</v>
      </c>
    </row>
    <row r="77" spans="2:19" ht="11.25" customHeight="1">
      <c r="B77" s="568">
        <v>45405</v>
      </c>
      <c r="C77" s="656" t="s">
        <v>853</v>
      </c>
      <c r="D77" s="656"/>
      <c r="E77" s="668">
        <v>33</v>
      </c>
      <c r="F77" s="569" t="s">
        <v>146</v>
      </c>
      <c r="G77" s="569" t="s">
        <v>147</v>
      </c>
      <c r="H77" s="571"/>
      <c r="I77" s="686"/>
      <c r="J77" s="572"/>
      <c r="K77" s="596">
        <v>1059.8900000000001</v>
      </c>
      <c r="L77" s="542" t="e">
        <f>'통장내역(환율표)'!#REF!</f>
        <v>#REF!</v>
      </c>
      <c r="M77" s="766" t="e">
        <f t="shared" si="11"/>
        <v>#REF!</v>
      </c>
      <c r="N77" s="780">
        <f t="shared" si="9"/>
        <v>256430.91999999987</v>
      </c>
      <c r="O77" s="688" t="e">
        <f t="shared" si="10"/>
        <v>#REF!</v>
      </c>
      <c r="P77" s="689" t="s">
        <v>1262</v>
      </c>
      <c r="Q77" s="801"/>
      <c r="R77" s="808"/>
      <c r="S77" s="525" t="e">
        <f t="shared" si="12"/>
        <v>#REF!</v>
      </c>
    </row>
    <row r="78" spans="2:19" ht="11.25" customHeight="1">
      <c r="B78" s="568">
        <v>45405</v>
      </c>
      <c r="C78" s="656" t="s">
        <v>851</v>
      </c>
      <c r="D78" s="656"/>
      <c r="E78" s="668">
        <v>34</v>
      </c>
      <c r="F78" s="569" t="s">
        <v>116</v>
      </c>
      <c r="G78" s="569" t="s">
        <v>140</v>
      </c>
      <c r="H78" s="571"/>
      <c r="I78" s="686"/>
      <c r="J78" s="572"/>
      <c r="K78" s="596">
        <v>98.8</v>
      </c>
      <c r="L78" s="542" t="e">
        <f>'통장내역(환율표)'!#REF!</f>
        <v>#REF!</v>
      </c>
      <c r="M78" s="766" t="e">
        <f t="shared" si="11"/>
        <v>#REF!</v>
      </c>
      <c r="N78" s="780">
        <f t="shared" si="9"/>
        <v>256332.11999999988</v>
      </c>
      <c r="O78" s="688" t="e">
        <f t="shared" si="10"/>
        <v>#REF!</v>
      </c>
      <c r="P78" s="689" t="s">
        <v>1262</v>
      </c>
      <c r="Q78" s="801"/>
      <c r="R78" s="808"/>
      <c r="S78" s="525" t="e">
        <f t="shared" si="12"/>
        <v>#REF!</v>
      </c>
    </row>
    <row r="79" spans="2:19" ht="11.25" customHeight="1">
      <c r="B79" s="568">
        <v>45405</v>
      </c>
      <c r="C79" s="656" t="s">
        <v>852</v>
      </c>
      <c r="D79" s="656"/>
      <c r="E79" s="668">
        <v>35</v>
      </c>
      <c r="F79" s="569" t="s">
        <v>107</v>
      </c>
      <c r="G79" s="569"/>
      <c r="H79" s="571"/>
      <c r="I79" s="686"/>
      <c r="J79" s="572"/>
      <c r="K79" s="596">
        <v>563.84</v>
      </c>
      <c r="L79" s="542" t="e">
        <f>'통장내역(환율표)'!#REF!</f>
        <v>#REF!</v>
      </c>
      <c r="M79" s="766" t="e">
        <f t="shared" si="11"/>
        <v>#REF!</v>
      </c>
      <c r="N79" s="780">
        <f t="shared" si="9"/>
        <v>255768.27999999988</v>
      </c>
      <c r="O79" s="688" t="e">
        <f t="shared" si="10"/>
        <v>#REF!</v>
      </c>
      <c r="P79" s="689" t="s">
        <v>1262</v>
      </c>
      <c r="Q79" s="801"/>
      <c r="R79" s="808"/>
      <c r="S79" s="525" t="e">
        <f t="shared" si="12"/>
        <v>#REF!</v>
      </c>
    </row>
    <row r="80" spans="2:19" ht="11.25" customHeight="1">
      <c r="B80" s="568">
        <v>45405</v>
      </c>
      <c r="C80" s="656" t="s">
        <v>250</v>
      </c>
      <c r="D80" s="656"/>
      <c r="E80" s="668">
        <v>36</v>
      </c>
      <c r="F80" s="569" t="s">
        <v>107</v>
      </c>
      <c r="G80" s="569"/>
      <c r="H80" s="571"/>
      <c r="I80" s="686"/>
      <c r="J80" s="572"/>
      <c r="K80" s="596">
        <v>3.6</v>
      </c>
      <c r="L80" s="542" t="e">
        <f>'통장내역(환율표)'!#REF!</f>
        <v>#REF!</v>
      </c>
      <c r="M80" s="766" t="e">
        <f t="shared" si="11"/>
        <v>#REF!</v>
      </c>
      <c r="N80" s="780">
        <f t="shared" si="9"/>
        <v>255764.67999999988</v>
      </c>
      <c r="O80" s="688" t="e">
        <f t="shared" si="10"/>
        <v>#REF!</v>
      </c>
      <c r="P80" s="689" t="s">
        <v>1262</v>
      </c>
      <c r="Q80" s="801"/>
      <c r="R80" s="808"/>
      <c r="S80" s="525" t="e">
        <f t="shared" si="12"/>
        <v>#REF!</v>
      </c>
    </row>
    <row r="81" spans="2:19" ht="11.25" customHeight="1">
      <c r="B81" s="568">
        <v>45405</v>
      </c>
      <c r="C81" s="571" t="s">
        <v>1148</v>
      </c>
      <c r="D81" s="571"/>
      <c r="E81" s="668">
        <v>37</v>
      </c>
      <c r="F81" s="569" t="s">
        <v>125</v>
      </c>
      <c r="G81" s="569" t="s">
        <v>145</v>
      </c>
      <c r="H81" s="571"/>
      <c r="I81" s="686"/>
      <c r="J81" s="572"/>
      <c r="K81" s="596">
        <v>4503.25</v>
      </c>
      <c r="L81" s="542" t="e">
        <f>'통장내역(환율표)'!#REF!</f>
        <v>#REF!</v>
      </c>
      <c r="M81" s="766" t="e">
        <f t="shared" si="11"/>
        <v>#REF!</v>
      </c>
      <c r="N81" s="780">
        <f t="shared" si="9"/>
        <v>251261.42999999988</v>
      </c>
      <c r="O81" s="688" t="e">
        <f t="shared" si="10"/>
        <v>#REF!</v>
      </c>
      <c r="P81" s="689" t="s">
        <v>1262</v>
      </c>
      <c r="Q81" s="801"/>
      <c r="R81" s="808"/>
      <c r="S81" s="525" t="e">
        <f t="shared" si="12"/>
        <v>#REF!</v>
      </c>
    </row>
    <row r="82" spans="2:19" ht="11.25" customHeight="1">
      <c r="B82" s="568">
        <v>45405</v>
      </c>
      <c r="C82" s="571" t="s">
        <v>1150</v>
      </c>
      <c r="D82" s="571"/>
      <c r="E82" s="668">
        <v>38</v>
      </c>
      <c r="F82" s="569" t="s">
        <v>107</v>
      </c>
      <c r="G82" s="569"/>
      <c r="H82" s="571"/>
      <c r="I82" s="686"/>
      <c r="J82" s="572"/>
      <c r="K82" s="697">
        <v>420</v>
      </c>
      <c r="L82" s="542" t="e">
        <f>'통장내역(환율표)'!#REF!</f>
        <v>#REF!</v>
      </c>
      <c r="M82" s="766" t="e">
        <f t="shared" si="11"/>
        <v>#REF!</v>
      </c>
      <c r="N82" s="780">
        <f t="shared" si="9"/>
        <v>250841.42999999988</v>
      </c>
      <c r="O82" s="688" t="e">
        <f t="shared" si="10"/>
        <v>#REF!</v>
      </c>
      <c r="P82" s="689" t="s">
        <v>1262</v>
      </c>
      <c r="Q82" s="801"/>
      <c r="R82" s="808"/>
      <c r="S82" s="525" t="e">
        <f t="shared" si="12"/>
        <v>#REF!</v>
      </c>
    </row>
    <row r="83" spans="2:19" ht="11.25" customHeight="1">
      <c r="B83" s="568">
        <v>45405</v>
      </c>
      <c r="C83" s="571" t="s">
        <v>1248</v>
      </c>
      <c r="D83" s="571"/>
      <c r="E83" s="668">
        <v>39</v>
      </c>
      <c r="F83" s="668" t="s">
        <v>116</v>
      </c>
      <c r="G83" s="569" t="s">
        <v>140</v>
      </c>
      <c r="H83" s="571"/>
      <c r="I83" s="686"/>
      <c r="J83" s="572"/>
      <c r="K83" s="697">
        <v>897.4</v>
      </c>
      <c r="L83" s="542" t="e">
        <f>'통장내역(환율표)'!#REF!</f>
        <v>#REF!</v>
      </c>
      <c r="M83" s="766" t="e">
        <f t="shared" si="11"/>
        <v>#REF!</v>
      </c>
      <c r="N83" s="780">
        <f t="shared" si="9"/>
        <v>249944.02999999988</v>
      </c>
      <c r="O83" s="688" t="e">
        <f t="shared" si="10"/>
        <v>#REF!</v>
      </c>
      <c r="P83" s="689" t="s">
        <v>1262</v>
      </c>
      <c r="Q83" s="801"/>
      <c r="R83" s="808"/>
      <c r="S83" s="525" t="e">
        <f t="shared" si="12"/>
        <v>#REF!</v>
      </c>
    </row>
    <row r="84" spans="2:19" ht="11.25" customHeight="1">
      <c r="B84" s="568">
        <v>45405</v>
      </c>
      <c r="C84" s="571" t="s">
        <v>1151</v>
      </c>
      <c r="D84" s="571"/>
      <c r="E84" s="668">
        <v>40</v>
      </c>
      <c r="F84" s="569" t="s">
        <v>146</v>
      </c>
      <c r="G84" s="569" t="s">
        <v>147</v>
      </c>
      <c r="H84" s="571"/>
      <c r="I84" s="686"/>
      <c r="J84" s="572"/>
      <c r="K84" s="637">
        <v>8882.2099999999991</v>
      </c>
      <c r="L84" s="542" t="e">
        <f>'통장내역(환율표)'!#REF!</f>
        <v>#REF!</v>
      </c>
      <c r="M84" s="766" t="e">
        <f t="shared" si="11"/>
        <v>#REF!</v>
      </c>
      <c r="N84" s="780">
        <f t="shared" si="9"/>
        <v>241061.81999999989</v>
      </c>
      <c r="O84" s="688" t="e">
        <f t="shared" si="10"/>
        <v>#REF!</v>
      </c>
      <c r="P84" s="689" t="s">
        <v>1262</v>
      </c>
      <c r="Q84" s="801"/>
      <c r="R84" s="808"/>
      <c r="S84" s="525" t="e">
        <f t="shared" si="12"/>
        <v>#REF!</v>
      </c>
    </row>
    <row r="85" spans="2:19" ht="11.25" customHeight="1">
      <c r="B85" s="568">
        <v>45405</v>
      </c>
      <c r="C85" s="656" t="s">
        <v>1152</v>
      </c>
      <c r="D85" s="656"/>
      <c r="E85" s="668">
        <v>41</v>
      </c>
      <c r="F85" s="569" t="s">
        <v>146</v>
      </c>
      <c r="G85" s="569" t="s">
        <v>147</v>
      </c>
      <c r="H85" s="571"/>
      <c r="I85" s="686"/>
      <c r="J85" s="572"/>
      <c r="K85" s="637">
        <v>669.23</v>
      </c>
      <c r="L85" s="542" t="e">
        <f>'통장내역(환율표)'!#REF!</f>
        <v>#REF!</v>
      </c>
      <c r="M85" s="766" t="e">
        <f t="shared" si="11"/>
        <v>#REF!</v>
      </c>
      <c r="N85" s="780">
        <f t="shared" si="9"/>
        <v>240392.58999999988</v>
      </c>
      <c r="O85" s="688" t="e">
        <f t="shared" si="10"/>
        <v>#REF!</v>
      </c>
      <c r="P85" s="689" t="s">
        <v>1262</v>
      </c>
      <c r="Q85" s="801"/>
      <c r="R85" s="808"/>
      <c r="S85" s="525" t="e">
        <f t="shared" si="12"/>
        <v>#REF!</v>
      </c>
    </row>
    <row r="86" spans="2:19" ht="11.25" customHeight="1">
      <c r="B86" s="568">
        <v>45405</v>
      </c>
      <c r="C86" s="656" t="s">
        <v>1249</v>
      </c>
      <c r="D86" s="656"/>
      <c r="E86" s="668">
        <v>42</v>
      </c>
      <c r="F86" s="569" t="s">
        <v>107</v>
      </c>
      <c r="G86" s="569"/>
      <c r="H86" s="571"/>
      <c r="I86" s="686"/>
      <c r="J86" s="572"/>
      <c r="K86" s="637">
        <v>24</v>
      </c>
      <c r="L86" s="542" t="e">
        <f>'통장내역(환율표)'!#REF!</f>
        <v>#REF!</v>
      </c>
      <c r="M86" s="766" t="e">
        <f t="shared" si="11"/>
        <v>#REF!</v>
      </c>
      <c r="N86" s="780">
        <f t="shared" si="9"/>
        <v>240368.58999999988</v>
      </c>
      <c r="O86" s="688" t="e">
        <f t="shared" si="10"/>
        <v>#REF!</v>
      </c>
      <c r="P86" s="689" t="s">
        <v>1262</v>
      </c>
      <c r="Q86" s="801"/>
      <c r="R86" s="808"/>
      <c r="S86" s="525" t="e">
        <f t="shared" si="12"/>
        <v>#REF!</v>
      </c>
    </row>
    <row r="87" spans="2:19" ht="11.25" customHeight="1">
      <c r="B87" s="568">
        <v>45405</v>
      </c>
      <c r="C87" s="656" t="s">
        <v>250</v>
      </c>
      <c r="D87" s="656"/>
      <c r="E87" s="668">
        <v>43</v>
      </c>
      <c r="F87" s="569" t="s">
        <v>107</v>
      </c>
      <c r="G87" s="569"/>
      <c r="H87" s="571"/>
      <c r="I87" s="686"/>
      <c r="J87" s="572"/>
      <c r="K87" s="637">
        <v>7.2</v>
      </c>
      <c r="L87" s="542" t="e">
        <f>'통장내역(환율표)'!#REF!</f>
        <v>#REF!</v>
      </c>
      <c r="M87" s="766" t="e">
        <f t="shared" si="11"/>
        <v>#REF!</v>
      </c>
      <c r="N87" s="780">
        <f t="shared" si="9"/>
        <v>240361.38999999987</v>
      </c>
      <c r="O87" s="688" t="e">
        <f t="shared" si="10"/>
        <v>#REF!</v>
      </c>
      <c r="P87" s="689" t="s">
        <v>1262</v>
      </c>
      <c r="Q87" s="801"/>
      <c r="R87" s="808"/>
      <c r="S87" s="525" t="e">
        <f t="shared" si="12"/>
        <v>#REF!</v>
      </c>
    </row>
    <row r="88" spans="2:19" ht="11.25" customHeight="1">
      <c r="B88" s="568">
        <v>45405</v>
      </c>
      <c r="C88" s="656" t="s">
        <v>1162</v>
      </c>
      <c r="D88" s="656"/>
      <c r="E88" s="668">
        <v>44</v>
      </c>
      <c r="F88" s="569" t="s">
        <v>125</v>
      </c>
      <c r="G88" s="569" t="s">
        <v>145</v>
      </c>
      <c r="H88" s="571"/>
      <c r="I88" s="686"/>
      <c r="J88" s="572"/>
      <c r="K88" s="637">
        <v>8554.08</v>
      </c>
      <c r="L88" s="542" t="e">
        <f>'통장내역(환율표)'!#REF!</f>
        <v>#REF!</v>
      </c>
      <c r="M88" s="766" t="e">
        <f t="shared" si="11"/>
        <v>#REF!</v>
      </c>
      <c r="N88" s="780">
        <f t="shared" si="9"/>
        <v>231807.30999999988</v>
      </c>
      <c r="O88" s="688" t="e">
        <f t="shared" si="10"/>
        <v>#REF!</v>
      </c>
      <c r="P88" s="689" t="s">
        <v>1262</v>
      </c>
      <c r="Q88" s="801"/>
      <c r="R88" s="808"/>
      <c r="S88" s="525" t="e">
        <f t="shared" si="12"/>
        <v>#REF!</v>
      </c>
    </row>
    <row r="89" spans="2:19" ht="11.25" customHeight="1">
      <c r="B89" s="568">
        <v>45405</v>
      </c>
      <c r="C89" s="656" t="s">
        <v>1163</v>
      </c>
      <c r="D89" s="656"/>
      <c r="E89" s="668">
        <v>45</v>
      </c>
      <c r="F89" s="569" t="s">
        <v>116</v>
      </c>
      <c r="G89" s="569" t="s">
        <v>140</v>
      </c>
      <c r="H89" s="571"/>
      <c r="I89" s="686"/>
      <c r="J89" s="572"/>
      <c r="K89" s="637">
        <v>350</v>
      </c>
      <c r="L89" s="542" t="e">
        <f>'통장내역(환율표)'!#REF!</f>
        <v>#REF!</v>
      </c>
      <c r="M89" s="766" t="e">
        <f t="shared" si="11"/>
        <v>#REF!</v>
      </c>
      <c r="N89" s="780">
        <f t="shared" si="9"/>
        <v>231457.30999999988</v>
      </c>
      <c r="O89" s="688" t="e">
        <f t="shared" si="10"/>
        <v>#REF!</v>
      </c>
      <c r="P89" s="689" t="s">
        <v>1262</v>
      </c>
      <c r="Q89" s="801"/>
      <c r="R89" s="808"/>
      <c r="S89" s="525" t="e">
        <f t="shared" si="12"/>
        <v>#REF!</v>
      </c>
    </row>
    <row r="90" spans="2:19" ht="11.25" customHeight="1">
      <c r="B90" s="568">
        <v>45405</v>
      </c>
      <c r="C90" s="656" t="s">
        <v>1250</v>
      </c>
      <c r="D90" s="656"/>
      <c r="E90" s="668">
        <v>46</v>
      </c>
      <c r="F90" s="569" t="s">
        <v>107</v>
      </c>
      <c r="G90" s="569"/>
      <c r="H90" s="571"/>
      <c r="I90" s="686"/>
      <c r="J90" s="572"/>
      <c r="K90" s="637">
        <v>64665</v>
      </c>
      <c r="L90" s="542" t="e">
        <f>'통장내역(환율표)'!#REF!</f>
        <v>#REF!</v>
      </c>
      <c r="M90" s="766" t="e">
        <f t="shared" si="11"/>
        <v>#REF!</v>
      </c>
      <c r="N90" s="780">
        <f t="shared" si="9"/>
        <v>166792.30999999988</v>
      </c>
      <c r="O90" s="688" t="e">
        <f t="shared" si="10"/>
        <v>#REF!</v>
      </c>
      <c r="P90" s="689" t="s">
        <v>1262</v>
      </c>
      <c r="Q90" s="801"/>
      <c r="R90" s="808"/>
      <c r="S90" s="525" t="e">
        <f t="shared" si="12"/>
        <v>#REF!</v>
      </c>
    </row>
    <row r="91" spans="2:19" ht="11.25" customHeight="1">
      <c r="B91" s="568">
        <v>45405</v>
      </c>
      <c r="C91" s="656" t="s">
        <v>1166</v>
      </c>
      <c r="D91" s="656"/>
      <c r="E91" s="668">
        <v>47</v>
      </c>
      <c r="F91" s="569" t="s">
        <v>146</v>
      </c>
      <c r="G91" s="569" t="s">
        <v>147</v>
      </c>
      <c r="H91" s="571"/>
      <c r="I91" s="686"/>
      <c r="J91" s="572"/>
      <c r="K91" s="637">
        <v>2232.67</v>
      </c>
      <c r="L91" s="542" t="e">
        <f>'통장내역(환율표)'!#REF!</f>
        <v>#REF!</v>
      </c>
      <c r="M91" s="766" t="e">
        <f t="shared" si="11"/>
        <v>#REF!</v>
      </c>
      <c r="N91" s="780">
        <f t="shared" si="9"/>
        <v>164559.63999999987</v>
      </c>
      <c r="O91" s="688" t="e">
        <f t="shared" si="10"/>
        <v>#REF!</v>
      </c>
      <c r="P91" s="689" t="s">
        <v>1262</v>
      </c>
      <c r="Q91" s="801"/>
      <c r="R91" s="808"/>
      <c r="S91" s="525" t="e">
        <f t="shared" si="12"/>
        <v>#REF!</v>
      </c>
    </row>
    <row r="92" spans="2:19" ht="11.25" customHeight="1">
      <c r="B92" s="568">
        <v>45405</v>
      </c>
      <c r="C92" s="656" t="s">
        <v>250</v>
      </c>
      <c r="D92" s="656"/>
      <c r="E92" s="668">
        <v>48</v>
      </c>
      <c r="F92" s="569" t="s">
        <v>107</v>
      </c>
      <c r="G92" s="569"/>
      <c r="H92" s="571"/>
      <c r="I92" s="686"/>
      <c r="J92" s="572"/>
      <c r="K92" s="637">
        <v>14.4</v>
      </c>
      <c r="L92" s="542" t="e">
        <f>'통장내역(환율표)'!#REF!</f>
        <v>#REF!</v>
      </c>
      <c r="M92" s="766" t="e">
        <f t="shared" si="11"/>
        <v>#REF!</v>
      </c>
      <c r="N92" s="780">
        <f t="shared" si="9"/>
        <v>164545.23999999987</v>
      </c>
      <c r="O92" s="688" t="e">
        <f t="shared" si="10"/>
        <v>#REF!</v>
      </c>
      <c r="P92" s="689" t="s">
        <v>1262</v>
      </c>
      <c r="Q92" s="801"/>
      <c r="R92" s="808"/>
      <c r="S92" s="525" t="e">
        <f t="shared" si="12"/>
        <v>#REF!</v>
      </c>
    </row>
    <row r="93" spans="2:19" ht="11.25" customHeight="1">
      <c r="B93" s="568">
        <v>45405</v>
      </c>
      <c r="C93" s="656" t="s">
        <v>1251</v>
      </c>
      <c r="D93" s="656"/>
      <c r="E93" s="668">
        <v>49</v>
      </c>
      <c r="F93" s="569" t="s">
        <v>146</v>
      </c>
      <c r="G93" s="569" t="s">
        <v>147</v>
      </c>
      <c r="H93" s="571"/>
      <c r="I93" s="686"/>
      <c r="J93" s="572"/>
      <c r="K93" s="637">
        <v>1600</v>
      </c>
      <c r="L93" s="542" t="e">
        <f>'통장내역(환율표)'!#REF!</f>
        <v>#REF!</v>
      </c>
      <c r="M93" s="766" t="e">
        <f t="shared" si="11"/>
        <v>#REF!</v>
      </c>
      <c r="N93" s="780">
        <f t="shared" si="9"/>
        <v>162945.23999999987</v>
      </c>
      <c r="O93" s="688" t="e">
        <f t="shared" si="10"/>
        <v>#REF!</v>
      </c>
      <c r="P93" s="689" t="s">
        <v>1262</v>
      </c>
      <c r="Q93" s="801"/>
      <c r="R93" s="808"/>
      <c r="S93" s="525" t="e">
        <f t="shared" si="12"/>
        <v>#REF!</v>
      </c>
    </row>
    <row r="94" spans="2:19" ht="11.25" customHeight="1">
      <c r="B94" s="568">
        <v>45405</v>
      </c>
      <c r="C94" s="656" t="s">
        <v>250</v>
      </c>
      <c r="D94" s="656"/>
      <c r="E94" s="668">
        <v>50</v>
      </c>
      <c r="F94" s="569" t="s">
        <v>107</v>
      </c>
      <c r="G94" s="569"/>
      <c r="H94" s="571"/>
      <c r="I94" s="686"/>
      <c r="J94" s="572"/>
      <c r="K94" s="637">
        <v>3.6</v>
      </c>
      <c r="L94" s="542" t="e">
        <f>'통장내역(환율표)'!#REF!</f>
        <v>#REF!</v>
      </c>
      <c r="M94" s="766" t="e">
        <f t="shared" si="11"/>
        <v>#REF!</v>
      </c>
      <c r="N94" s="780">
        <f t="shared" si="9"/>
        <v>162941.63999999987</v>
      </c>
      <c r="O94" s="688" t="e">
        <f t="shared" si="10"/>
        <v>#REF!</v>
      </c>
      <c r="P94" s="689" t="s">
        <v>1262</v>
      </c>
      <c r="Q94" s="801"/>
      <c r="R94" s="808"/>
      <c r="S94" s="525" t="e">
        <f t="shared" si="12"/>
        <v>#REF!</v>
      </c>
    </row>
    <row r="95" spans="2:19" ht="11.25" customHeight="1">
      <c r="B95" s="568">
        <v>45406</v>
      </c>
      <c r="C95" s="656" t="s">
        <v>1252</v>
      </c>
      <c r="D95" s="656"/>
      <c r="E95" s="668">
        <v>51</v>
      </c>
      <c r="F95" s="569" t="s">
        <v>107</v>
      </c>
      <c r="G95" s="569"/>
      <c r="H95" s="571"/>
      <c r="I95" s="686"/>
      <c r="J95" s="572"/>
      <c r="K95" s="697">
        <v>274.8</v>
      </c>
      <c r="L95" s="542" t="e">
        <f>'통장내역(환율표)'!#REF!</f>
        <v>#REF!</v>
      </c>
      <c r="M95" s="766" t="e">
        <f t="shared" si="11"/>
        <v>#REF!</v>
      </c>
      <c r="N95" s="780">
        <f t="shared" si="9"/>
        <v>162666.83999999988</v>
      </c>
      <c r="O95" s="688" t="e">
        <f t="shared" si="10"/>
        <v>#REF!</v>
      </c>
      <c r="P95" s="689" t="s">
        <v>1262</v>
      </c>
      <c r="Q95" s="801"/>
      <c r="R95" s="808" t="s">
        <v>1253</v>
      </c>
      <c r="S95" s="525" t="e">
        <f t="shared" si="12"/>
        <v>#REF!</v>
      </c>
    </row>
    <row r="96" spans="2:19" ht="11.25" customHeight="1">
      <c r="B96" s="568">
        <v>45406</v>
      </c>
      <c r="C96" s="656" t="s">
        <v>857</v>
      </c>
      <c r="D96" s="656"/>
      <c r="E96" s="668">
        <v>52</v>
      </c>
      <c r="F96" s="569" t="s">
        <v>107</v>
      </c>
      <c r="G96" s="569"/>
      <c r="H96" s="571"/>
      <c r="I96" s="686"/>
      <c r="J96" s="572"/>
      <c r="K96" s="637">
        <v>269.89999999999998</v>
      </c>
      <c r="L96" s="542" t="e">
        <f>'통장내역(환율표)'!#REF!</f>
        <v>#REF!</v>
      </c>
      <c r="M96" s="766" t="e">
        <f t="shared" si="11"/>
        <v>#REF!</v>
      </c>
      <c r="N96" s="780">
        <f t="shared" ref="N96:N104" si="13">N95+H96-K96</f>
        <v>162396.93999999989</v>
      </c>
      <c r="O96" s="688" t="e">
        <f t="shared" ref="O96:O104" si="14">O95+J96-M96</f>
        <v>#REF!</v>
      </c>
      <c r="P96" s="689" t="s">
        <v>1262</v>
      </c>
      <c r="Q96" s="801"/>
      <c r="R96" s="808"/>
      <c r="S96" s="525" t="e">
        <f t="shared" si="12"/>
        <v>#REF!</v>
      </c>
    </row>
    <row r="97" spans="1:24" ht="11.25" customHeight="1">
      <c r="B97" s="568">
        <v>45406</v>
      </c>
      <c r="C97" s="656" t="s">
        <v>1252</v>
      </c>
      <c r="D97" s="656"/>
      <c r="E97" s="668">
        <v>53</v>
      </c>
      <c r="F97" s="569" t="s">
        <v>107</v>
      </c>
      <c r="G97" s="569"/>
      <c r="H97" s="571"/>
      <c r="I97" s="686"/>
      <c r="J97" s="572"/>
      <c r="K97" s="697">
        <v>40</v>
      </c>
      <c r="L97" s="542" t="e">
        <f>'통장내역(환율표)'!#REF!</f>
        <v>#REF!</v>
      </c>
      <c r="M97" s="766" t="e">
        <f t="shared" ref="M97:M104" si="15">K97/L97</f>
        <v>#REF!</v>
      </c>
      <c r="N97" s="780">
        <f t="shared" si="13"/>
        <v>162356.93999999989</v>
      </c>
      <c r="O97" s="688" t="e">
        <f t="shared" si="14"/>
        <v>#REF!</v>
      </c>
      <c r="P97" s="689" t="s">
        <v>1262</v>
      </c>
      <c r="Q97" s="801"/>
      <c r="R97" s="808" t="s">
        <v>1254</v>
      </c>
      <c r="S97" s="525" t="e">
        <f t="shared" si="12"/>
        <v>#REF!</v>
      </c>
    </row>
    <row r="98" spans="1:24" ht="11.25" customHeight="1">
      <c r="B98" s="568">
        <v>45406</v>
      </c>
      <c r="C98" s="656" t="s">
        <v>1255</v>
      </c>
      <c r="D98" s="656"/>
      <c r="E98" s="668">
        <v>54</v>
      </c>
      <c r="F98" s="569" t="s">
        <v>107</v>
      </c>
      <c r="G98" s="569"/>
      <c r="H98" s="571"/>
      <c r="I98" s="686"/>
      <c r="J98" s="572"/>
      <c r="K98" s="637">
        <v>1060</v>
      </c>
      <c r="L98" s="542" t="e">
        <f>'통장내역(환율표)'!#REF!</f>
        <v>#REF!</v>
      </c>
      <c r="M98" s="766" t="e">
        <f t="shared" si="15"/>
        <v>#REF!</v>
      </c>
      <c r="N98" s="780">
        <f t="shared" si="13"/>
        <v>161296.93999999989</v>
      </c>
      <c r="O98" s="688" t="e">
        <f t="shared" si="14"/>
        <v>#REF!</v>
      </c>
      <c r="P98" s="689" t="s">
        <v>1262</v>
      </c>
      <c r="Q98" s="801"/>
      <c r="R98" s="808"/>
      <c r="S98" s="525" t="e">
        <f t="shared" ref="S98:S103" si="16">S97-M98</f>
        <v>#REF!</v>
      </c>
    </row>
    <row r="99" spans="1:24" ht="11.25" customHeight="1">
      <c r="B99" s="568">
        <v>45406</v>
      </c>
      <c r="C99" s="656" t="s">
        <v>1100</v>
      </c>
      <c r="D99" s="656"/>
      <c r="E99" s="668">
        <v>55</v>
      </c>
      <c r="F99" s="569" t="s">
        <v>116</v>
      </c>
      <c r="G99" s="569" t="s">
        <v>140</v>
      </c>
      <c r="H99" s="571"/>
      <c r="I99" s="686"/>
      <c r="J99" s="572"/>
      <c r="K99" s="637">
        <v>410.3</v>
      </c>
      <c r="L99" s="542" t="e">
        <f>'통장내역(환율표)'!#REF!</f>
        <v>#REF!</v>
      </c>
      <c r="M99" s="766" t="e">
        <f t="shared" si="15"/>
        <v>#REF!</v>
      </c>
      <c r="N99" s="780">
        <f t="shared" si="13"/>
        <v>160886.6399999999</v>
      </c>
      <c r="O99" s="688" t="e">
        <f t="shared" si="14"/>
        <v>#REF!</v>
      </c>
      <c r="P99" s="689" t="s">
        <v>1262</v>
      </c>
      <c r="Q99" s="801"/>
      <c r="R99" s="808"/>
      <c r="S99" s="525" t="e">
        <f t="shared" si="16"/>
        <v>#REF!</v>
      </c>
    </row>
    <row r="100" spans="1:24" ht="11.25" customHeight="1">
      <c r="B100" s="568">
        <v>45406</v>
      </c>
      <c r="C100" s="656" t="s">
        <v>1252</v>
      </c>
      <c r="D100" s="656"/>
      <c r="E100" s="668">
        <v>56</v>
      </c>
      <c r="F100" s="569" t="s">
        <v>107</v>
      </c>
      <c r="G100" s="569"/>
      <c r="H100" s="571"/>
      <c r="I100" s="686"/>
      <c r="J100" s="572"/>
      <c r="K100" s="697">
        <v>627.46</v>
      </c>
      <c r="L100" s="542" t="e">
        <f>'통장내역(환율표)'!#REF!</f>
        <v>#REF!</v>
      </c>
      <c r="M100" s="766" t="e">
        <f t="shared" si="15"/>
        <v>#REF!</v>
      </c>
      <c r="N100" s="780">
        <f t="shared" si="13"/>
        <v>160259.17999999991</v>
      </c>
      <c r="O100" s="688" t="e">
        <f t="shared" si="14"/>
        <v>#REF!</v>
      </c>
      <c r="P100" s="689" t="s">
        <v>1262</v>
      </c>
      <c r="Q100" s="801"/>
      <c r="R100" s="808" t="s">
        <v>1256</v>
      </c>
      <c r="S100" s="525" t="e">
        <f t="shared" si="16"/>
        <v>#REF!</v>
      </c>
    </row>
    <row r="101" spans="1:24" ht="11.25" customHeight="1">
      <c r="B101" s="568">
        <v>45406</v>
      </c>
      <c r="C101" s="656" t="s">
        <v>845</v>
      </c>
      <c r="D101" s="656"/>
      <c r="E101" s="668">
        <v>57</v>
      </c>
      <c r="F101" s="569" t="s">
        <v>125</v>
      </c>
      <c r="G101" s="569" t="s">
        <v>145</v>
      </c>
      <c r="H101" s="571"/>
      <c r="I101" s="686"/>
      <c r="J101" s="572"/>
      <c r="K101" s="637">
        <v>1586.3</v>
      </c>
      <c r="L101" s="542" t="e">
        <f>'통장내역(환율표)'!#REF!</f>
        <v>#REF!</v>
      </c>
      <c r="M101" s="766" t="e">
        <f>K101/L101-0.003</f>
        <v>#REF!</v>
      </c>
      <c r="N101" s="780">
        <f t="shared" si="13"/>
        <v>158672.87999999992</v>
      </c>
      <c r="O101" s="688" t="e">
        <f t="shared" si="14"/>
        <v>#REF!</v>
      </c>
      <c r="P101" s="689" t="s">
        <v>1262</v>
      </c>
      <c r="Q101" s="801"/>
      <c r="R101" s="808"/>
      <c r="S101" s="525" t="e">
        <f t="shared" si="16"/>
        <v>#REF!</v>
      </c>
    </row>
    <row r="102" spans="1:24" ht="11.25" customHeight="1">
      <c r="B102" s="568">
        <v>45406</v>
      </c>
      <c r="C102" s="656" t="s">
        <v>844</v>
      </c>
      <c r="D102" s="656"/>
      <c r="E102" s="668">
        <v>58</v>
      </c>
      <c r="F102" s="569" t="s">
        <v>146</v>
      </c>
      <c r="G102" s="569" t="s">
        <v>147</v>
      </c>
      <c r="H102" s="571"/>
      <c r="I102" s="686"/>
      <c r="J102" s="572"/>
      <c r="K102" s="637">
        <v>376.2</v>
      </c>
      <c r="L102" s="542" t="e">
        <f>'통장내역(환율표)'!#REF!</f>
        <v>#REF!</v>
      </c>
      <c r="M102" s="766" t="e">
        <f t="shared" si="15"/>
        <v>#REF!</v>
      </c>
      <c r="N102" s="780">
        <f t="shared" si="13"/>
        <v>158296.67999999991</v>
      </c>
      <c r="O102" s="688" t="e">
        <f t="shared" si="14"/>
        <v>#REF!</v>
      </c>
      <c r="P102" s="689" t="s">
        <v>1262</v>
      </c>
      <c r="Q102" s="801"/>
      <c r="R102" s="808"/>
      <c r="S102" s="525" t="e">
        <f t="shared" si="16"/>
        <v>#REF!</v>
      </c>
    </row>
    <row r="103" spans="1:24" ht="11.25" customHeight="1">
      <c r="B103" s="568">
        <v>45406</v>
      </c>
      <c r="C103" s="656" t="s">
        <v>1098</v>
      </c>
      <c r="D103" s="656"/>
      <c r="E103" s="668">
        <v>59</v>
      </c>
      <c r="F103" s="569" t="s">
        <v>146</v>
      </c>
      <c r="G103" s="569" t="s">
        <v>147</v>
      </c>
      <c r="H103" s="571"/>
      <c r="I103" s="686"/>
      <c r="J103" s="572"/>
      <c r="K103" s="637">
        <v>10068.15</v>
      </c>
      <c r="L103" s="542" t="e">
        <f>'통장내역(환율표)'!#REF!</f>
        <v>#REF!</v>
      </c>
      <c r="M103" s="766" t="e">
        <f>K103/L103-0.003</f>
        <v>#REF!</v>
      </c>
      <c r="N103" s="780">
        <f t="shared" si="13"/>
        <v>148228.52999999991</v>
      </c>
      <c r="O103" s="688" t="e">
        <f t="shared" si="14"/>
        <v>#REF!</v>
      </c>
      <c r="P103" s="689" t="s">
        <v>1262</v>
      </c>
      <c r="Q103" s="801"/>
      <c r="R103" s="808"/>
      <c r="S103" s="525" t="e">
        <f t="shared" si="16"/>
        <v>#REF!</v>
      </c>
    </row>
    <row r="104" spans="1:24" ht="11.25" customHeight="1">
      <c r="B104" s="568">
        <v>45406</v>
      </c>
      <c r="C104" s="656" t="s">
        <v>250</v>
      </c>
      <c r="D104" s="656"/>
      <c r="E104" s="668">
        <v>60</v>
      </c>
      <c r="F104" s="569" t="s">
        <v>107</v>
      </c>
      <c r="G104" s="569"/>
      <c r="H104" s="571"/>
      <c r="I104" s="686"/>
      <c r="J104" s="572"/>
      <c r="K104" s="637">
        <v>7.2</v>
      </c>
      <c r="L104" s="542" t="e">
        <f>'통장내역(환율표)'!#REF!</f>
        <v>#REF!</v>
      </c>
      <c r="M104" s="766" t="e">
        <f t="shared" si="15"/>
        <v>#REF!</v>
      </c>
      <c r="N104" s="795">
        <f t="shared" si="13"/>
        <v>148221.3299999999</v>
      </c>
      <c r="O104" s="796" t="e">
        <f t="shared" si="14"/>
        <v>#REF!</v>
      </c>
      <c r="P104" s="689" t="s">
        <v>1262</v>
      </c>
      <c r="Q104" s="801"/>
      <c r="R104" s="808"/>
      <c r="S104" s="797" t="e">
        <f t="shared" ref="S104" si="17">S103-M104</f>
        <v>#REF!</v>
      </c>
    </row>
    <row r="105" spans="1:24" ht="11.25" customHeight="1">
      <c r="B105" s="700"/>
      <c r="C105" s="711" t="s">
        <v>1269</v>
      </c>
      <c r="D105" s="711"/>
      <c r="E105" s="702"/>
      <c r="F105" s="703"/>
      <c r="G105" s="703"/>
      <c r="H105" s="712"/>
      <c r="I105" s="704"/>
      <c r="J105" s="705"/>
      <c r="K105" s="821"/>
      <c r="L105" s="706"/>
      <c r="M105" s="822"/>
      <c r="N105" s="823"/>
      <c r="O105" s="824"/>
      <c r="P105" s="709"/>
      <c r="Q105" s="825"/>
      <c r="R105" s="826"/>
    </row>
    <row r="106" spans="1:24" s="574" customFormat="1" ht="11.25" customHeight="1" thickBot="1">
      <c r="A106" s="544"/>
      <c r="B106" s="670"/>
      <c r="C106" s="671"/>
      <c r="D106" s="671"/>
      <c r="E106" s="671"/>
      <c r="F106" s="673"/>
      <c r="G106" s="674"/>
      <c r="H106" s="675"/>
      <c r="I106" s="676"/>
      <c r="J106" s="677"/>
      <c r="K106" s="678"/>
      <c r="L106" s="664"/>
      <c r="M106" s="680"/>
      <c r="N106" s="684"/>
      <c r="O106" s="685"/>
      <c r="P106" s="681"/>
      <c r="Q106" s="660"/>
      <c r="R106" s="804"/>
      <c r="S106" s="492"/>
      <c r="T106" s="461"/>
      <c r="V106" s="461"/>
      <c r="W106" s="461"/>
      <c r="X106" s="461"/>
    </row>
    <row r="107" spans="1:24" ht="11.25" customHeight="1">
      <c r="C107" s="519"/>
      <c r="D107" s="519"/>
      <c r="E107" s="519"/>
      <c r="F107" s="519"/>
      <c r="G107" s="519"/>
      <c r="H107" s="519"/>
      <c r="K107" s="461"/>
    </row>
    <row r="108" spans="1:24" ht="11.25" customHeight="1">
      <c r="C108" s="519"/>
      <c r="D108" s="519"/>
      <c r="E108" s="519"/>
      <c r="F108" s="519"/>
      <c r="G108" s="519"/>
      <c r="H108" s="519"/>
      <c r="K108" s="461"/>
    </row>
    <row r="109" spans="1:24" ht="11.25" customHeight="1">
      <c r="C109" s="519"/>
      <c r="D109" s="519"/>
      <c r="E109" s="519"/>
      <c r="F109" s="519"/>
      <c r="G109" s="519"/>
      <c r="H109" s="519"/>
      <c r="K109" s="461"/>
      <c r="N109" s="461" t="s">
        <v>1261</v>
      </c>
    </row>
    <row r="110" spans="1:24" ht="11.25" customHeight="1">
      <c r="C110" s="519"/>
      <c r="D110" s="519"/>
      <c r="E110" s="519"/>
      <c r="F110" s="519"/>
      <c r="G110" s="519"/>
      <c r="H110" s="519"/>
      <c r="K110" s="461"/>
    </row>
    <row r="111" spans="1:24" ht="11.25" customHeight="1">
      <c r="C111" s="519"/>
      <c r="D111" s="519"/>
      <c r="E111" s="519"/>
      <c r="F111" s="519"/>
      <c r="G111" s="519"/>
      <c r="H111" s="519"/>
      <c r="K111" s="461"/>
    </row>
    <row r="112" spans="1:24" ht="11.25" customHeight="1">
      <c r="C112" s="519"/>
      <c r="D112" s="519"/>
      <c r="E112" s="519"/>
      <c r="F112" s="519"/>
      <c r="G112" s="519"/>
      <c r="H112" s="519"/>
      <c r="K112" s="461"/>
    </row>
    <row r="113" spans="3:8" ht="11.25" customHeight="1">
      <c r="C113" s="519"/>
      <c r="D113" s="519"/>
      <c r="E113" s="519"/>
      <c r="F113" s="519"/>
      <c r="G113" s="519"/>
      <c r="H113" s="519"/>
    </row>
    <row r="114" spans="3:8" ht="11.25" customHeight="1">
      <c r="C114" s="519"/>
      <c r="D114" s="519"/>
      <c r="E114" s="519"/>
      <c r="F114" s="519"/>
      <c r="G114" s="519"/>
      <c r="H114" s="519"/>
    </row>
    <row r="115" spans="3:8" ht="11.25" customHeight="1">
      <c r="C115" s="519"/>
      <c r="D115" s="519"/>
      <c r="E115" s="519"/>
      <c r="F115" s="519"/>
      <c r="G115" s="519"/>
      <c r="H115" s="519"/>
    </row>
    <row r="116" spans="3:8" ht="11.25" customHeight="1">
      <c r="C116" s="519"/>
      <c r="D116" s="519"/>
      <c r="E116" s="519"/>
      <c r="F116" s="519"/>
      <c r="G116" s="519"/>
      <c r="H116" s="519"/>
    </row>
    <row r="117" spans="3:8" ht="11.25" customHeight="1">
      <c r="C117" s="519"/>
      <c r="D117" s="519"/>
      <c r="E117" s="519"/>
      <c r="F117" s="519"/>
      <c r="G117" s="519"/>
      <c r="H117" s="519"/>
    </row>
    <row r="118" spans="3:8" ht="11.25" customHeight="1">
      <c r="C118" s="519"/>
      <c r="D118" s="519"/>
      <c r="E118" s="519"/>
      <c r="F118" s="519"/>
      <c r="G118" s="519"/>
      <c r="H118" s="519"/>
    </row>
    <row r="119" spans="3:8" ht="11.25" customHeight="1">
      <c r="C119" s="519"/>
      <c r="D119" s="519"/>
      <c r="E119" s="519"/>
      <c r="F119" s="519"/>
      <c r="G119" s="519"/>
      <c r="H119" s="519"/>
    </row>
    <row r="120" spans="3:8" ht="11.25" customHeight="1">
      <c r="C120" s="519"/>
      <c r="D120" s="519"/>
      <c r="E120" s="519"/>
      <c r="F120" s="519"/>
      <c r="G120" s="519"/>
      <c r="H120" s="519"/>
    </row>
    <row r="121" spans="3:8" ht="11.25" customHeight="1">
      <c r="C121" s="519"/>
      <c r="D121" s="519"/>
      <c r="E121" s="519"/>
      <c r="F121" s="519"/>
      <c r="G121" s="519"/>
      <c r="H121" s="519"/>
    </row>
  </sheetData>
  <autoFilter ref="B17:R106" xr:uid="{00000000-0009-0000-0000-000001000000}">
    <filterColumn colId="14" showButton="0"/>
    <sortState xmlns:xlrd2="http://schemas.microsoft.com/office/spreadsheetml/2017/richdata2" ref="B21:R30">
      <sortCondition sortBy="cellColor" ref="M17:M106" dxfId="25"/>
    </sortState>
  </autoFilter>
  <mergeCells count="5">
    <mergeCell ref="H16:J16"/>
    <mergeCell ref="K16:M16"/>
    <mergeCell ref="N16:O16"/>
    <mergeCell ref="P16:Q16"/>
    <mergeCell ref="P17:Q17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428D-1EDD-4E7E-ACDE-A814E274F17A}">
  <sheetPr filterMode="1">
    <tabColor theme="7" tint="-0.249977111117893"/>
  </sheetPr>
  <dimension ref="A1:AC107"/>
  <sheetViews>
    <sheetView showGridLines="0" zoomScaleNormal="100" workbookViewId="0">
      <pane ySplit="18" topLeftCell="A19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1273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1259</v>
      </c>
      <c r="C3" s="477"/>
      <c r="D3" s="477"/>
      <c r="E3" s="477"/>
      <c r="F3" s="715">
        <v>1354.4</v>
      </c>
      <c r="G3" s="480"/>
      <c r="H3" s="476" t="s">
        <v>1274</v>
      </c>
      <c r="I3" s="477"/>
      <c r="K3" s="478"/>
      <c r="L3" s="715">
        <v>1367.9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N4" s="771"/>
      <c r="O4" s="772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26358.6</v>
      </c>
      <c r="E5" s="496">
        <v>3648.91</v>
      </c>
      <c r="F5" s="497">
        <f>ROUND(E5*$F$3,0)</f>
        <v>4942084</v>
      </c>
      <c r="G5" s="498"/>
      <c r="H5" s="499" t="s">
        <v>11</v>
      </c>
      <c r="I5" s="499" t="s">
        <v>12</v>
      </c>
      <c r="J5" s="693"/>
      <c r="K5" s="693"/>
      <c r="L5" s="651">
        <f>ROUND(K5*$L$3,0)</f>
        <v>0</v>
      </c>
      <c r="M5" s="851">
        <f>L5+F5</f>
        <v>4942084</v>
      </c>
      <c r="N5" s="852"/>
      <c r="P5" s="776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36414.69</v>
      </c>
      <c r="E6" s="500">
        <v>5041</v>
      </c>
      <c r="F6" s="497">
        <f t="shared" ref="F6:F12" si="0">ROUND(E6*$F$3,0)</f>
        <v>6827530</v>
      </c>
      <c r="G6" s="502"/>
      <c r="H6" s="499" t="s">
        <v>13</v>
      </c>
      <c r="I6" s="499" t="s">
        <v>14</v>
      </c>
      <c r="J6" s="693"/>
      <c r="K6" s="693"/>
      <c r="L6" s="651">
        <f t="shared" ref="L6:L11" si="1">ROUND(K6*$L$3,0)</f>
        <v>0</v>
      </c>
      <c r="M6" s="851">
        <f t="shared" ref="M6:M13" si="2">L6+F6</f>
        <v>6827530</v>
      </c>
      <c r="N6" s="852"/>
      <c r="P6" s="776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496">
        <v>24584</v>
      </c>
      <c r="E7" s="496">
        <v>3403.24</v>
      </c>
      <c r="F7" s="497">
        <f t="shared" si="0"/>
        <v>4609348</v>
      </c>
      <c r="G7" s="503"/>
      <c r="H7" s="499" t="s">
        <v>15</v>
      </c>
      <c r="I7" s="499" t="s">
        <v>1055</v>
      </c>
      <c r="J7" s="694"/>
      <c r="K7" s="694"/>
      <c r="L7" s="651">
        <f t="shared" si="1"/>
        <v>0</v>
      </c>
      <c r="M7" s="851">
        <f t="shared" si="2"/>
        <v>4609348</v>
      </c>
      <c r="N7" s="852"/>
      <c r="O7" s="842">
        <v>1500000</v>
      </c>
      <c r="P7" s="776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17500</v>
      </c>
      <c r="E8" s="500">
        <v>2422.58</v>
      </c>
      <c r="F8" s="497">
        <f t="shared" si="0"/>
        <v>3281142</v>
      </c>
      <c r="G8" s="503"/>
      <c r="H8" s="499" t="s">
        <v>15</v>
      </c>
      <c r="I8" s="494" t="s">
        <v>17</v>
      </c>
      <c r="J8" s="694"/>
      <c r="K8" s="694"/>
      <c r="L8" s="651">
        <f t="shared" si="1"/>
        <v>0</v>
      </c>
      <c r="M8" s="851">
        <f t="shared" si="2"/>
        <v>3281142</v>
      </c>
      <c r="N8" s="852"/>
      <c r="O8" s="461">
        <f>O7/L3</f>
        <v>1096.5713867972804</v>
      </c>
      <c r="P8" s="776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2100.6999999999998</v>
      </c>
      <c r="E9" s="500">
        <v>290.81</v>
      </c>
      <c r="F9" s="497">
        <f t="shared" si="0"/>
        <v>393873</v>
      </c>
      <c r="G9" s="504"/>
      <c r="H9" s="499" t="s">
        <v>19</v>
      </c>
      <c r="I9" s="494" t="s">
        <v>20</v>
      </c>
      <c r="J9" s="693"/>
      <c r="K9" s="693"/>
      <c r="L9" s="651">
        <f t="shared" si="1"/>
        <v>0</v>
      </c>
      <c r="M9" s="851">
        <f t="shared" si="2"/>
        <v>393873</v>
      </c>
      <c r="N9" s="852"/>
      <c r="O9" s="850">
        <f>O8/3</f>
        <v>365.52379559909349</v>
      </c>
      <c r="P9" s="776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41263.379999999997</v>
      </c>
      <c r="E10" s="500">
        <v>5712.22</v>
      </c>
      <c r="F10" s="497">
        <f t="shared" si="0"/>
        <v>7736631</v>
      </c>
      <c r="G10" s="505"/>
      <c r="H10" s="499" t="s">
        <v>21</v>
      </c>
      <c r="I10" s="499"/>
      <c r="J10" s="693">
        <v>162330.49</v>
      </c>
      <c r="K10" s="693">
        <v>22530.400000000001</v>
      </c>
      <c r="L10" s="651">
        <f>ROUND(K10*$L$3,0)</f>
        <v>30819334</v>
      </c>
      <c r="M10" s="851">
        <f t="shared" si="2"/>
        <v>38555965</v>
      </c>
      <c r="N10" s="852"/>
      <c r="P10" s="776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1354.3999734876768</v>
      </c>
      <c r="H11" s="506" t="s">
        <v>1057</v>
      </c>
      <c r="I11" s="507" t="s">
        <v>1279</v>
      </c>
      <c r="J11" s="511">
        <v>7995</v>
      </c>
      <c r="K11" s="855">
        <v>1096.57</v>
      </c>
      <c r="L11" s="854">
        <f t="shared" si="1"/>
        <v>1499998</v>
      </c>
      <c r="M11" s="851">
        <f t="shared" si="2"/>
        <v>1499998</v>
      </c>
      <c r="N11" s="853"/>
      <c r="P11" s="776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499"/>
      <c r="E12" s="500"/>
      <c r="F12" s="497">
        <f t="shared" si="0"/>
        <v>0</v>
      </c>
      <c r="G12" s="512">
        <f>E13+Q13+AB13</f>
        <v>20518.759999999998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51">
        <f t="shared" si="2"/>
        <v>0</v>
      </c>
      <c r="N12" s="852"/>
      <c r="P12" s="776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ht="11.25" customHeight="1">
      <c r="A13" s="449"/>
      <c r="B13" s="513" t="s">
        <v>22</v>
      </c>
      <c r="C13" s="514"/>
      <c r="D13" s="516">
        <f>SUM(D5:D11)-D12</f>
        <v>148221.37</v>
      </c>
      <c r="E13" s="516">
        <f>SUM(E5:E11)-E12</f>
        <v>20518.759999999998</v>
      </c>
      <c r="F13" s="517">
        <f>SUM(F5:F11)-F12</f>
        <v>27790608</v>
      </c>
      <c r="G13" s="518">
        <f>F13+R13+AC13</f>
        <v>27790608</v>
      </c>
      <c r="H13" s="513" t="s">
        <v>22</v>
      </c>
      <c r="I13" s="514"/>
      <c r="J13" s="515">
        <f>SUM(J5:J11)-J12</f>
        <v>170325.49</v>
      </c>
      <c r="K13" s="516">
        <f>SUM(K5:K11)-K12</f>
        <v>23626.97</v>
      </c>
      <c r="L13" s="517">
        <f>SUM(L5:L11)-L12</f>
        <v>32319332</v>
      </c>
      <c r="M13" s="851">
        <f t="shared" si="2"/>
        <v>60109940</v>
      </c>
      <c r="N13" s="851">
        <v>2363175</v>
      </c>
      <c r="O13" s="779">
        <f>M13+N13</f>
        <v>62473115</v>
      </c>
      <c r="P13" s="776"/>
      <c r="Q13" s="776"/>
      <c r="R13" s="776"/>
      <c r="X13" s="714">
        <f>F13+R13</f>
        <v>27790608</v>
      </c>
      <c r="Y13" s="643"/>
      <c r="Z13" s="473"/>
      <c r="AA13" s="466"/>
      <c r="AB13" s="470"/>
      <c r="AC13" s="468"/>
    </row>
    <row r="14" spans="1:29" ht="14.25" customHeight="1">
      <c r="A14" s="449"/>
      <c r="C14" s="520"/>
      <c r="D14" s="520"/>
      <c r="E14" s="738">
        <f t="shared" ref="E14" si="3">SUM(E7:E10)</f>
        <v>11828.85</v>
      </c>
      <c r="F14" s="739">
        <f>SUM(F7:F10)</f>
        <v>16020994</v>
      </c>
      <c r="G14" s="524"/>
      <c r="O14" s="525"/>
      <c r="P14" s="844">
        <f>P13+D13+J13</f>
        <v>318546.86</v>
      </c>
      <c r="Q14" s="844">
        <f>Q13+E13+K13</f>
        <v>44145.729999999996</v>
      </c>
      <c r="R14" s="845">
        <f>R13+F13+L13</f>
        <v>60109940</v>
      </c>
      <c r="X14" s="470"/>
      <c r="Y14" s="525"/>
      <c r="AB14" s="525"/>
      <c r="AC14" s="489"/>
    </row>
    <row r="15" spans="1:29" ht="18.75" customHeight="1" thickBot="1">
      <c r="A15" s="449"/>
      <c r="C15" s="520"/>
      <c r="D15" s="520"/>
      <c r="E15" s="523"/>
      <c r="F15" s="523"/>
      <c r="G15" s="524"/>
      <c r="I15" s="525"/>
      <c r="J15" s="526"/>
      <c r="K15" s="652">
        <f>SUBTOTAL(9,K18:K121)</f>
        <v>9075</v>
      </c>
      <c r="L15" s="137"/>
      <c r="M15" s="652" t="e">
        <f>SUBTOTAL(9,M18:M121)</f>
        <v>#REF!</v>
      </c>
      <c r="N15" s="525"/>
      <c r="Q15" s="525"/>
    </row>
    <row r="16" spans="1:29" ht="11.25" customHeight="1">
      <c r="A16" s="449"/>
      <c r="B16" s="527" t="s">
        <v>24</v>
      </c>
      <c r="C16" s="528" t="s">
        <v>25</v>
      </c>
      <c r="D16" s="528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7"/>
      <c r="R16" s="533" t="s">
        <v>1062</v>
      </c>
    </row>
    <row r="17" spans="1:19" ht="11.25" customHeight="1">
      <c r="A17" s="449"/>
      <c r="B17" s="534" t="s">
        <v>1063</v>
      </c>
      <c r="C17" s="535" t="s">
        <v>1064</v>
      </c>
      <c r="D17" s="535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81" t="s">
        <v>32</v>
      </c>
      <c r="Q17" s="2081"/>
      <c r="R17" s="486" t="s">
        <v>1062</v>
      </c>
    </row>
    <row r="18" spans="1:19" ht="11.25" hidden="1" customHeight="1">
      <c r="B18" s="657">
        <v>45412</v>
      </c>
      <c r="C18" s="658"/>
      <c r="D18" s="658"/>
      <c r="E18" s="660"/>
      <c r="F18" s="658"/>
      <c r="G18" s="661"/>
      <c r="H18" s="662"/>
      <c r="I18" s="658"/>
      <c r="J18" s="661"/>
      <c r="K18" s="682"/>
      <c r="L18" s="663"/>
      <c r="M18" s="679"/>
      <c r="N18" s="781">
        <v>148221.3299999999</v>
      </c>
      <c r="O18" s="782">
        <v>20518.76385152675</v>
      </c>
      <c r="P18" s="681"/>
      <c r="Q18" s="798"/>
      <c r="R18" s="805"/>
      <c r="S18" s="846">
        <v>20518.759999999998</v>
      </c>
    </row>
    <row r="19" spans="1:19" ht="11.25" hidden="1" customHeight="1">
      <c r="B19" s="744">
        <v>45424</v>
      </c>
      <c r="C19" s="745" t="s">
        <v>834</v>
      </c>
      <c r="D19" s="745"/>
      <c r="E19" s="746"/>
      <c r="F19" s="747"/>
      <c r="G19" s="747"/>
      <c r="H19" s="748">
        <v>299792.27</v>
      </c>
      <c r="I19" s="749"/>
      <c r="J19" s="748">
        <v>41566</v>
      </c>
      <c r="K19" s="750"/>
      <c r="L19" s="751"/>
      <c r="M19" s="692"/>
      <c r="N19" s="752">
        <f t="shared" ref="N19:N50" si="4">N18+H19-K19</f>
        <v>448013.59999999992</v>
      </c>
      <c r="O19" s="753">
        <f t="shared" ref="O19:O50" si="5">O18+J19-M19</f>
        <v>62084.763851526746</v>
      </c>
      <c r="P19" s="754"/>
      <c r="Q19" s="800"/>
      <c r="R19" s="807"/>
      <c r="S19" s="525"/>
    </row>
    <row r="20" spans="1:19" ht="11.25" hidden="1" customHeight="1">
      <c r="B20" s="744">
        <v>45424</v>
      </c>
      <c r="C20" s="745" t="s">
        <v>250</v>
      </c>
      <c r="D20" s="745"/>
      <c r="E20" s="746">
        <v>1</v>
      </c>
      <c r="F20" s="747" t="s">
        <v>107</v>
      </c>
      <c r="G20" s="747"/>
      <c r="H20" s="748"/>
      <c r="I20" s="749"/>
      <c r="J20" s="748"/>
      <c r="K20" s="750"/>
      <c r="L20" s="751"/>
      <c r="M20" s="766">
        <v>51</v>
      </c>
      <c r="N20" s="752">
        <f t="shared" si="4"/>
        <v>448013.59999999992</v>
      </c>
      <c r="O20" s="753">
        <f t="shared" si="5"/>
        <v>62033.763851526746</v>
      </c>
      <c r="P20" s="754"/>
      <c r="Q20" s="800"/>
      <c r="R20" s="807"/>
      <c r="S20" s="525"/>
    </row>
    <row r="21" spans="1:19" ht="11.25" hidden="1" customHeight="1">
      <c r="B21" s="568">
        <v>45427</v>
      </c>
      <c r="C21" s="656" t="s">
        <v>304</v>
      </c>
      <c r="D21" s="656"/>
      <c r="E21" s="668">
        <v>2</v>
      </c>
      <c r="F21" s="569" t="s">
        <v>105</v>
      </c>
      <c r="G21" s="569" t="s">
        <v>1122</v>
      </c>
      <c r="H21" s="571"/>
      <c r="I21" s="686"/>
      <c r="J21" s="572"/>
      <c r="K21" s="637">
        <v>24584</v>
      </c>
      <c r="L21" s="542" t="e">
        <f>'통장내역(환율표)'!#REF!</f>
        <v>#REF!</v>
      </c>
      <c r="M21" s="723" t="e">
        <f t="shared" ref="M21:M67" si="6">K21/L21</f>
        <v>#REF!</v>
      </c>
      <c r="N21" s="687">
        <f t="shared" si="4"/>
        <v>423429.59999999992</v>
      </c>
      <c r="O21" s="688" t="e">
        <f t="shared" si="5"/>
        <v>#REF!</v>
      </c>
      <c r="P21" s="689" t="s">
        <v>1262</v>
      </c>
      <c r="Q21" s="801"/>
      <c r="R21" s="808"/>
      <c r="S21" s="525" t="e">
        <f>S18-M21</f>
        <v>#REF!</v>
      </c>
    </row>
    <row r="22" spans="1:19" ht="11.25" hidden="1" customHeight="1">
      <c r="B22" s="568">
        <v>45427</v>
      </c>
      <c r="C22" s="656" t="s">
        <v>250</v>
      </c>
      <c r="D22" s="656"/>
      <c r="E22" s="668">
        <v>3</v>
      </c>
      <c r="F22" s="569" t="s">
        <v>107</v>
      </c>
      <c r="G22" s="569"/>
      <c r="H22" s="571"/>
      <c r="I22" s="686"/>
      <c r="J22" s="572"/>
      <c r="K22" s="637">
        <v>7.2</v>
      </c>
      <c r="L22" s="542" t="e">
        <f>'통장내역(환율표)'!#REF!</f>
        <v>#REF!</v>
      </c>
      <c r="M22" s="723" t="e">
        <f t="shared" si="6"/>
        <v>#REF!</v>
      </c>
      <c r="N22" s="687">
        <f t="shared" si="4"/>
        <v>423422.39999999991</v>
      </c>
      <c r="O22" s="688" t="e">
        <f t="shared" si="5"/>
        <v>#REF!</v>
      </c>
      <c r="P22" s="689" t="s">
        <v>1262</v>
      </c>
      <c r="Q22" s="801"/>
      <c r="R22" s="808"/>
      <c r="S22" s="525" t="e">
        <f>S21-M22</f>
        <v>#REF!</v>
      </c>
    </row>
    <row r="23" spans="1:19" ht="11.25" hidden="1" customHeight="1">
      <c r="B23" s="568">
        <v>45434</v>
      </c>
      <c r="C23" s="656" t="s">
        <v>1275</v>
      </c>
      <c r="D23" s="656"/>
      <c r="E23" s="668">
        <v>4</v>
      </c>
      <c r="F23" s="569" t="s">
        <v>107</v>
      </c>
      <c r="G23" s="569"/>
      <c r="H23" s="571"/>
      <c r="I23" s="686"/>
      <c r="J23" s="572"/>
      <c r="K23" s="637">
        <v>80</v>
      </c>
      <c r="L23" s="542" t="e">
        <f>'통장내역(환율표)'!#REF!</f>
        <v>#REF!</v>
      </c>
      <c r="M23" s="723" t="e">
        <f t="shared" si="6"/>
        <v>#REF!</v>
      </c>
      <c r="N23" s="687">
        <f t="shared" si="4"/>
        <v>423342.39999999991</v>
      </c>
      <c r="O23" s="688" t="e">
        <f t="shared" si="5"/>
        <v>#REF!</v>
      </c>
      <c r="P23" s="689" t="s">
        <v>1262</v>
      </c>
      <c r="Q23" s="801"/>
      <c r="R23" s="808"/>
      <c r="S23" s="525" t="e">
        <f t="shared" ref="S23:S68" si="7">S22-M23</f>
        <v>#REF!</v>
      </c>
    </row>
    <row r="24" spans="1:19" ht="11.25" hidden="1" customHeight="1">
      <c r="B24" s="568">
        <v>45434</v>
      </c>
      <c r="C24" s="669" t="s">
        <v>305</v>
      </c>
      <c r="D24" s="656"/>
      <c r="E24" s="668">
        <v>5</v>
      </c>
      <c r="F24" s="569" t="s">
        <v>105</v>
      </c>
      <c r="G24" s="569" t="s">
        <v>227</v>
      </c>
      <c r="H24" s="571"/>
      <c r="I24" s="686"/>
      <c r="J24" s="572"/>
      <c r="K24" s="596">
        <v>10500</v>
      </c>
      <c r="L24" s="542" t="e">
        <f>'통장내역(환율표)'!#REF!</f>
        <v>#REF!</v>
      </c>
      <c r="M24" s="723" t="e">
        <f t="shared" si="6"/>
        <v>#REF!</v>
      </c>
      <c r="N24" s="687">
        <f t="shared" si="4"/>
        <v>412842.39999999991</v>
      </c>
      <c r="O24" s="688" t="e">
        <f t="shared" si="5"/>
        <v>#REF!</v>
      </c>
      <c r="P24" s="689" t="s">
        <v>1262</v>
      </c>
      <c r="Q24" s="801"/>
      <c r="R24" s="808"/>
      <c r="S24" s="525" t="e">
        <f t="shared" si="7"/>
        <v>#REF!</v>
      </c>
    </row>
    <row r="25" spans="1:19" ht="11.25" hidden="1" customHeight="1">
      <c r="B25" s="568">
        <v>45434</v>
      </c>
      <c r="C25" s="669" t="s">
        <v>1107</v>
      </c>
      <c r="D25" s="656"/>
      <c r="E25" s="668">
        <v>6</v>
      </c>
      <c r="F25" s="569" t="s">
        <v>107</v>
      </c>
      <c r="G25" s="569"/>
      <c r="H25" s="571"/>
      <c r="I25" s="686"/>
      <c r="J25" s="572"/>
      <c r="K25" s="596">
        <v>6000</v>
      </c>
      <c r="L25" s="542" t="e">
        <f>'통장내역(환율표)'!#REF!</f>
        <v>#REF!</v>
      </c>
      <c r="M25" s="723" t="e">
        <f t="shared" si="6"/>
        <v>#REF!</v>
      </c>
      <c r="N25" s="687">
        <f t="shared" si="4"/>
        <v>406842.39999999991</v>
      </c>
      <c r="O25" s="688" t="e">
        <f t="shared" si="5"/>
        <v>#REF!</v>
      </c>
      <c r="P25" s="689" t="s">
        <v>1262</v>
      </c>
      <c r="Q25" s="801"/>
      <c r="R25" s="808"/>
      <c r="S25" s="525" t="e">
        <f t="shared" si="7"/>
        <v>#REF!</v>
      </c>
    </row>
    <row r="26" spans="1:19" ht="11.25" hidden="1" customHeight="1">
      <c r="B26" s="568">
        <v>45434</v>
      </c>
      <c r="C26" s="669" t="s">
        <v>1108</v>
      </c>
      <c r="D26" s="656"/>
      <c r="E26" s="668">
        <v>7</v>
      </c>
      <c r="F26" s="569" t="s">
        <v>107</v>
      </c>
      <c r="G26" s="569"/>
      <c r="H26" s="571"/>
      <c r="I26" s="686"/>
      <c r="J26" s="572"/>
      <c r="K26" s="596">
        <v>1340</v>
      </c>
      <c r="L26" s="542" t="e">
        <f>'통장내역(환율표)'!#REF!</f>
        <v>#REF!</v>
      </c>
      <c r="M26" s="723" t="e">
        <f t="shared" si="6"/>
        <v>#REF!</v>
      </c>
      <c r="N26" s="687">
        <f t="shared" si="4"/>
        <v>405502.39999999991</v>
      </c>
      <c r="O26" s="688" t="e">
        <f t="shared" si="5"/>
        <v>#REF!</v>
      </c>
      <c r="P26" s="689" t="s">
        <v>1262</v>
      </c>
      <c r="Q26" s="801"/>
      <c r="R26" s="808"/>
      <c r="S26" s="525" t="e">
        <f t="shared" si="7"/>
        <v>#REF!</v>
      </c>
    </row>
    <row r="27" spans="1:19" ht="11.25" hidden="1" customHeight="1">
      <c r="B27" s="568">
        <v>45434</v>
      </c>
      <c r="C27" s="669" t="s">
        <v>305</v>
      </c>
      <c r="D27" s="656"/>
      <c r="E27" s="668">
        <v>8</v>
      </c>
      <c r="F27" s="569" t="s">
        <v>105</v>
      </c>
      <c r="G27" s="569" t="s">
        <v>227</v>
      </c>
      <c r="H27" s="571"/>
      <c r="I27" s="686"/>
      <c r="J27" s="572"/>
      <c r="K27" s="697">
        <v>7000</v>
      </c>
      <c r="L27" s="542" t="e">
        <f>'통장내역(환율표)'!#REF!</f>
        <v>#REF!</v>
      </c>
      <c r="M27" s="723" t="e">
        <f t="shared" si="6"/>
        <v>#REF!</v>
      </c>
      <c r="N27" s="687">
        <f t="shared" si="4"/>
        <v>398502.39999999991</v>
      </c>
      <c r="O27" s="688" t="e">
        <f t="shared" si="5"/>
        <v>#REF!</v>
      </c>
      <c r="P27" s="689" t="s">
        <v>1262</v>
      </c>
      <c r="Q27" s="801"/>
      <c r="R27" s="808"/>
      <c r="S27" s="525" t="e">
        <f t="shared" si="7"/>
        <v>#REF!</v>
      </c>
    </row>
    <row r="28" spans="1:19" ht="11.25" hidden="1" customHeight="1">
      <c r="B28" s="568">
        <v>45434</v>
      </c>
      <c r="C28" s="669" t="s">
        <v>1107</v>
      </c>
      <c r="D28" s="656"/>
      <c r="E28" s="668">
        <v>9</v>
      </c>
      <c r="F28" s="569" t="s">
        <v>107</v>
      </c>
      <c r="G28" s="569"/>
      <c r="H28" s="571"/>
      <c r="I28" s="686"/>
      <c r="J28" s="572"/>
      <c r="K28" s="697">
        <v>6000</v>
      </c>
      <c r="L28" s="542" t="e">
        <f>'통장내역(환율표)'!#REF!</f>
        <v>#REF!</v>
      </c>
      <c r="M28" s="723" t="e">
        <f t="shared" si="6"/>
        <v>#REF!</v>
      </c>
      <c r="N28" s="687">
        <f t="shared" si="4"/>
        <v>392502.39999999991</v>
      </c>
      <c r="O28" s="688" t="e">
        <f t="shared" si="5"/>
        <v>#REF!</v>
      </c>
      <c r="P28" s="689" t="s">
        <v>1262</v>
      </c>
      <c r="Q28" s="801"/>
      <c r="R28" s="808"/>
      <c r="S28" s="525" t="e">
        <f t="shared" si="7"/>
        <v>#REF!</v>
      </c>
    </row>
    <row r="29" spans="1:19" ht="11.25" hidden="1" customHeight="1">
      <c r="B29" s="568">
        <v>45434</v>
      </c>
      <c r="C29" s="669" t="s">
        <v>1108</v>
      </c>
      <c r="D29" s="656"/>
      <c r="E29" s="668">
        <v>10</v>
      </c>
      <c r="F29" s="569" t="s">
        <v>107</v>
      </c>
      <c r="G29" s="569"/>
      <c r="H29" s="571"/>
      <c r="I29" s="686"/>
      <c r="J29" s="572"/>
      <c r="K29" s="596">
        <v>420</v>
      </c>
      <c r="L29" s="542" t="e">
        <f>'통장내역(환율표)'!#REF!</f>
        <v>#REF!</v>
      </c>
      <c r="M29" s="723" t="e">
        <f t="shared" si="6"/>
        <v>#REF!</v>
      </c>
      <c r="N29" s="687">
        <f t="shared" si="4"/>
        <v>392082.39999999991</v>
      </c>
      <c r="O29" s="688" t="e">
        <f t="shared" si="5"/>
        <v>#REF!</v>
      </c>
      <c r="P29" s="689" t="s">
        <v>1262</v>
      </c>
      <c r="Q29" s="801"/>
      <c r="R29" s="808"/>
      <c r="S29" s="525" t="e">
        <f t="shared" si="7"/>
        <v>#REF!</v>
      </c>
    </row>
    <row r="30" spans="1:19" ht="11.25" hidden="1" customHeight="1">
      <c r="B30" s="568">
        <v>45434</v>
      </c>
      <c r="C30" s="571" t="s">
        <v>445</v>
      </c>
      <c r="D30" s="656"/>
      <c r="E30" s="668">
        <v>11</v>
      </c>
      <c r="F30" s="569" t="s">
        <v>107</v>
      </c>
      <c r="G30" s="569"/>
      <c r="H30" s="571"/>
      <c r="I30" s="686"/>
      <c r="J30" s="572"/>
      <c r="K30" s="596">
        <v>7.2</v>
      </c>
      <c r="L30" s="542" t="e">
        <f>'통장내역(환율표)'!#REF!</f>
        <v>#REF!</v>
      </c>
      <c r="M30" s="723" t="e">
        <f t="shared" si="6"/>
        <v>#REF!</v>
      </c>
      <c r="N30" s="687">
        <f t="shared" si="4"/>
        <v>392075.1999999999</v>
      </c>
      <c r="O30" s="688" t="e">
        <f t="shared" si="5"/>
        <v>#REF!</v>
      </c>
      <c r="P30" s="689" t="s">
        <v>1262</v>
      </c>
      <c r="Q30" s="801"/>
      <c r="R30" s="808"/>
      <c r="S30" s="525" t="e">
        <f t="shared" si="7"/>
        <v>#REF!</v>
      </c>
    </row>
    <row r="31" spans="1:19" ht="11.25" customHeight="1">
      <c r="B31" s="568">
        <v>45434</v>
      </c>
      <c r="C31" s="656" t="s">
        <v>306</v>
      </c>
      <c r="D31" s="656"/>
      <c r="E31" s="668">
        <v>12</v>
      </c>
      <c r="F31" s="569" t="s">
        <v>107</v>
      </c>
      <c r="G31" s="569"/>
      <c r="H31" s="571"/>
      <c r="I31" s="686"/>
      <c r="J31" s="572"/>
      <c r="K31" s="596">
        <v>7575</v>
      </c>
      <c r="L31" s="542" t="e">
        <f>'통장내역(환율표)'!#REF!</f>
        <v>#REF!</v>
      </c>
      <c r="M31" s="723" t="e">
        <f t="shared" si="6"/>
        <v>#REF!</v>
      </c>
      <c r="N31" s="687">
        <f t="shared" si="4"/>
        <v>384500.1999999999</v>
      </c>
      <c r="O31" s="688" t="e">
        <f t="shared" si="5"/>
        <v>#REF!</v>
      </c>
      <c r="P31" s="689" t="s">
        <v>1262</v>
      </c>
      <c r="Q31" s="801"/>
      <c r="R31" s="809"/>
      <c r="S31" s="525" t="e">
        <f t="shared" si="7"/>
        <v>#REF!</v>
      </c>
    </row>
    <row r="32" spans="1:19" ht="11.25" hidden="1" customHeight="1">
      <c r="B32" s="568">
        <v>45434</v>
      </c>
      <c r="C32" s="571" t="s">
        <v>445</v>
      </c>
      <c r="D32" s="656"/>
      <c r="E32" s="668">
        <v>17</v>
      </c>
      <c r="F32" s="569" t="s">
        <v>107</v>
      </c>
      <c r="G32" s="569"/>
      <c r="H32" s="571"/>
      <c r="I32" s="686"/>
      <c r="J32" s="572"/>
      <c r="K32" s="697">
        <v>3.6</v>
      </c>
      <c r="L32" s="542" t="e">
        <f>'통장내역(환율표)'!#REF!</f>
        <v>#REF!</v>
      </c>
      <c r="M32" s="723" t="e">
        <f t="shared" si="6"/>
        <v>#REF!</v>
      </c>
      <c r="N32" s="687">
        <f t="shared" si="4"/>
        <v>384496.59999999992</v>
      </c>
      <c r="O32" s="688" t="e">
        <f t="shared" si="5"/>
        <v>#REF!</v>
      </c>
      <c r="P32" s="689" t="s">
        <v>1262</v>
      </c>
      <c r="Q32" s="801"/>
      <c r="R32" s="809"/>
      <c r="S32" s="525" t="e">
        <f t="shared" si="7"/>
        <v>#REF!</v>
      </c>
    </row>
    <row r="33" spans="2:19" ht="11.25" hidden="1" customHeight="1">
      <c r="B33" s="568">
        <v>45434</v>
      </c>
      <c r="C33" s="656" t="s">
        <v>999</v>
      </c>
      <c r="D33" s="656"/>
      <c r="E33" s="668">
        <v>13</v>
      </c>
      <c r="F33" s="569" t="s">
        <v>146</v>
      </c>
      <c r="G33" s="569" t="s">
        <v>147</v>
      </c>
      <c r="H33" s="571"/>
      <c r="I33" s="686"/>
      <c r="J33" s="572"/>
      <c r="K33" s="637">
        <v>3606</v>
      </c>
      <c r="L33" s="542" t="e">
        <f>'통장내역(환율표)'!#REF!</f>
        <v>#REF!</v>
      </c>
      <c r="M33" s="723" t="e">
        <f t="shared" si="6"/>
        <v>#REF!</v>
      </c>
      <c r="N33" s="687">
        <f t="shared" si="4"/>
        <v>380890.59999999992</v>
      </c>
      <c r="O33" s="688" t="e">
        <f t="shared" si="5"/>
        <v>#REF!</v>
      </c>
      <c r="P33" s="689" t="s">
        <v>1262</v>
      </c>
      <c r="Q33" s="801"/>
      <c r="R33" s="809"/>
      <c r="S33" s="525" t="e">
        <f t="shared" si="7"/>
        <v>#REF!</v>
      </c>
    </row>
    <row r="34" spans="2:19" ht="11.25" hidden="1" customHeight="1">
      <c r="B34" s="568">
        <v>45434</v>
      </c>
      <c r="C34" s="656" t="s">
        <v>998</v>
      </c>
      <c r="D34" s="656"/>
      <c r="E34" s="668">
        <v>14</v>
      </c>
      <c r="F34" s="569" t="s">
        <v>146</v>
      </c>
      <c r="G34" s="569" t="s">
        <v>147</v>
      </c>
      <c r="H34" s="571"/>
      <c r="I34" s="686"/>
      <c r="J34" s="572"/>
      <c r="K34" s="637">
        <v>438</v>
      </c>
      <c r="L34" s="542" t="e">
        <f>'통장내역(환율표)'!#REF!</f>
        <v>#REF!</v>
      </c>
      <c r="M34" s="723" t="e">
        <f t="shared" si="6"/>
        <v>#REF!</v>
      </c>
      <c r="N34" s="687">
        <f t="shared" si="4"/>
        <v>380452.59999999992</v>
      </c>
      <c r="O34" s="688" t="e">
        <f t="shared" si="5"/>
        <v>#REF!</v>
      </c>
      <c r="P34" s="689" t="s">
        <v>1262</v>
      </c>
      <c r="Q34" s="801"/>
      <c r="R34" s="809"/>
      <c r="S34" s="525" t="e">
        <f t="shared" si="7"/>
        <v>#REF!</v>
      </c>
    </row>
    <row r="35" spans="2:19" ht="11.25" hidden="1" customHeight="1">
      <c r="B35" s="568">
        <v>45434</v>
      </c>
      <c r="C35" s="656" t="s">
        <v>997</v>
      </c>
      <c r="D35" s="656"/>
      <c r="E35" s="668">
        <v>15</v>
      </c>
      <c r="F35" s="569" t="s">
        <v>146</v>
      </c>
      <c r="G35" s="569" t="s">
        <v>147</v>
      </c>
      <c r="H35" s="571"/>
      <c r="I35" s="686"/>
      <c r="J35" s="572"/>
      <c r="K35" s="843">
        <v>393.4</v>
      </c>
      <c r="L35" s="542" t="e">
        <f>'통장내역(환율표)'!#REF!</f>
        <v>#REF!</v>
      </c>
      <c r="M35" s="723" t="e">
        <f t="shared" si="6"/>
        <v>#REF!</v>
      </c>
      <c r="N35" s="687">
        <f t="shared" si="4"/>
        <v>380059.1999999999</v>
      </c>
      <c r="O35" s="688" t="e">
        <f t="shared" si="5"/>
        <v>#REF!</v>
      </c>
      <c r="P35" s="689" t="s">
        <v>1262</v>
      </c>
      <c r="Q35" s="801"/>
      <c r="R35" s="809"/>
      <c r="S35" s="525" t="e">
        <f t="shared" si="7"/>
        <v>#REF!</v>
      </c>
    </row>
    <row r="36" spans="2:19" ht="11.25" hidden="1" customHeight="1">
      <c r="B36" s="568">
        <v>45434</v>
      </c>
      <c r="C36" s="656" t="s">
        <v>250</v>
      </c>
      <c r="D36" s="656"/>
      <c r="E36" s="668">
        <v>16</v>
      </c>
      <c r="F36" s="569" t="s">
        <v>107</v>
      </c>
      <c r="G36" s="569"/>
      <c r="H36" s="571"/>
      <c r="I36" s="686"/>
      <c r="J36" s="572"/>
      <c r="K36" s="637">
        <v>3.6</v>
      </c>
      <c r="L36" s="542" t="e">
        <f>'통장내역(환율표)'!#REF!</f>
        <v>#REF!</v>
      </c>
      <c r="M36" s="723" t="e">
        <f t="shared" si="6"/>
        <v>#REF!</v>
      </c>
      <c r="N36" s="687">
        <f t="shared" si="4"/>
        <v>380055.59999999992</v>
      </c>
      <c r="O36" s="688" t="e">
        <f t="shared" si="5"/>
        <v>#REF!</v>
      </c>
      <c r="P36" s="689" t="s">
        <v>1262</v>
      </c>
      <c r="Q36" s="801"/>
      <c r="R36" s="809"/>
      <c r="S36" s="525" t="e">
        <f t="shared" si="7"/>
        <v>#REF!</v>
      </c>
    </row>
    <row r="37" spans="2:19" ht="11.25" hidden="1" customHeight="1">
      <c r="B37" s="568">
        <v>45434</v>
      </c>
      <c r="C37" s="656" t="s">
        <v>996</v>
      </c>
      <c r="D37" s="656"/>
      <c r="E37" s="668">
        <v>18</v>
      </c>
      <c r="F37" s="569" t="s">
        <v>146</v>
      </c>
      <c r="G37" s="569" t="s">
        <v>147</v>
      </c>
      <c r="H37" s="571"/>
      <c r="I37" s="686"/>
      <c r="J37" s="572"/>
      <c r="K37" s="637">
        <v>2188</v>
      </c>
      <c r="L37" s="542" t="e">
        <f>'통장내역(환율표)'!#REF!</f>
        <v>#REF!</v>
      </c>
      <c r="M37" s="723" t="e">
        <f t="shared" si="6"/>
        <v>#REF!</v>
      </c>
      <c r="N37" s="687">
        <f t="shared" si="4"/>
        <v>377867.59999999992</v>
      </c>
      <c r="O37" s="688" t="e">
        <f t="shared" si="5"/>
        <v>#REF!</v>
      </c>
      <c r="P37" s="689" t="s">
        <v>1262</v>
      </c>
      <c r="Q37" s="801"/>
      <c r="R37" s="809"/>
      <c r="S37" s="525" t="e">
        <f t="shared" si="7"/>
        <v>#REF!</v>
      </c>
    </row>
    <row r="38" spans="2:19" ht="11.25" hidden="1" customHeight="1">
      <c r="B38" s="568">
        <v>45434</v>
      </c>
      <c r="C38" s="656" t="s">
        <v>995</v>
      </c>
      <c r="D38" s="656"/>
      <c r="E38" s="668">
        <v>19</v>
      </c>
      <c r="F38" s="569" t="s">
        <v>146</v>
      </c>
      <c r="G38" s="569" t="s">
        <v>147</v>
      </c>
      <c r="H38" s="571"/>
      <c r="I38" s="686"/>
      <c r="J38" s="572"/>
      <c r="K38" s="637">
        <v>607</v>
      </c>
      <c r="L38" s="542" t="e">
        <f>'통장내역(환율표)'!#REF!</f>
        <v>#REF!</v>
      </c>
      <c r="M38" s="723" t="e">
        <f t="shared" si="6"/>
        <v>#REF!</v>
      </c>
      <c r="N38" s="687">
        <f t="shared" si="4"/>
        <v>377260.59999999992</v>
      </c>
      <c r="O38" s="688" t="e">
        <f t="shared" si="5"/>
        <v>#REF!</v>
      </c>
      <c r="P38" s="689" t="s">
        <v>1262</v>
      </c>
      <c r="Q38" s="801"/>
      <c r="R38" s="809"/>
      <c r="S38" s="525" t="e">
        <f t="shared" si="7"/>
        <v>#REF!</v>
      </c>
    </row>
    <row r="39" spans="2:19" ht="11.25" hidden="1" customHeight="1">
      <c r="B39" s="568">
        <v>45434</v>
      </c>
      <c r="C39" s="656" t="s">
        <v>994</v>
      </c>
      <c r="D39" s="656"/>
      <c r="E39" s="668">
        <v>20</v>
      </c>
      <c r="F39" s="569" t="s">
        <v>146</v>
      </c>
      <c r="G39" s="569" t="s">
        <v>147</v>
      </c>
      <c r="H39" s="571"/>
      <c r="I39" s="686"/>
      <c r="J39" s="572"/>
      <c r="K39" s="843">
        <v>116</v>
      </c>
      <c r="L39" s="542" t="e">
        <f>'통장내역(환율표)'!#REF!</f>
        <v>#REF!</v>
      </c>
      <c r="M39" s="723" t="e">
        <f t="shared" si="6"/>
        <v>#REF!</v>
      </c>
      <c r="N39" s="687">
        <f t="shared" si="4"/>
        <v>377144.59999999992</v>
      </c>
      <c r="O39" s="688" t="e">
        <f t="shared" si="5"/>
        <v>#REF!</v>
      </c>
      <c r="P39" s="689" t="s">
        <v>1262</v>
      </c>
      <c r="Q39" s="801"/>
      <c r="R39" s="809"/>
      <c r="S39" s="525" t="e">
        <f t="shared" si="7"/>
        <v>#REF!</v>
      </c>
    </row>
    <row r="40" spans="2:19" ht="11.25" hidden="1" customHeight="1">
      <c r="B40" s="568">
        <v>45434</v>
      </c>
      <c r="C40" s="656" t="s">
        <v>250</v>
      </c>
      <c r="D40" s="656"/>
      <c r="E40" s="668">
        <v>21</v>
      </c>
      <c r="F40" s="569" t="s">
        <v>107</v>
      </c>
      <c r="G40" s="569"/>
      <c r="H40" s="571"/>
      <c r="I40" s="686"/>
      <c r="J40" s="572"/>
      <c r="K40" s="637">
        <v>3.6</v>
      </c>
      <c r="L40" s="542" t="e">
        <f>'통장내역(환율표)'!#REF!</f>
        <v>#REF!</v>
      </c>
      <c r="M40" s="723" t="e">
        <f t="shared" si="6"/>
        <v>#REF!</v>
      </c>
      <c r="N40" s="687">
        <f t="shared" si="4"/>
        <v>377140.99999999994</v>
      </c>
      <c r="O40" s="688" t="e">
        <f t="shared" si="5"/>
        <v>#REF!</v>
      </c>
      <c r="P40" s="689" t="s">
        <v>1262</v>
      </c>
      <c r="Q40" s="801"/>
      <c r="R40" s="809"/>
      <c r="S40" s="525" t="e">
        <f t="shared" si="7"/>
        <v>#REF!</v>
      </c>
    </row>
    <row r="41" spans="2:19" ht="11.25" hidden="1" customHeight="1">
      <c r="B41" s="568">
        <v>45434</v>
      </c>
      <c r="C41" s="656" t="s">
        <v>853</v>
      </c>
      <c r="D41" s="656"/>
      <c r="E41" s="668">
        <v>22</v>
      </c>
      <c r="F41" s="569" t="s">
        <v>146</v>
      </c>
      <c r="G41" s="569" t="s">
        <v>147</v>
      </c>
      <c r="H41" s="571"/>
      <c r="I41" s="686"/>
      <c r="J41" s="572"/>
      <c r="K41" s="637">
        <v>946.65</v>
      </c>
      <c r="L41" s="542" t="e">
        <f>'통장내역(환율표)'!#REF!</f>
        <v>#REF!</v>
      </c>
      <c r="M41" s="723" t="e">
        <f t="shared" si="6"/>
        <v>#REF!</v>
      </c>
      <c r="N41" s="687">
        <f t="shared" si="4"/>
        <v>376194.34999999992</v>
      </c>
      <c r="O41" s="688" t="e">
        <f t="shared" si="5"/>
        <v>#REF!</v>
      </c>
      <c r="P41" s="689" t="s">
        <v>1262</v>
      </c>
      <c r="Q41" s="801"/>
      <c r="R41" s="809"/>
      <c r="S41" s="525" t="e">
        <f t="shared" si="7"/>
        <v>#REF!</v>
      </c>
    </row>
    <row r="42" spans="2:19" ht="11.25" hidden="1" customHeight="1">
      <c r="B42" s="568">
        <v>45434</v>
      </c>
      <c r="C42" s="656" t="s">
        <v>851</v>
      </c>
      <c r="D42" s="656"/>
      <c r="E42" s="668">
        <v>23</v>
      </c>
      <c r="F42" s="569" t="s">
        <v>116</v>
      </c>
      <c r="G42" s="569" t="s">
        <v>140</v>
      </c>
      <c r="H42" s="571"/>
      <c r="I42" s="686"/>
      <c r="J42" s="572"/>
      <c r="K42" s="637">
        <v>99.3</v>
      </c>
      <c r="L42" s="542" t="e">
        <f>'통장내역(환율표)'!#REF!</f>
        <v>#REF!</v>
      </c>
      <c r="M42" s="723" t="e">
        <f t="shared" si="6"/>
        <v>#REF!</v>
      </c>
      <c r="N42" s="687">
        <f t="shared" si="4"/>
        <v>376095.04999999993</v>
      </c>
      <c r="O42" s="688" t="e">
        <f t="shared" si="5"/>
        <v>#REF!</v>
      </c>
      <c r="P42" s="689" t="s">
        <v>1262</v>
      </c>
      <c r="Q42" s="801"/>
      <c r="R42" s="809"/>
      <c r="S42" s="525" t="e">
        <f t="shared" si="7"/>
        <v>#REF!</v>
      </c>
    </row>
    <row r="43" spans="2:19" ht="11.25" hidden="1" customHeight="1">
      <c r="B43" s="568">
        <v>45434</v>
      </c>
      <c r="C43" s="656" t="s">
        <v>250</v>
      </c>
      <c r="D43" s="656"/>
      <c r="E43" s="668">
        <v>24</v>
      </c>
      <c r="F43" s="569" t="s">
        <v>107</v>
      </c>
      <c r="G43" s="569"/>
      <c r="H43" s="571"/>
      <c r="I43" s="686"/>
      <c r="J43" s="572"/>
      <c r="K43" s="637">
        <v>3.6</v>
      </c>
      <c r="L43" s="542" t="e">
        <f>'통장내역(환율표)'!#REF!</f>
        <v>#REF!</v>
      </c>
      <c r="M43" s="723" t="e">
        <f t="shared" si="6"/>
        <v>#REF!</v>
      </c>
      <c r="N43" s="687">
        <f t="shared" si="4"/>
        <v>376091.44999999995</v>
      </c>
      <c r="O43" s="688" t="e">
        <f t="shared" si="5"/>
        <v>#REF!</v>
      </c>
      <c r="P43" s="689" t="s">
        <v>1262</v>
      </c>
      <c r="Q43" s="801"/>
      <c r="R43" s="809"/>
      <c r="S43" s="525" t="e">
        <f t="shared" si="7"/>
        <v>#REF!</v>
      </c>
    </row>
    <row r="44" spans="2:19" ht="11.25" hidden="1" customHeight="1">
      <c r="B44" s="568">
        <v>45434</v>
      </c>
      <c r="C44" s="656" t="s">
        <v>1089</v>
      </c>
      <c r="D44" s="656"/>
      <c r="E44" s="668">
        <v>25</v>
      </c>
      <c r="F44" s="569" t="s">
        <v>146</v>
      </c>
      <c r="G44" s="569" t="s">
        <v>147</v>
      </c>
      <c r="H44" s="571"/>
      <c r="I44" s="686"/>
      <c r="J44" s="572"/>
      <c r="K44" s="637">
        <v>3953</v>
      </c>
      <c r="L44" s="542" t="e">
        <f>'통장내역(환율표)'!#REF!</f>
        <v>#REF!</v>
      </c>
      <c r="M44" s="723" t="e">
        <f t="shared" si="6"/>
        <v>#REF!</v>
      </c>
      <c r="N44" s="687">
        <f t="shared" si="4"/>
        <v>372138.44999999995</v>
      </c>
      <c r="O44" s="688" t="e">
        <f t="shared" si="5"/>
        <v>#REF!</v>
      </c>
      <c r="P44" s="689" t="s">
        <v>1262</v>
      </c>
      <c r="Q44" s="801"/>
      <c r="R44" s="809"/>
      <c r="S44" s="525" t="e">
        <f t="shared" si="7"/>
        <v>#REF!</v>
      </c>
    </row>
    <row r="45" spans="2:19" ht="11.25" hidden="1" customHeight="1">
      <c r="B45" s="568">
        <v>45434</v>
      </c>
      <c r="C45" s="656" t="s">
        <v>1090</v>
      </c>
      <c r="D45" s="656"/>
      <c r="E45" s="668">
        <v>26</v>
      </c>
      <c r="F45" s="569" t="s">
        <v>146</v>
      </c>
      <c r="G45" s="569" t="s">
        <v>147</v>
      </c>
      <c r="H45" s="571"/>
      <c r="I45" s="686"/>
      <c r="J45" s="572"/>
      <c r="K45" s="637">
        <v>939.08</v>
      </c>
      <c r="L45" s="542" t="e">
        <f>'통장내역(환율표)'!#REF!</f>
        <v>#REF!</v>
      </c>
      <c r="M45" s="723" t="e">
        <f t="shared" si="6"/>
        <v>#REF!</v>
      </c>
      <c r="N45" s="687">
        <f t="shared" si="4"/>
        <v>371199.36999999994</v>
      </c>
      <c r="O45" s="688" t="e">
        <f t="shared" si="5"/>
        <v>#REF!</v>
      </c>
      <c r="P45" s="689" t="s">
        <v>1262</v>
      </c>
      <c r="Q45" s="801"/>
      <c r="R45" s="809"/>
      <c r="S45" s="525" t="e">
        <f t="shared" si="7"/>
        <v>#REF!</v>
      </c>
    </row>
    <row r="46" spans="2:19" ht="11.25" hidden="1" customHeight="1">
      <c r="B46" s="568">
        <v>45434</v>
      </c>
      <c r="C46" s="656" t="s">
        <v>1011</v>
      </c>
      <c r="D46" s="669"/>
      <c r="E46" s="668">
        <v>27</v>
      </c>
      <c r="F46" s="569" t="s">
        <v>116</v>
      </c>
      <c r="G46" s="569" t="s">
        <v>140</v>
      </c>
      <c r="H46" s="571"/>
      <c r="I46" s="570"/>
      <c r="J46" s="572"/>
      <c r="K46" s="637">
        <v>285.7</v>
      </c>
      <c r="L46" s="542" t="e">
        <f>'통장내역(환율표)'!#REF!</f>
        <v>#REF!</v>
      </c>
      <c r="M46" s="723" t="e">
        <f t="shared" si="6"/>
        <v>#REF!</v>
      </c>
      <c r="N46" s="687">
        <f t="shared" si="4"/>
        <v>370913.66999999993</v>
      </c>
      <c r="O46" s="688" t="e">
        <f t="shared" si="5"/>
        <v>#REF!</v>
      </c>
      <c r="P46" s="689" t="s">
        <v>1262</v>
      </c>
      <c r="Q46" s="803"/>
      <c r="R46" s="809"/>
      <c r="S46" s="525" t="e">
        <f t="shared" si="7"/>
        <v>#REF!</v>
      </c>
    </row>
    <row r="47" spans="2:19" ht="11.25" hidden="1" customHeight="1">
      <c r="B47" s="568">
        <v>45434</v>
      </c>
      <c r="C47" s="656" t="s">
        <v>1007</v>
      </c>
      <c r="D47" s="571"/>
      <c r="E47" s="668">
        <v>28</v>
      </c>
      <c r="F47" s="569" t="s">
        <v>107</v>
      </c>
      <c r="G47" s="569"/>
      <c r="H47" s="571"/>
      <c r="I47" s="570"/>
      <c r="J47" s="572"/>
      <c r="K47" s="697">
        <v>100</v>
      </c>
      <c r="L47" s="542" t="e">
        <f>'통장내역(환율표)'!#REF!</f>
        <v>#REF!</v>
      </c>
      <c r="M47" s="723" t="e">
        <f t="shared" si="6"/>
        <v>#REF!</v>
      </c>
      <c r="N47" s="687">
        <f t="shared" si="4"/>
        <v>370813.66999999993</v>
      </c>
      <c r="O47" s="688" t="e">
        <f t="shared" si="5"/>
        <v>#REF!</v>
      </c>
      <c r="P47" s="689" t="s">
        <v>1262</v>
      </c>
      <c r="Q47" s="803"/>
      <c r="R47" s="809"/>
      <c r="S47" s="525" t="e">
        <f t="shared" si="7"/>
        <v>#REF!</v>
      </c>
    </row>
    <row r="48" spans="2:19" ht="11.25" hidden="1" customHeight="1">
      <c r="B48" s="568">
        <v>45434</v>
      </c>
      <c r="C48" s="656" t="s">
        <v>250</v>
      </c>
      <c r="D48" s="669"/>
      <c r="E48" s="668">
        <v>29</v>
      </c>
      <c r="F48" s="569" t="s">
        <v>107</v>
      </c>
      <c r="G48" s="569"/>
      <c r="H48" s="571"/>
      <c r="I48" s="570"/>
      <c r="J48" s="572"/>
      <c r="K48" s="697">
        <v>3.6</v>
      </c>
      <c r="L48" s="542" t="e">
        <f>'통장내역(환율표)'!#REF!</f>
        <v>#REF!</v>
      </c>
      <c r="M48" s="723" t="e">
        <f t="shared" si="6"/>
        <v>#REF!</v>
      </c>
      <c r="N48" s="687">
        <f t="shared" si="4"/>
        <v>370810.06999999995</v>
      </c>
      <c r="O48" s="688" t="e">
        <f t="shared" si="5"/>
        <v>#REF!</v>
      </c>
      <c r="P48" s="689" t="s">
        <v>1262</v>
      </c>
      <c r="Q48" s="803"/>
      <c r="R48" s="809"/>
      <c r="S48" s="525" t="e">
        <f t="shared" si="7"/>
        <v>#REF!</v>
      </c>
    </row>
    <row r="49" spans="2:19" ht="11.25" hidden="1" customHeight="1">
      <c r="B49" s="568">
        <v>45434</v>
      </c>
      <c r="C49" s="571" t="s">
        <v>1151</v>
      </c>
      <c r="D49" s="656"/>
      <c r="E49" s="668">
        <v>30</v>
      </c>
      <c r="F49" s="569" t="s">
        <v>146</v>
      </c>
      <c r="G49" s="569" t="s">
        <v>147</v>
      </c>
      <c r="H49" s="571"/>
      <c r="I49" s="686"/>
      <c r="J49" s="572"/>
      <c r="K49" s="637">
        <v>2395</v>
      </c>
      <c r="L49" s="542" t="e">
        <f>'통장내역(환율표)'!#REF!</f>
        <v>#REF!</v>
      </c>
      <c r="M49" s="723" t="e">
        <f t="shared" si="6"/>
        <v>#REF!</v>
      </c>
      <c r="N49" s="687">
        <f t="shared" si="4"/>
        <v>368415.06999999995</v>
      </c>
      <c r="O49" s="688" t="e">
        <f t="shared" si="5"/>
        <v>#REF!</v>
      </c>
      <c r="P49" s="689" t="s">
        <v>1262</v>
      </c>
      <c r="Q49" s="801"/>
      <c r="R49" s="809"/>
      <c r="S49" s="525" t="e">
        <f t="shared" si="7"/>
        <v>#REF!</v>
      </c>
    </row>
    <row r="50" spans="2:19" ht="11.25" hidden="1" customHeight="1">
      <c r="B50" s="568">
        <v>45434</v>
      </c>
      <c r="C50" s="571" t="s">
        <v>1148</v>
      </c>
      <c r="D50" s="656"/>
      <c r="E50" s="668">
        <v>31</v>
      </c>
      <c r="F50" s="569" t="s">
        <v>125</v>
      </c>
      <c r="G50" s="569" t="s">
        <v>145</v>
      </c>
      <c r="H50" s="571"/>
      <c r="I50" s="686"/>
      <c r="J50" s="637"/>
      <c r="K50" s="637">
        <v>8095.05</v>
      </c>
      <c r="L50" s="542" t="e">
        <f>'통장내역(환율표)'!#REF!</f>
        <v>#REF!</v>
      </c>
      <c r="M50" s="723" t="e">
        <f t="shared" si="6"/>
        <v>#REF!</v>
      </c>
      <c r="N50" s="687">
        <f t="shared" si="4"/>
        <v>360320.01999999996</v>
      </c>
      <c r="O50" s="688" t="e">
        <f t="shared" si="5"/>
        <v>#REF!</v>
      </c>
      <c r="P50" s="689" t="s">
        <v>1262</v>
      </c>
      <c r="Q50" s="801"/>
      <c r="R50" s="809"/>
      <c r="S50" s="525" t="e">
        <f t="shared" si="7"/>
        <v>#REF!</v>
      </c>
    </row>
    <row r="51" spans="2:19" ht="11.25" hidden="1" customHeight="1">
      <c r="B51" s="568">
        <v>45434</v>
      </c>
      <c r="C51" s="656" t="s">
        <v>1152</v>
      </c>
      <c r="D51" s="669"/>
      <c r="E51" s="668">
        <v>32</v>
      </c>
      <c r="F51" s="569" t="s">
        <v>146</v>
      </c>
      <c r="G51" s="569" t="s">
        <v>147</v>
      </c>
      <c r="H51" s="571"/>
      <c r="I51" s="570"/>
      <c r="J51" s="572"/>
      <c r="K51" s="637">
        <v>262.76</v>
      </c>
      <c r="L51" s="542" t="e">
        <f>'통장내역(환율표)'!#REF!</f>
        <v>#REF!</v>
      </c>
      <c r="M51" s="723" t="e">
        <f t="shared" si="6"/>
        <v>#REF!</v>
      </c>
      <c r="N51" s="687">
        <f t="shared" ref="N51:N82" si="8">N50+H51-K51</f>
        <v>360057.25999999995</v>
      </c>
      <c r="O51" s="688" t="e">
        <f t="shared" ref="O51:O82" si="9">O50+J51-M51</f>
        <v>#REF!</v>
      </c>
      <c r="P51" s="689" t="s">
        <v>1262</v>
      </c>
      <c r="Q51" s="803"/>
      <c r="R51" s="809"/>
      <c r="S51" s="525" t="e">
        <f t="shared" si="7"/>
        <v>#REF!</v>
      </c>
    </row>
    <row r="52" spans="2:19" ht="11.25" hidden="1" customHeight="1">
      <c r="B52" s="568">
        <v>45434</v>
      </c>
      <c r="C52" s="571" t="s">
        <v>1248</v>
      </c>
      <c r="D52" s="571"/>
      <c r="E52" s="668">
        <v>33</v>
      </c>
      <c r="F52" s="569" t="s">
        <v>116</v>
      </c>
      <c r="G52" s="569" t="s">
        <v>140</v>
      </c>
      <c r="H52" s="571"/>
      <c r="I52" s="570"/>
      <c r="J52" s="572"/>
      <c r="K52" s="697">
        <v>299.3</v>
      </c>
      <c r="L52" s="542" t="e">
        <f>'통장내역(환율표)'!#REF!</f>
        <v>#REF!</v>
      </c>
      <c r="M52" s="723" t="e">
        <f t="shared" si="6"/>
        <v>#REF!</v>
      </c>
      <c r="N52" s="687">
        <f t="shared" si="8"/>
        <v>359757.95999999996</v>
      </c>
      <c r="O52" s="688" t="e">
        <f t="shared" si="9"/>
        <v>#REF!</v>
      </c>
      <c r="P52" s="689" t="s">
        <v>1262</v>
      </c>
      <c r="Q52" s="803"/>
      <c r="R52" s="809"/>
      <c r="S52" s="525" t="e">
        <f t="shared" si="7"/>
        <v>#REF!</v>
      </c>
    </row>
    <row r="53" spans="2:19" ht="11.25" hidden="1" customHeight="1">
      <c r="B53" s="568">
        <v>45434</v>
      </c>
      <c r="C53" s="656" t="s">
        <v>250</v>
      </c>
      <c r="D53" s="669"/>
      <c r="E53" s="668">
        <v>34</v>
      </c>
      <c r="F53" s="569" t="s">
        <v>107</v>
      </c>
      <c r="G53" s="569"/>
      <c r="H53" s="571"/>
      <c r="I53" s="570"/>
      <c r="J53" s="572"/>
      <c r="K53" s="697">
        <v>7.2</v>
      </c>
      <c r="L53" s="542" t="e">
        <f>'통장내역(환율표)'!#REF!</f>
        <v>#REF!</v>
      </c>
      <c r="M53" s="723" t="e">
        <f t="shared" si="6"/>
        <v>#REF!</v>
      </c>
      <c r="N53" s="687">
        <f t="shared" si="8"/>
        <v>359750.75999999995</v>
      </c>
      <c r="O53" s="688" t="e">
        <f t="shared" si="9"/>
        <v>#REF!</v>
      </c>
      <c r="P53" s="689" t="s">
        <v>1262</v>
      </c>
      <c r="Q53" s="803"/>
      <c r="R53" s="809"/>
      <c r="S53" s="525" t="e">
        <f t="shared" si="7"/>
        <v>#REF!</v>
      </c>
    </row>
    <row r="54" spans="2:19" ht="11.25" hidden="1" customHeight="1">
      <c r="B54" s="568">
        <v>45434</v>
      </c>
      <c r="C54" s="656" t="s">
        <v>1162</v>
      </c>
      <c r="D54" s="669"/>
      <c r="E54" s="668">
        <v>35</v>
      </c>
      <c r="F54" s="569" t="s">
        <v>125</v>
      </c>
      <c r="G54" s="569" t="s">
        <v>145</v>
      </c>
      <c r="H54" s="571"/>
      <c r="I54" s="570"/>
      <c r="J54" s="572"/>
      <c r="K54" s="637">
        <v>10142</v>
      </c>
      <c r="L54" s="542" t="e">
        <f>'통장내역(환율표)'!#REF!</f>
        <v>#REF!</v>
      </c>
      <c r="M54" s="723" t="e">
        <f t="shared" si="6"/>
        <v>#REF!</v>
      </c>
      <c r="N54" s="687">
        <f t="shared" si="8"/>
        <v>349608.75999999995</v>
      </c>
      <c r="O54" s="688" t="e">
        <f t="shared" si="9"/>
        <v>#REF!</v>
      </c>
      <c r="P54" s="689" t="s">
        <v>1262</v>
      </c>
      <c r="Q54" s="803"/>
      <c r="R54" s="809"/>
      <c r="S54" s="525" t="e">
        <f t="shared" si="7"/>
        <v>#REF!</v>
      </c>
    </row>
    <row r="55" spans="2:19" ht="11.25" hidden="1" customHeight="1">
      <c r="B55" s="568">
        <v>45434</v>
      </c>
      <c r="C55" s="656" t="s">
        <v>1166</v>
      </c>
      <c r="D55" s="571"/>
      <c r="E55" s="668">
        <v>36</v>
      </c>
      <c r="F55" s="569" t="s">
        <v>146</v>
      </c>
      <c r="G55" s="569" t="s">
        <v>147</v>
      </c>
      <c r="H55" s="571"/>
      <c r="I55" s="570"/>
      <c r="J55" s="572"/>
      <c r="K55" s="697">
        <v>11055.18</v>
      </c>
      <c r="L55" s="542" t="e">
        <f>'통장내역(환율표)'!#REF!</f>
        <v>#REF!</v>
      </c>
      <c r="M55" s="723" t="e">
        <f t="shared" si="6"/>
        <v>#REF!</v>
      </c>
      <c r="N55" s="687">
        <f t="shared" si="8"/>
        <v>338553.57999999996</v>
      </c>
      <c r="O55" s="688" t="e">
        <f t="shared" si="9"/>
        <v>#REF!</v>
      </c>
      <c r="P55" s="689" t="s">
        <v>1262</v>
      </c>
      <c r="Q55" s="803"/>
      <c r="R55" s="809"/>
      <c r="S55" s="525" t="e">
        <f t="shared" si="7"/>
        <v>#REF!</v>
      </c>
    </row>
    <row r="56" spans="2:19" ht="11.25" hidden="1" customHeight="1">
      <c r="B56" s="568">
        <v>45434</v>
      </c>
      <c r="C56" s="656" t="s">
        <v>1163</v>
      </c>
      <c r="D56" s="669"/>
      <c r="E56" s="668">
        <v>37</v>
      </c>
      <c r="F56" s="569" t="s">
        <v>116</v>
      </c>
      <c r="G56" s="569" t="s">
        <v>140</v>
      </c>
      <c r="H56" s="571"/>
      <c r="I56" s="570"/>
      <c r="J56" s="572"/>
      <c r="K56" s="697">
        <v>500</v>
      </c>
      <c r="L56" s="542" t="e">
        <f>'통장내역(환율표)'!#REF!</f>
        <v>#REF!</v>
      </c>
      <c r="M56" s="723" t="e">
        <f t="shared" si="6"/>
        <v>#REF!</v>
      </c>
      <c r="N56" s="687">
        <f t="shared" si="8"/>
        <v>338053.57999999996</v>
      </c>
      <c r="O56" s="688" t="e">
        <f t="shared" si="9"/>
        <v>#REF!</v>
      </c>
      <c r="P56" s="689" t="s">
        <v>1262</v>
      </c>
      <c r="Q56" s="803"/>
      <c r="R56" s="809"/>
      <c r="S56" s="525" t="e">
        <f t="shared" si="7"/>
        <v>#REF!</v>
      </c>
    </row>
    <row r="57" spans="2:19" ht="11.25" hidden="1" customHeight="1">
      <c r="B57" s="568">
        <v>45434</v>
      </c>
      <c r="C57" s="656" t="s">
        <v>250</v>
      </c>
      <c r="D57" s="669"/>
      <c r="E57" s="668">
        <v>38</v>
      </c>
      <c r="F57" s="569" t="s">
        <v>107</v>
      </c>
      <c r="G57" s="569"/>
      <c r="H57" s="571"/>
      <c r="I57" s="570"/>
      <c r="J57" s="572"/>
      <c r="K57" s="637">
        <v>7.2</v>
      </c>
      <c r="L57" s="542" t="e">
        <f>'통장내역(환율표)'!#REF!</f>
        <v>#REF!</v>
      </c>
      <c r="M57" s="723" t="e">
        <f t="shared" si="6"/>
        <v>#REF!</v>
      </c>
      <c r="N57" s="687">
        <f t="shared" si="8"/>
        <v>338046.37999999995</v>
      </c>
      <c r="O57" s="688" t="e">
        <f t="shared" si="9"/>
        <v>#REF!</v>
      </c>
      <c r="P57" s="689" t="s">
        <v>1262</v>
      </c>
      <c r="Q57" s="803"/>
      <c r="R57" s="809"/>
      <c r="S57" s="525" t="e">
        <f t="shared" si="7"/>
        <v>#REF!</v>
      </c>
    </row>
    <row r="58" spans="2:19" ht="11.25" hidden="1" customHeight="1">
      <c r="B58" s="568">
        <v>45434</v>
      </c>
      <c r="C58" s="656" t="s">
        <v>1098</v>
      </c>
      <c r="D58" s="571"/>
      <c r="E58" s="668">
        <v>39</v>
      </c>
      <c r="F58" s="569" t="s">
        <v>146</v>
      </c>
      <c r="G58" s="569" t="s">
        <v>147</v>
      </c>
      <c r="H58" s="571"/>
      <c r="I58" s="570"/>
      <c r="J58" s="572"/>
      <c r="K58" s="697">
        <v>7859.14</v>
      </c>
      <c r="L58" s="542" t="e">
        <f>'통장내역(환율표)'!#REF!</f>
        <v>#REF!</v>
      </c>
      <c r="M58" s="723" t="e">
        <f t="shared" si="6"/>
        <v>#REF!</v>
      </c>
      <c r="N58" s="687">
        <f t="shared" si="8"/>
        <v>330187.23999999993</v>
      </c>
      <c r="O58" s="688" t="e">
        <f t="shared" si="9"/>
        <v>#REF!</v>
      </c>
      <c r="P58" s="689" t="s">
        <v>1262</v>
      </c>
      <c r="Q58" s="803"/>
      <c r="R58" s="809"/>
      <c r="S58" s="525" t="e">
        <f t="shared" si="7"/>
        <v>#REF!</v>
      </c>
    </row>
    <row r="59" spans="2:19" ht="11.25" hidden="1" customHeight="1">
      <c r="B59" s="568">
        <v>45434</v>
      </c>
      <c r="C59" s="656" t="s">
        <v>845</v>
      </c>
      <c r="D59" s="669"/>
      <c r="E59" s="668">
        <v>40</v>
      </c>
      <c r="F59" s="569" t="s">
        <v>125</v>
      </c>
      <c r="G59" s="569" t="s">
        <v>145</v>
      </c>
      <c r="H59" s="571"/>
      <c r="I59" s="570"/>
      <c r="J59" s="572"/>
      <c r="K59" s="697">
        <v>8121.55</v>
      </c>
      <c r="L59" s="542" t="e">
        <f>'통장내역(환율표)'!#REF!</f>
        <v>#REF!</v>
      </c>
      <c r="M59" s="723" t="e">
        <f t="shared" si="6"/>
        <v>#REF!</v>
      </c>
      <c r="N59" s="687">
        <f t="shared" si="8"/>
        <v>322065.68999999994</v>
      </c>
      <c r="O59" s="688" t="e">
        <f t="shared" si="9"/>
        <v>#REF!</v>
      </c>
      <c r="P59" s="689" t="s">
        <v>1262</v>
      </c>
      <c r="Q59" s="803"/>
      <c r="R59" s="809"/>
      <c r="S59" s="525" t="e">
        <f t="shared" si="7"/>
        <v>#REF!</v>
      </c>
    </row>
    <row r="60" spans="2:19" ht="11.25" hidden="1" customHeight="1">
      <c r="B60" s="568">
        <v>45434</v>
      </c>
      <c r="C60" s="656" t="s">
        <v>1100</v>
      </c>
      <c r="D60" s="669"/>
      <c r="E60" s="668">
        <v>41</v>
      </c>
      <c r="F60" s="569" t="s">
        <v>116</v>
      </c>
      <c r="G60" s="569" t="s">
        <v>140</v>
      </c>
      <c r="H60" s="571"/>
      <c r="I60" s="570"/>
      <c r="J60" s="572"/>
      <c r="K60" s="637">
        <v>417.4</v>
      </c>
      <c r="L60" s="542" t="e">
        <f>'통장내역(환율표)'!#REF!</f>
        <v>#REF!</v>
      </c>
      <c r="M60" s="723" t="e">
        <f t="shared" si="6"/>
        <v>#REF!</v>
      </c>
      <c r="N60" s="687">
        <f t="shared" si="8"/>
        <v>321648.28999999992</v>
      </c>
      <c r="O60" s="688" t="e">
        <f t="shared" si="9"/>
        <v>#REF!</v>
      </c>
      <c r="P60" s="689" t="s">
        <v>1262</v>
      </c>
      <c r="Q60" s="803"/>
      <c r="R60" s="809"/>
      <c r="S60" s="525" t="e">
        <f t="shared" si="7"/>
        <v>#REF!</v>
      </c>
    </row>
    <row r="61" spans="2:19" ht="11.25" hidden="1" customHeight="1">
      <c r="B61" s="568">
        <v>45434</v>
      </c>
      <c r="C61" s="656" t="s">
        <v>854</v>
      </c>
      <c r="D61" s="571"/>
      <c r="E61" s="668">
        <v>42</v>
      </c>
      <c r="F61" s="569" t="s">
        <v>116</v>
      </c>
      <c r="G61" s="569" t="s">
        <v>140</v>
      </c>
      <c r="H61" s="571"/>
      <c r="I61" s="570"/>
      <c r="J61" s="572"/>
      <c r="K61" s="697">
        <v>499</v>
      </c>
      <c r="L61" s="542" t="e">
        <f>'통장내역(환율표)'!#REF!</f>
        <v>#REF!</v>
      </c>
      <c r="M61" s="723" t="e">
        <f t="shared" si="6"/>
        <v>#REF!</v>
      </c>
      <c r="N61" s="687">
        <f t="shared" si="8"/>
        <v>321149.28999999992</v>
      </c>
      <c r="O61" s="688" t="e">
        <f t="shared" si="9"/>
        <v>#REF!</v>
      </c>
      <c r="P61" s="689" t="s">
        <v>1262</v>
      </c>
      <c r="Q61" s="803"/>
      <c r="R61" s="809"/>
      <c r="S61" s="525" t="e">
        <f t="shared" si="7"/>
        <v>#REF!</v>
      </c>
    </row>
    <row r="62" spans="2:19" ht="11.25" hidden="1" customHeight="1">
      <c r="B62" s="568">
        <v>45434</v>
      </c>
      <c r="C62" s="656" t="s">
        <v>1252</v>
      </c>
      <c r="D62" s="669"/>
      <c r="E62" s="668">
        <v>43</v>
      </c>
      <c r="F62" s="569" t="s">
        <v>107</v>
      </c>
      <c r="G62" s="569"/>
      <c r="H62" s="571"/>
      <c r="I62" s="570"/>
      <c r="J62" s="572"/>
      <c r="K62" s="697">
        <v>223.32</v>
      </c>
      <c r="L62" s="542" t="e">
        <f>'통장내역(환율표)'!#REF!</f>
        <v>#REF!</v>
      </c>
      <c r="M62" s="723" t="e">
        <f t="shared" si="6"/>
        <v>#REF!</v>
      </c>
      <c r="N62" s="687">
        <f t="shared" si="8"/>
        <v>320925.96999999991</v>
      </c>
      <c r="O62" s="688" t="e">
        <f t="shared" si="9"/>
        <v>#REF!</v>
      </c>
      <c r="P62" s="689" t="s">
        <v>1262</v>
      </c>
      <c r="Q62" s="803"/>
      <c r="R62" s="809"/>
      <c r="S62" s="525" t="e">
        <f t="shared" si="7"/>
        <v>#REF!</v>
      </c>
    </row>
    <row r="63" spans="2:19" ht="11.25" hidden="1" customHeight="1">
      <c r="B63" s="568">
        <v>45434</v>
      </c>
      <c r="C63" s="656" t="s">
        <v>844</v>
      </c>
      <c r="D63" s="669"/>
      <c r="E63" s="668">
        <v>44</v>
      </c>
      <c r="F63" s="569" t="s">
        <v>146</v>
      </c>
      <c r="G63" s="569" t="s">
        <v>147</v>
      </c>
      <c r="H63" s="571"/>
      <c r="I63" s="570"/>
      <c r="J63" s="572"/>
      <c r="K63" s="637">
        <v>55.48</v>
      </c>
      <c r="L63" s="542" t="e">
        <f>'통장내역(환율표)'!#REF!</f>
        <v>#REF!</v>
      </c>
      <c r="M63" s="723" t="e">
        <f t="shared" si="6"/>
        <v>#REF!</v>
      </c>
      <c r="N63" s="687">
        <f t="shared" si="8"/>
        <v>320870.48999999993</v>
      </c>
      <c r="O63" s="688" t="e">
        <f t="shared" si="9"/>
        <v>#REF!</v>
      </c>
      <c r="P63" s="689" t="s">
        <v>1262</v>
      </c>
      <c r="Q63" s="803"/>
      <c r="R63" s="809"/>
      <c r="S63" s="525" t="e">
        <f t="shared" si="7"/>
        <v>#REF!</v>
      </c>
    </row>
    <row r="64" spans="2:19" ht="11.25" hidden="1" customHeight="1">
      <c r="B64" s="568">
        <v>45434</v>
      </c>
      <c r="C64" s="656" t="s">
        <v>250</v>
      </c>
      <c r="D64" s="571"/>
      <c r="E64" s="668">
        <v>45</v>
      </c>
      <c r="F64" s="569" t="s">
        <v>107</v>
      </c>
      <c r="G64" s="569"/>
      <c r="H64" s="571"/>
      <c r="I64" s="570"/>
      <c r="J64" s="572"/>
      <c r="K64" s="697">
        <v>7.2</v>
      </c>
      <c r="L64" s="542" t="e">
        <f>'통장내역(환율표)'!#REF!</f>
        <v>#REF!</v>
      </c>
      <c r="M64" s="723" t="e">
        <f t="shared" si="6"/>
        <v>#REF!</v>
      </c>
      <c r="N64" s="687">
        <f t="shared" si="8"/>
        <v>320863.28999999992</v>
      </c>
      <c r="O64" s="688" t="e">
        <f t="shared" si="9"/>
        <v>#REF!</v>
      </c>
      <c r="P64" s="689" t="s">
        <v>1262</v>
      </c>
      <c r="Q64" s="803"/>
      <c r="R64" s="809"/>
      <c r="S64" s="525" t="e">
        <f t="shared" si="7"/>
        <v>#REF!</v>
      </c>
    </row>
    <row r="65" spans="2:19" ht="11.25" hidden="1" customHeight="1">
      <c r="B65" s="568">
        <v>45434</v>
      </c>
      <c r="C65" s="656" t="s">
        <v>1276</v>
      </c>
      <c r="D65" s="669"/>
      <c r="E65" s="668">
        <v>46</v>
      </c>
      <c r="F65" s="569" t="s">
        <v>146</v>
      </c>
      <c r="G65" s="569" t="s">
        <v>147</v>
      </c>
      <c r="H65" s="571"/>
      <c r="I65" s="570"/>
      <c r="J65" s="572"/>
      <c r="K65" s="697">
        <v>1600</v>
      </c>
      <c r="L65" s="542" t="e">
        <f>'통장내역(환율표)'!#REF!</f>
        <v>#REF!</v>
      </c>
      <c r="M65" s="723" t="e">
        <f t="shared" si="6"/>
        <v>#REF!</v>
      </c>
      <c r="N65" s="687">
        <f t="shared" si="8"/>
        <v>319263.28999999992</v>
      </c>
      <c r="O65" s="688" t="e">
        <f t="shared" si="9"/>
        <v>#REF!</v>
      </c>
      <c r="P65" s="689" t="s">
        <v>1262</v>
      </c>
      <c r="Q65" s="803"/>
      <c r="R65" s="809"/>
      <c r="S65" s="525" t="e">
        <f t="shared" si="7"/>
        <v>#REF!</v>
      </c>
    </row>
    <row r="66" spans="2:19" ht="11.25" hidden="1" customHeight="1">
      <c r="B66" s="568">
        <v>45434</v>
      </c>
      <c r="C66" s="656" t="s">
        <v>250</v>
      </c>
      <c r="D66" s="669"/>
      <c r="E66" s="668">
        <v>47</v>
      </c>
      <c r="F66" s="569" t="s">
        <v>107</v>
      </c>
      <c r="G66" s="569"/>
      <c r="H66" s="571"/>
      <c r="I66" s="570"/>
      <c r="J66" s="572"/>
      <c r="K66" s="637">
        <v>3.6</v>
      </c>
      <c r="L66" s="542" t="e">
        <f>'통장내역(환율표)'!#REF!</f>
        <v>#REF!</v>
      </c>
      <c r="M66" s="723" t="e">
        <f t="shared" si="6"/>
        <v>#REF!</v>
      </c>
      <c r="N66" s="687">
        <f t="shared" si="8"/>
        <v>319259.68999999994</v>
      </c>
      <c r="O66" s="688" t="e">
        <f t="shared" si="9"/>
        <v>#REF!</v>
      </c>
      <c r="P66" s="689" t="s">
        <v>1262</v>
      </c>
      <c r="Q66" s="803"/>
      <c r="R66" s="809"/>
      <c r="S66" s="525" t="e">
        <f t="shared" si="7"/>
        <v>#REF!</v>
      </c>
    </row>
    <row r="67" spans="2:19" ht="11.25" hidden="1" customHeight="1">
      <c r="B67" s="568">
        <v>45434</v>
      </c>
      <c r="C67" s="656" t="s">
        <v>885</v>
      </c>
      <c r="D67" s="669"/>
      <c r="E67" s="668">
        <v>48</v>
      </c>
      <c r="F67" s="569" t="s">
        <v>107</v>
      </c>
      <c r="G67" s="569"/>
      <c r="H67" s="571"/>
      <c r="I67" s="570"/>
      <c r="J67" s="572"/>
      <c r="K67" s="697">
        <v>16000</v>
      </c>
      <c r="L67" s="542" t="e">
        <f>'통장내역(환율표)'!#REF!</f>
        <v>#REF!</v>
      </c>
      <c r="M67" s="723" t="e">
        <f t="shared" si="6"/>
        <v>#REF!</v>
      </c>
      <c r="N67" s="687">
        <f t="shared" si="8"/>
        <v>303259.68999999994</v>
      </c>
      <c r="O67" s="688" t="e">
        <f t="shared" si="9"/>
        <v>#REF!</v>
      </c>
      <c r="P67" s="689" t="s">
        <v>1262</v>
      </c>
      <c r="Q67" s="803"/>
      <c r="R67" s="809" t="s">
        <v>940</v>
      </c>
      <c r="S67" s="525" t="e">
        <f t="shared" si="7"/>
        <v>#REF!</v>
      </c>
    </row>
    <row r="68" spans="2:19" ht="11.25" hidden="1" customHeight="1">
      <c r="B68" s="568">
        <v>45434</v>
      </c>
      <c r="C68" s="656" t="s">
        <v>938</v>
      </c>
      <c r="D68" s="669"/>
      <c r="E68" s="668">
        <v>48</v>
      </c>
      <c r="F68" s="569" t="s">
        <v>107</v>
      </c>
      <c r="G68" s="569"/>
      <c r="H68" s="571"/>
      <c r="I68" s="570"/>
      <c r="J68" s="572"/>
      <c r="K68" s="637" t="e">
        <f>L68*M68</f>
        <v>#REF!</v>
      </c>
      <c r="L68" s="542" t="e">
        <f>'통장내역(환율표)'!#REF!</f>
        <v>#REF!</v>
      </c>
      <c r="M68" s="723">
        <v>480.01123765945476</v>
      </c>
      <c r="N68" s="687" t="e">
        <f t="shared" si="8"/>
        <v>#REF!</v>
      </c>
      <c r="O68" s="688" t="e">
        <f t="shared" si="9"/>
        <v>#REF!</v>
      </c>
      <c r="P68" s="689" t="s">
        <v>1262</v>
      </c>
      <c r="Q68" s="803"/>
      <c r="R68" s="809" t="s">
        <v>940</v>
      </c>
      <c r="S68" s="525" t="e">
        <f t="shared" si="7"/>
        <v>#REF!</v>
      </c>
    </row>
    <row r="69" spans="2:19" ht="11.25" hidden="1" customHeight="1">
      <c r="B69" s="568">
        <v>45434</v>
      </c>
      <c r="C69" s="656" t="s">
        <v>938</v>
      </c>
      <c r="D69" s="669"/>
      <c r="E69" s="668">
        <v>48</v>
      </c>
      <c r="F69" s="569" t="s">
        <v>107</v>
      </c>
      <c r="G69" s="569"/>
      <c r="H69" s="571"/>
      <c r="I69" s="570"/>
      <c r="J69" s="572"/>
      <c r="K69" s="637" t="e">
        <f>24000-K68</f>
        <v>#REF!</v>
      </c>
      <c r="L69" s="542" t="e">
        <f>'통장내역(환율표)'!#REF!</f>
        <v>#REF!</v>
      </c>
      <c r="M69" s="766" t="e">
        <f t="shared" ref="M69:M92" si="10">K69/L69</f>
        <v>#REF!</v>
      </c>
      <c r="N69" s="687" t="e">
        <f t="shared" si="8"/>
        <v>#REF!</v>
      </c>
      <c r="O69" s="688" t="e">
        <f t="shared" si="9"/>
        <v>#REF!</v>
      </c>
      <c r="P69" s="689" t="s">
        <v>1280</v>
      </c>
      <c r="Q69" s="803"/>
      <c r="R69" s="809" t="s">
        <v>940</v>
      </c>
      <c r="S69" s="525" t="e">
        <f>41515-M69</f>
        <v>#REF!</v>
      </c>
    </row>
    <row r="70" spans="2:19" ht="11.25" hidden="1" customHeight="1">
      <c r="B70" s="568">
        <v>45434</v>
      </c>
      <c r="C70" s="656" t="s">
        <v>887</v>
      </c>
      <c r="D70" s="571"/>
      <c r="E70" s="668">
        <v>48</v>
      </c>
      <c r="F70" s="569" t="s">
        <v>107</v>
      </c>
      <c r="G70" s="569"/>
      <c r="H70" s="571"/>
      <c r="I70" s="570"/>
      <c r="J70" s="572"/>
      <c r="K70" s="697">
        <v>5125.99</v>
      </c>
      <c r="L70" s="542" t="e">
        <f>'통장내역(환율표)'!#REF!</f>
        <v>#REF!</v>
      </c>
      <c r="M70" s="766" t="e">
        <f t="shared" si="10"/>
        <v>#REF!</v>
      </c>
      <c r="N70" s="687" t="e">
        <f t="shared" si="8"/>
        <v>#REF!</v>
      </c>
      <c r="O70" s="688" t="e">
        <f t="shared" si="9"/>
        <v>#REF!</v>
      </c>
      <c r="P70" s="689" t="s">
        <v>1280</v>
      </c>
      <c r="Q70" s="803"/>
      <c r="R70" s="809" t="s">
        <v>940</v>
      </c>
      <c r="S70" s="525" t="e">
        <f>S69-M70</f>
        <v>#REF!</v>
      </c>
    </row>
    <row r="71" spans="2:19" ht="11.25" hidden="1" customHeight="1">
      <c r="B71" s="568">
        <v>45434</v>
      </c>
      <c r="C71" s="656" t="s">
        <v>888</v>
      </c>
      <c r="D71" s="669"/>
      <c r="E71" s="668">
        <v>48</v>
      </c>
      <c r="F71" s="569" t="s">
        <v>107</v>
      </c>
      <c r="G71" s="569"/>
      <c r="H71" s="571"/>
      <c r="I71" s="570"/>
      <c r="J71" s="572"/>
      <c r="K71" s="697">
        <v>5620.7999999999993</v>
      </c>
      <c r="L71" s="542" t="e">
        <f>'통장내역(환율표)'!#REF!</f>
        <v>#REF!</v>
      </c>
      <c r="M71" s="766" t="e">
        <f t="shared" si="10"/>
        <v>#REF!</v>
      </c>
      <c r="N71" s="687" t="e">
        <f t="shared" si="8"/>
        <v>#REF!</v>
      </c>
      <c r="O71" s="688" t="e">
        <f t="shared" si="9"/>
        <v>#REF!</v>
      </c>
      <c r="P71" s="689" t="s">
        <v>1280</v>
      </c>
      <c r="Q71" s="803"/>
      <c r="R71" s="809" t="s">
        <v>940</v>
      </c>
      <c r="S71" s="525" t="e">
        <f t="shared" ref="S71:S92" si="11">S70-M71</f>
        <v>#REF!</v>
      </c>
    </row>
    <row r="72" spans="2:19" ht="11.25" customHeight="1">
      <c r="B72" s="568">
        <v>45434</v>
      </c>
      <c r="C72" s="669" t="s">
        <v>892</v>
      </c>
      <c r="D72" s="669"/>
      <c r="E72" s="668">
        <v>48</v>
      </c>
      <c r="F72" s="569" t="s">
        <v>107</v>
      </c>
      <c r="G72" s="569"/>
      <c r="H72" s="571"/>
      <c r="I72" s="570"/>
      <c r="J72" s="572"/>
      <c r="K72" s="637">
        <v>300</v>
      </c>
      <c r="L72" s="542" t="e">
        <f>'통장내역(환율표)'!#REF!</f>
        <v>#REF!</v>
      </c>
      <c r="M72" s="766" t="e">
        <f t="shared" si="10"/>
        <v>#REF!</v>
      </c>
      <c r="N72" s="687" t="e">
        <f t="shared" si="8"/>
        <v>#REF!</v>
      </c>
      <c r="O72" s="688" t="e">
        <f t="shared" si="9"/>
        <v>#REF!</v>
      </c>
      <c r="P72" s="689" t="s">
        <v>1280</v>
      </c>
      <c r="Q72" s="803"/>
      <c r="R72" s="809" t="s">
        <v>940</v>
      </c>
      <c r="S72" s="525" t="e">
        <f t="shared" si="11"/>
        <v>#REF!</v>
      </c>
    </row>
    <row r="73" spans="2:19" ht="11.25" hidden="1" customHeight="1">
      <c r="B73" s="568">
        <v>45434</v>
      </c>
      <c r="C73" s="571" t="s">
        <v>885</v>
      </c>
      <c r="D73" s="571"/>
      <c r="E73" s="668">
        <v>48</v>
      </c>
      <c r="F73" s="569" t="s">
        <v>107</v>
      </c>
      <c r="G73" s="569"/>
      <c r="H73" s="571"/>
      <c r="I73" s="570"/>
      <c r="J73" s="572"/>
      <c r="K73" s="697">
        <v>15000</v>
      </c>
      <c r="L73" s="542" t="e">
        <f>'통장내역(환율표)'!#REF!</f>
        <v>#REF!</v>
      </c>
      <c r="M73" s="766" t="e">
        <f t="shared" si="10"/>
        <v>#REF!</v>
      </c>
      <c r="N73" s="687" t="e">
        <f t="shared" si="8"/>
        <v>#REF!</v>
      </c>
      <c r="O73" s="688" t="e">
        <f t="shared" si="9"/>
        <v>#REF!</v>
      </c>
      <c r="P73" s="689" t="s">
        <v>1280</v>
      </c>
      <c r="Q73" s="803"/>
      <c r="R73" s="809" t="s">
        <v>941</v>
      </c>
      <c r="S73" s="525" t="e">
        <f t="shared" si="11"/>
        <v>#REF!</v>
      </c>
    </row>
    <row r="74" spans="2:19" ht="11.25" hidden="1" customHeight="1">
      <c r="B74" s="568">
        <v>45434</v>
      </c>
      <c r="C74" s="669" t="s">
        <v>938</v>
      </c>
      <c r="D74" s="669"/>
      <c r="E74" s="668">
        <v>48</v>
      </c>
      <c r="F74" s="569" t="s">
        <v>107</v>
      </c>
      <c r="G74" s="569"/>
      <c r="H74" s="571"/>
      <c r="I74" s="570"/>
      <c r="J74" s="572"/>
      <c r="K74" s="697">
        <v>22000</v>
      </c>
      <c r="L74" s="542" t="e">
        <f>'통장내역(환율표)'!#REF!</f>
        <v>#REF!</v>
      </c>
      <c r="M74" s="766" t="e">
        <f t="shared" si="10"/>
        <v>#REF!</v>
      </c>
      <c r="N74" s="687" t="e">
        <f t="shared" si="8"/>
        <v>#REF!</v>
      </c>
      <c r="O74" s="688" t="e">
        <f t="shared" si="9"/>
        <v>#REF!</v>
      </c>
      <c r="P74" s="689" t="s">
        <v>1280</v>
      </c>
      <c r="Q74" s="803"/>
      <c r="R74" s="809" t="s">
        <v>941</v>
      </c>
      <c r="S74" s="525" t="e">
        <f t="shared" si="11"/>
        <v>#REF!</v>
      </c>
    </row>
    <row r="75" spans="2:19" ht="11.25" hidden="1" customHeight="1">
      <c r="B75" s="568">
        <v>45434</v>
      </c>
      <c r="C75" s="669" t="s">
        <v>887</v>
      </c>
      <c r="D75" s="669"/>
      <c r="E75" s="668">
        <v>48</v>
      </c>
      <c r="F75" s="569" t="s">
        <v>107</v>
      </c>
      <c r="G75" s="569"/>
      <c r="H75" s="571"/>
      <c r="I75" s="570"/>
      <c r="J75" s="572"/>
      <c r="K75" s="637">
        <v>8558.1899999999987</v>
      </c>
      <c r="L75" s="542" t="e">
        <f>'통장내역(환율표)'!#REF!</f>
        <v>#REF!</v>
      </c>
      <c r="M75" s="766" t="e">
        <f t="shared" si="10"/>
        <v>#REF!</v>
      </c>
      <c r="N75" s="687" t="e">
        <f t="shared" si="8"/>
        <v>#REF!</v>
      </c>
      <c r="O75" s="688" t="e">
        <f t="shared" si="9"/>
        <v>#REF!</v>
      </c>
      <c r="P75" s="689" t="s">
        <v>1280</v>
      </c>
      <c r="Q75" s="803"/>
      <c r="R75" s="809" t="s">
        <v>941</v>
      </c>
      <c r="S75" s="525" t="e">
        <f t="shared" si="11"/>
        <v>#REF!</v>
      </c>
    </row>
    <row r="76" spans="2:19" ht="11.25" hidden="1" customHeight="1">
      <c r="B76" s="568">
        <v>45434</v>
      </c>
      <c r="C76" s="669" t="s">
        <v>888</v>
      </c>
      <c r="D76" s="571"/>
      <c r="E76" s="668">
        <v>48</v>
      </c>
      <c r="F76" s="569" t="s">
        <v>107</v>
      </c>
      <c r="G76" s="569"/>
      <c r="H76" s="571"/>
      <c r="I76" s="570"/>
      <c r="J76" s="572"/>
      <c r="K76" s="697">
        <v>2867</v>
      </c>
      <c r="L76" s="542" t="e">
        <f>'통장내역(환율표)'!#REF!</f>
        <v>#REF!</v>
      </c>
      <c r="M76" s="766" t="e">
        <f t="shared" si="10"/>
        <v>#REF!</v>
      </c>
      <c r="N76" s="687" t="e">
        <f t="shared" si="8"/>
        <v>#REF!</v>
      </c>
      <c r="O76" s="688" t="e">
        <f t="shared" si="9"/>
        <v>#REF!</v>
      </c>
      <c r="P76" s="689" t="s">
        <v>1280</v>
      </c>
      <c r="Q76" s="803"/>
      <c r="R76" s="809" t="s">
        <v>941</v>
      </c>
      <c r="S76" s="525" t="e">
        <f t="shared" si="11"/>
        <v>#REF!</v>
      </c>
    </row>
    <row r="77" spans="2:19" ht="11.25" customHeight="1">
      <c r="B77" s="568">
        <v>45434</v>
      </c>
      <c r="C77" s="669" t="s">
        <v>892</v>
      </c>
      <c r="D77" s="669"/>
      <c r="E77" s="668">
        <v>48</v>
      </c>
      <c r="F77" s="569" t="s">
        <v>107</v>
      </c>
      <c r="G77" s="569"/>
      <c r="H77" s="571"/>
      <c r="I77" s="570"/>
      <c r="J77" s="572"/>
      <c r="K77" s="697">
        <v>300</v>
      </c>
      <c r="L77" s="542" t="e">
        <f>'통장내역(환율표)'!#REF!</f>
        <v>#REF!</v>
      </c>
      <c r="M77" s="766" t="e">
        <f t="shared" si="10"/>
        <v>#REF!</v>
      </c>
      <c r="N77" s="687" t="e">
        <f t="shared" si="8"/>
        <v>#REF!</v>
      </c>
      <c r="O77" s="688" t="e">
        <f t="shared" si="9"/>
        <v>#REF!</v>
      </c>
      <c r="P77" s="689" t="s">
        <v>1280</v>
      </c>
      <c r="Q77" s="803"/>
      <c r="R77" s="809" t="s">
        <v>941</v>
      </c>
      <c r="S77" s="525" t="e">
        <f t="shared" si="11"/>
        <v>#REF!</v>
      </c>
    </row>
    <row r="78" spans="2:19" ht="11.25" hidden="1" customHeight="1">
      <c r="B78" s="568">
        <v>45434</v>
      </c>
      <c r="C78" s="669" t="s">
        <v>891</v>
      </c>
      <c r="D78" s="669"/>
      <c r="E78" s="668">
        <v>48</v>
      </c>
      <c r="F78" s="569" t="s">
        <v>107</v>
      </c>
      <c r="G78" s="569"/>
      <c r="H78" s="571"/>
      <c r="I78" s="570"/>
      <c r="J78" s="572"/>
      <c r="K78" s="637">
        <v>25000</v>
      </c>
      <c r="L78" s="542" t="e">
        <f>'통장내역(환율표)'!#REF!</f>
        <v>#REF!</v>
      </c>
      <c r="M78" s="766" t="e">
        <f t="shared" si="10"/>
        <v>#REF!</v>
      </c>
      <c r="N78" s="687" t="e">
        <f t="shared" si="8"/>
        <v>#REF!</v>
      </c>
      <c r="O78" s="688" t="e">
        <f t="shared" si="9"/>
        <v>#REF!</v>
      </c>
      <c r="P78" s="689" t="s">
        <v>1280</v>
      </c>
      <c r="Q78" s="803"/>
      <c r="R78" s="809" t="s">
        <v>942</v>
      </c>
      <c r="S78" s="525" t="e">
        <f t="shared" si="11"/>
        <v>#REF!</v>
      </c>
    </row>
    <row r="79" spans="2:19" ht="11.25" hidden="1" customHeight="1">
      <c r="B79" s="568">
        <v>45434</v>
      </c>
      <c r="C79" s="669" t="s">
        <v>1109</v>
      </c>
      <c r="D79" s="571"/>
      <c r="E79" s="668">
        <v>48</v>
      </c>
      <c r="F79" s="758" t="s">
        <v>1278</v>
      </c>
      <c r="G79" s="758"/>
      <c r="H79" s="759"/>
      <c r="I79" s="760"/>
      <c r="J79" s="761"/>
      <c r="K79" s="849">
        <v>2665</v>
      </c>
      <c r="L79" s="763" t="e">
        <f>'통장내역(환율표)'!#REF!</f>
        <v>#REF!</v>
      </c>
      <c r="M79" s="617">
        <v>365.52379559909349</v>
      </c>
      <c r="N79" s="687" t="e">
        <f t="shared" si="8"/>
        <v>#REF!</v>
      </c>
      <c r="O79" s="688" t="e">
        <f t="shared" si="9"/>
        <v>#REF!</v>
      </c>
      <c r="P79" s="689" t="s">
        <v>1280</v>
      </c>
      <c r="Q79" s="803"/>
      <c r="R79" s="809" t="s">
        <v>942</v>
      </c>
      <c r="S79" s="525" t="e">
        <f t="shared" si="11"/>
        <v>#REF!</v>
      </c>
    </row>
    <row r="80" spans="2:19" ht="11.25" hidden="1" customHeight="1">
      <c r="B80" s="568">
        <v>45434</v>
      </c>
      <c r="C80" s="669" t="s">
        <v>939</v>
      </c>
      <c r="D80" s="669"/>
      <c r="E80" s="668">
        <v>48</v>
      </c>
      <c r="F80" s="569" t="s">
        <v>107</v>
      </c>
      <c r="G80" s="569"/>
      <c r="H80" s="571"/>
      <c r="I80" s="570"/>
      <c r="J80" s="572"/>
      <c r="K80" s="697">
        <v>6936.19</v>
      </c>
      <c r="L80" s="542" t="e">
        <f>'통장내역(환율표)'!#REF!</f>
        <v>#REF!</v>
      </c>
      <c r="M80" s="766" t="e">
        <f t="shared" si="10"/>
        <v>#REF!</v>
      </c>
      <c r="N80" s="687" t="e">
        <f t="shared" si="8"/>
        <v>#REF!</v>
      </c>
      <c r="O80" s="688" t="e">
        <f t="shared" si="9"/>
        <v>#REF!</v>
      </c>
      <c r="P80" s="689" t="s">
        <v>1280</v>
      </c>
      <c r="Q80" s="803"/>
      <c r="R80" s="809" t="s">
        <v>942</v>
      </c>
      <c r="S80" s="525" t="e">
        <f t="shared" si="11"/>
        <v>#REF!</v>
      </c>
    </row>
    <row r="81" spans="2:19" ht="11.25" customHeight="1">
      <c r="B81" s="568">
        <v>45434</v>
      </c>
      <c r="C81" s="669" t="s">
        <v>892</v>
      </c>
      <c r="D81" s="669"/>
      <c r="E81" s="668">
        <v>48</v>
      </c>
      <c r="F81" s="569" t="s">
        <v>107</v>
      </c>
      <c r="G81" s="569"/>
      <c r="H81" s="571"/>
      <c r="I81" s="570"/>
      <c r="J81" s="572"/>
      <c r="K81" s="637">
        <v>300</v>
      </c>
      <c r="L81" s="542" t="e">
        <f>'통장내역(환율표)'!#REF!</f>
        <v>#REF!</v>
      </c>
      <c r="M81" s="766" t="e">
        <f t="shared" si="10"/>
        <v>#REF!</v>
      </c>
      <c r="N81" s="687" t="e">
        <f t="shared" si="8"/>
        <v>#REF!</v>
      </c>
      <c r="O81" s="688" t="e">
        <f t="shared" si="9"/>
        <v>#REF!</v>
      </c>
      <c r="P81" s="689" t="s">
        <v>1280</v>
      </c>
      <c r="Q81" s="803"/>
      <c r="R81" s="809" t="s">
        <v>942</v>
      </c>
      <c r="S81" s="525" t="e">
        <f t="shared" si="11"/>
        <v>#REF!</v>
      </c>
    </row>
    <row r="82" spans="2:19" ht="11.25" hidden="1" customHeight="1">
      <c r="B82" s="568">
        <v>45434</v>
      </c>
      <c r="C82" s="669" t="s">
        <v>891</v>
      </c>
      <c r="D82" s="669"/>
      <c r="E82" s="668">
        <v>48</v>
      </c>
      <c r="F82" s="569" t="s">
        <v>107</v>
      </c>
      <c r="G82" s="569"/>
      <c r="H82" s="571"/>
      <c r="I82" s="570"/>
      <c r="J82" s="572"/>
      <c r="K82" s="697">
        <v>13000</v>
      </c>
      <c r="L82" s="542" t="e">
        <f>'통장내역(환율표)'!#REF!</f>
        <v>#REF!</v>
      </c>
      <c r="M82" s="766" t="e">
        <f t="shared" si="10"/>
        <v>#REF!</v>
      </c>
      <c r="N82" s="687" t="e">
        <f t="shared" si="8"/>
        <v>#REF!</v>
      </c>
      <c r="O82" s="688" t="e">
        <f t="shared" si="9"/>
        <v>#REF!</v>
      </c>
      <c r="P82" s="689" t="s">
        <v>1280</v>
      </c>
      <c r="Q82" s="803"/>
      <c r="R82" s="809" t="s">
        <v>943</v>
      </c>
      <c r="S82" s="525" t="e">
        <f t="shared" si="11"/>
        <v>#REF!</v>
      </c>
    </row>
    <row r="83" spans="2:19" ht="11.25" hidden="1" customHeight="1">
      <c r="B83" s="568">
        <v>45434</v>
      </c>
      <c r="C83" s="669" t="s">
        <v>1109</v>
      </c>
      <c r="D83" s="669"/>
      <c r="E83" s="668">
        <v>48</v>
      </c>
      <c r="F83" s="758" t="s">
        <v>1278</v>
      </c>
      <c r="G83" s="758"/>
      <c r="H83" s="759"/>
      <c r="I83" s="760"/>
      <c r="J83" s="761"/>
      <c r="K83" s="762">
        <v>2665</v>
      </c>
      <c r="L83" s="763" t="e">
        <f>'통장내역(환율표)'!#REF!</f>
        <v>#REF!</v>
      </c>
      <c r="M83" s="617">
        <v>365.52379559909349</v>
      </c>
      <c r="N83" s="687" t="e">
        <f t="shared" ref="N83:N92" si="12">N82+H83-K83</f>
        <v>#REF!</v>
      </c>
      <c r="O83" s="688" t="e">
        <f t="shared" ref="O83:O92" si="13">O82+J83-M83</f>
        <v>#REF!</v>
      </c>
      <c r="P83" s="689" t="s">
        <v>1280</v>
      </c>
      <c r="Q83" s="803"/>
      <c r="R83" s="809" t="s">
        <v>943</v>
      </c>
      <c r="S83" s="525" t="e">
        <f t="shared" si="11"/>
        <v>#REF!</v>
      </c>
    </row>
    <row r="84" spans="2:19" ht="11.25" hidden="1" customHeight="1">
      <c r="B84" s="568">
        <v>45434</v>
      </c>
      <c r="C84" s="656" t="s">
        <v>939</v>
      </c>
      <c r="D84" s="571"/>
      <c r="E84" s="668">
        <v>48</v>
      </c>
      <c r="F84" s="569" t="s">
        <v>107</v>
      </c>
      <c r="G84" s="569"/>
      <c r="H84" s="571"/>
      <c r="I84" s="570"/>
      <c r="J84" s="572"/>
      <c r="K84" s="697">
        <v>3041.59</v>
      </c>
      <c r="L84" s="542" t="e">
        <f>'통장내역(환율표)'!#REF!</f>
        <v>#REF!</v>
      </c>
      <c r="M84" s="766" t="e">
        <f t="shared" si="10"/>
        <v>#REF!</v>
      </c>
      <c r="N84" s="687" t="e">
        <f t="shared" si="12"/>
        <v>#REF!</v>
      </c>
      <c r="O84" s="688" t="e">
        <f t="shared" si="13"/>
        <v>#REF!</v>
      </c>
      <c r="P84" s="689" t="s">
        <v>1280</v>
      </c>
      <c r="Q84" s="803"/>
      <c r="R84" s="809" t="s">
        <v>943</v>
      </c>
      <c r="S84" s="525" t="e">
        <f t="shared" si="11"/>
        <v>#REF!</v>
      </c>
    </row>
    <row r="85" spans="2:19" ht="11.25" customHeight="1">
      <c r="B85" s="568">
        <v>45434</v>
      </c>
      <c r="C85" s="669" t="s">
        <v>892</v>
      </c>
      <c r="D85" s="669"/>
      <c r="E85" s="668">
        <v>48</v>
      </c>
      <c r="F85" s="569" t="s">
        <v>107</v>
      </c>
      <c r="G85" s="569"/>
      <c r="H85" s="571"/>
      <c r="I85" s="570"/>
      <c r="J85" s="572"/>
      <c r="K85" s="697">
        <v>300</v>
      </c>
      <c r="L85" s="542" t="e">
        <f>'통장내역(환율표)'!#REF!</f>
        <v>#REF!</v>
      </c>
      <c r="M85" s="766" t="e">
        <f t="shared" si="10"/>
        <v>#REF!</v>
      </c>
      <c r="N85" s="687" t="e">
        <f t="shared" si="12"/>
        <v>#REF!</v>
      </c>
      <c r="O85" s="688" t="e">
        <f t="shared" si="13"/>
        <v>#REF!</v>
      </c>
      <c r="P85" s="689" t="s">
        <v>1280</v>
      </c>
      <c r="Q85" s="803"/>
      <c r="R85" s="809" t="s">
        <v>943</v>
      </c>
      <c r="S85" s="525" t="e">
        <f t="shared" si="11"/>
        <v>#REF!</v>
      </c>
    </row>
    <row r="86" spans="2:19" ht="11.25" hidden="1" customHeight="1">
      <c r="B86" s="568">
        <v>45434</v>
      </c>
      <c r="C86" s="669" t="s">
        <v>983</v>
      </c>
      <c r="D86" s="669"/>
      <c r="E86" s="668">
        <v>48</v>
      </c>
      <c r="F86" s="569" t="s">
        <v>107</v>
      </c>
      <c r="G86" s="569"/>
      <c r="H86" s="571"/>
      <c r="I86" s="570"/>
      <c r="J86" s="572"/>
      <c r="K86" s="637">
        <v>800</v>
      </c>
      <c r="L86" s="542" t="e">
        <f>'통장내역(환율표)'!#REF!</f>
        <v>#REF!</v>
      </c>
      <c r="M86" s="766" t="e">
        <f t="shared" si="10"/>
        <v>#REF!</v>
      </c>
      <c r="N86" s="687" t="e">
        <f t="shared" si="12"/>
        <v>#REF!</v>
      </c>
      <c r="O86" s="688" t="e">
        <f t="shared" si="13"/>
        <v>#REF!</v>
      </c>
      <c r="P86" s="689" t="s">
        <v>1280</v>
      </c>
      <c r="Q86" s="803"/>
      <c r="R86" s="809" t="s">
        <v>943</v>
      </c>
      <c r="S86" s="525" t="e">
        <f t="shared" si="11"/>
        <v>#REF!</v>
      </c>
    </row>
    <row r="87" spans="2:19" ht="11.25" hidden="1" customHeight="1">
      <c r="B87" s="568">
        <v>45434</v>
      </c>
      <c r="C87" s="669" t="s">
        <v>891</v>
      </c>
      <c r="D87" s="571"/>
      <c r="E87" s="668">
        <v>48</v>
      </c>
      <c r="F87" s="569" t="s">
        <v>107</v>
      </c>
      <c r="G87" s="569"/>
      <c r="H87" s="571"/>
      <c r="I87" s="570"/>
      <c r="J87" s="572"/>
      <c r="K87" s="697">
        <v>25000</v>
      </c>
      <c r="L87" s="542" t="e">
        <f>'통장내역(환율표)'!#REF!</f>
        <v>#REF!</v>
      </c>
      <c r="M87" s="766" t="e">
        <f t="shared" si="10"/>
        <v>#REF!</v>
      </c>
      <c r="N87" s="687" t="e">
        <f t="shared" si="12"/>
        <v>#REF!</v>
      </c>
      <c r="O87" s="688" t="e">
        <f t="shared" si="13"/>
        <v>#REF!</v>
      </c>
      <c r="P87" s="689" t="s">
        <v>1280</v>
      </c>
      <c r="Q87" s="803"/>
      <c r="R87" s="809" t="s">
        <v>1277</v>
      </c>
      <c r="S87" s="525" t="e">
        <f t="shared" si="11"/>
        <v>#REF!</v>
      </c>
    </row>
    <row r="88" spans="2:19" ht="11.25" hidden="1" customHeight="1">
      <c r="B88" s="568">
        <v>45434</v>
      </c>
      <c r="C88" s="669" t="s">
        <v>1109</v>
      </c>
      <c r="D88" s="669"/>
      <c r="E88" s="668">
        <v>48</v>
      </c>
      <c r="F88" s="758" t="s">
        <v>1278</v>
      </c>
      <c r="G88" s="758"/>
      <c r="H88" s="759"/>
      <c r="I88" s="760"/>
      <c r="J88" s="761"/>
      <c r="K88" s="849">
        <v>2665</v>
      </c>
      <c r="L88" s="763" t="e">
        <f>'통장내역(환율표)'!#REF!</f>
        <v>#REF!</v>
      </c>
      <c r="M88" s="617">
        <v>365.52379559909349</v>
      </c>
      <c r="N88" s="687" t="e">
        <f t="shared" si="12"/>
        <v>#REF!</v>
      </c>
      <c r="O88" s="688" t="e">
        <f t="shared" si="13"/>
        <v>#REF!</v>
      </c>
      <c r="P88" s="689" t="s">
        <v>1280</v>
      </c>
      <c r="Q88" s="803"/>
      <c r="R88" s="809" t="s">
        <v>1277</v>
      </c>
      <c r="S88" s="525" t="e">
        <f t="shared" si="11"/>
        <v>#REF!</v>
      </c>
    </row>
    <row r="89" spans="2:19" ht="11.25" hidden="1" customHeight="1">
      <c r="B89" s="568">
        <v>45434</v>
      </c>
      <c r="C89" s="669" t="s">
        <v>939</v>
      </c>
      <c r="D89" s="669"/>
      <c r="E89" s="668">
        <v>48</v>
      </c>
      <c r="F89" s="569" t="s">
        <v>107</v>
      </c>
      <c r="G89" s="569"/>
      <c r="H89" s="571"/>
      <c r="I89" s="570"/>
      <c r="J89" s="572"/>
      <c r="K89" s="637">
        <v>6936.19</v>
      </c>
      <c r="L89" s="542" t="e">
        <f>'통장내역(환율표)'!#REF!</f>
        <v>#REF!</v>
      </c>
      <c r="M89" s="766" t="e">
        <f t="shared" si="10"/>
        <v>#REF!</v>
      </c>
      <c r="N89" s="687" t="e">
        <f t="shared" si="12"/>
        <v>#REF!</v>
      </c>
      <c r="O89" s="688" t="e">
        <f t="shared" si="13"/>
        <v>#REF!</v>
      </c>
      <c r="P89" s="689" t="s">
        <v>1280</v>
      </c>
      <c r="Q89" s="803"/>
      <c r="R89" s="809" t="s">
        <v>1277</v>
      </c>
      <c r="S89" s="525" t="e">
        <f t="shared" si="11"/>
        <v>#REF!</v>
      </c>
    </row>
    <row r="90" spans="2:19" ht="11.25" customHeight="1">
      <c r="B90" s="568">
        <v>45434</v>
      </c>
      <c r="C90" s="669" t="s">
        <v>892</v>
      </c>
      <c r="D90" s="571"/>
      <c r="E90" s="668">
        <v>48</v>
      </c>
      <c r="F90" s="569" t="s">
        <v>107</v>
      </c>
      <c r="G90" s="569"/>
      <c r="H90" s="571"/>
      <c r="I90" s="570"/>
      <c r="J90" s="572"/>
      <c r="K90" s="697">
        <v>300</v>
      </c>
      <c r="L90" s="542" t="e">
        <f>'통장내역(환율표)'!#REF!</f>
        <v>#REF!</v>
      </c>
      <c r="M90" s="766" t="e">
        <f t="shared" si="10"/>
        <v>#REF!</v>
      </c>
      <c r="N90" s="687" t="e">
        <f t="shared" si="12"/>
        <v>#REF!</v>
      </c>
      <c r="O90" s="688" t="e">
        <f t="shared" si="13"/>
        <v>#REF!</v>
      </c>
      <c r="P90" s="689" t="s">
        <v>1280</v>
      </c>
      <c r="Q90" s="803"/>
      <c r="R90" s="809" t="s">
        <v>1277</v>
      </c>
      <c r="S90" s="525" t="e">
        <f t="shared" si="11"/>
        <v>#REF!</v>
      </c>
    </row>
    <row r="91" spans="2:19" ht="11.25" hidden="1" customHeight="1">
      <c r="B91" s="568">
        <v>45434</v>
      </c>
      <c r="C91" s="571" t="s">
        <v>983</v>
      </c>
      <c r="D91" s="669"/>
      <c r="E91" s="668">
        <v>48</v>
      </c>
      <c r="F91" s="569" t="s">
        <v>107</v>
      </c>
      <c r="G91" s="569"/>
      <c r="H91" s="571"/>
      <c r="I91" s="570"/>
      <c r="J91" s="572"/>
      <c r="K91" s="697">
        <v>400</v>
      </c>
      <c r="L91" s="542" t="e">
        <f>'통장내역(환율표)'!#REF!</f>
        <v>#REF!</v>
      </c>
      <c r="M91" s="766" t="e">
        <f t="shared" si="10"/>
        <v>#REF!</v>
      </c>
      <c r="N91" s="687" t="e">
        <f t="shared" si="12"/>
        <v>#REF!</v>
      </c>
      <c r="O91" s="688" t="e">
        <f t="shared" si="13"/>
        <v>#REF!</v>
      </c>
      <c r="P91" s="689" t="s">
        <v>1280</v>
      </c>
      <c r="Q91" s="803"/>
      <c r="R91" s="809" t="s">
        <v>1277</v>
      </c>
      <c r="S91" s="525" t="e">
        <f t="shared" si="11"/>
        <v>#REF!</v>
      </c>
    </row>
    <row r="92" spans="2:19" ht="11.25" hidden="1" customHeight="1">
      <c r="B92" s="568">
        <v>45434</v>
      </c>
      <c r="C92" s="571" t="s">
        <v>250</v>
      </c>
      <c r="D92" s="669"/>
      <c r="E92" s="668">
        <v>49</v>
      </c>
      <c r="F92" s="569" t="s">
        <v>107</v>
      </c>
      <c r="G92" s="569"/>
      <c r="H92" s="571"/>
      <c r="I92" s="570"/>
      <c r="J92" s="572"/>
      <c r="K92" s="637">
        <v>12</v>
      </c>
      <c r="L92" s="542" t="e">
        <f>'통장내역(환율표)'!#REF!</f>
        <v>#REF!</v>
      </c>
      <c r="M92" s="766" t="e">
        <f t="shared" si="10"/>
        <v>#REF!</v>
      </c>
      <c r="N92" s="848" t="e">
        <f t="shared" si="12"/>
        <v>#REF!</v>
      </c>
      <c r="O92" s="847" t="e">
        <f t="shared" si="13"/>
        <v>#REF!</v>
      </c>
      <c r="P92" s="689" t="s">
        <v>1280</v>
      </c>
      <c r="Q92" s="803"/>
      <c r="R92" s="809"/>
      <c r="S92" s="828" t="e">
        <f t="shared" si="11"/>
        <v>#REF!</v>
      </c>
    </row>
    <row r="93" spans="2:19" ht="11.25" customHeight="1">
      <c r="C93" s="519"/>
      <c r="D93" s="519"/>
      <c r="E93" s="519"/>
      <c r="F93" s="519"/>
      <c r="G93" s="519"/>
      <c r="H93" s="519"/>
      <c r="K93" s="461"/>
    </row>
    <row r="94" spans="2:19" ht="11.25" customHeight="1">
      <c r="C94" s="519"/>
      <c r="D94" s="519"/>
      <c r="E94" s="519"/>
      <c r="F94" s="519"/>
      <c r="G94" s="519"/>
      <c r="H94" s="519"/>
      <c r="K94" s="461"/>
    </row>
    <row r="95" spans="2:19" ht="11.25" customHeight="1">
      <c r="C95" s="519"/>
      <c r="D95" s="519"/>
      <c r="E95" s="519"/>
      <c r="F95" s="519"/>
      <c r="G95" s="519"/>
      <c r="H95" s="519"/>
      <c r="K95" s="461"/>
      <c r="N95" s="461" t="s">
        <v>1261</v>
      </c>
    </row>
    <row r="96" spans="2:19" ht="11.25" customHeight="1">
      <c r="C96" s="519"/>
      <c r="D96" s="519"/>
      <c r="E96" s="519"/>
      <c r="F96" s="519"/>
      <c r="G96" s="519"/>
      <c r="H96" s="519"/>
      <c r="K96" s="461"/>
    </row>
    <row r="97" spans="3:8" ht="11.25" customHeight="1">
      <c r="C97" s="519"/>
      <c r="D97" s="519"/>
      <c r="E97" s="519"/>
      <c r="F97" s="519"/>
      <c r="G97" s="519"/>
      <c r="H97" s="519"/>
    </row>
    <row r="98" spans="3:8" ht="11.25" customHeight="1">
      <c r="C98" s="519"/>
      <c r="D98" s="519"/>
      <c r="E98" s="519"/>
      <c r="F98" s="519"/>
      <c r="G98" s="519"/>
      <c r="H98" s="519"/>
    </row>
    <row r="99" spans="3:8" ht="11.25" customHeight="1">
      <c r="C99" s="519"/>
      <c r="D99" s="519"/>
      <c r="E99" s="519"/>
      <c r="F99" s="519"/>
      <c r="G99" s="519"/>
      <c r="H99" s="519"/>
    </row>
    <row r="100" spans="3:8" ht="11.25" customHeight="1">
      <c r="C100" s="519"/>
      <c r="D100" s="519"/>
      <c r="E100" s="519"/>
      <c r="F100" s="519"/>
      <c r="G100" s="519"/>
      <c r="H100" s="519"/>
    </row>
    <row r="101" spans="3:8" ht="11.25" customHeight="1">
      <c r="C101" s="519"/>
      <c r="D101" s="519"/>
      <c r="E101" s="519"/>
      <c r="F101" s="519"/>
      <c r="G101" s="519"/>
      <c r="H101" s="519"/>
    </row>
    <row r="102" spans="3:8" ht="11.25" customHeight="1">
      <c r="C102" s="519"/>
      <c r="D102" s="519"/>
      <c r="E102" s="519"/>
      <c r="F102" s="519"/>
      <c r="G102" s="519"/>
      <c r="H102" s="519"/>
    </row>
    <row r="103" spans="3:8" ht="11.25" customHeight="1">
      <c r="C103" s="519"/>
      <c r="D103" s="519"/>
      <c r="E103" s="519"/>
      <c r="F103" s="519"/>
      <c r="G103" s="519"/>
      <c r="H103" s="519"/>
    </row>
    <row r="104" spans="3:8" ht="11.25" customHeight="1">
      <c r="C104" s="519"/>
      <c r="D104" s="519"/>
      <c r="E104" s="519"/>
      <c r="F104" s="519"/>
      <c r="G104" s="519"/>
      <c r="H104" s="519"/>
    </row>
    <row r="105" spans="3:8" ht="11.25" customHeight="1">
      <c r="C105" s="519"/>
      <c r="D105" s="519"/>
      <c r="E105" s="519"/>
      <c r="F105" s="519"/>
      <c r="G105" s="519"/>
      <c r="H105" s="519"/>
    </row>
    <row r="106" spans="3:8" ht="11.25" customHeight="1">
      <c r="C106" s="519"/>
      <c r="D106" s="519"/>
      <c r="E106" s="519"/>
      <c r="F106" s="519"/>
      <c r="G106" s="519"/>
      <c r="H106" s="519"/>
    </row>
    <row r="107" spans="3:8" ht="11.25" customHeight="1">
      <c r="C107" s="519"/>
      <c r="D107" s="519"/>
      <c r="E107" s="519"/>
      <c r="F107" s="519"/>
      <c r="G107" s="519"/>
      <c r="H107" s="519"/>
    </row>
  </sheetData>
  <autoFilter ref="B17:R92" xr:uid="{00000000-0009-0000-0000-000001000000}">
    <filterColumn colId="1">
      <filters>
        <filter val="대행수수료"/>
        <filter val="세무대행비"/>
      </filters>
    </filterColumn>
    <filterColumn colId="14" showButton="0"/>
    <sortState xmlns:xlrd2="http://schemas.microsoft.com/office/spreadsheetml/2017/richdata2" ref="B20:R48">
      <sortCondition sortBy="cellColor" ref="M17:M92" dxfId="24"/>
    </sortState>
  </autoFilter>
  <mergeCells count="5">
    <mergeCell ref="H16:J16"/>
    <mergeCell ref="K16:M16"/>
    <mergeCell ref="N16:O16"/>
    <mergeCell ref="P16:Q16"/>
    <mergeCell ref="P17:Q17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733E-58E4-4368-B3C3-3CC40013CC0C}">
  <sheetPr>
    <tabColor theme="7" tint="-0.249977111117893"/>
  </sheetPr>
  <dimension ref="A1:AC111"/>
  <sheetViews>
    <sheetView showGridLines="0" zoomScaleNormal="100" workbookViewId="0">
      <pane ySplit="18" topLeftCell="A97" activePane="bottomLeft" state="frozen"/>
      <selection activeCell="O20" sqref="O20"/>
      <selection pane="bottomLeft" activeCell="N110" sqref="N110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1299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1301</v>
      </c>
      <c r="C3" s="477"/>
      <c r="D3" s="477"/>
      <c r="E3" s="477"/>
      <c r="F3" s="715">
        <v>1367.9</v>
      </c>
      <c r="G3" s="480"/>
      <c r="H3" s="476" t="s">
        <v>1300</v>
      </c>
      <c r="I3" s="477"/>
      <c r="K3" s="478"/>
      <c r="L3" s="715">
        <v>1366.9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10905.74</v>
      </c>
      <c r="E5" s="496">
        <v>1510.22</v>
      </c>
      <c r="F5" s="497">
        <f>ROUND(E5*$F$3,0)</f>
        <v>2065830</v>
      </c>
      <c r="G5" s="498"/>
      <c r="H5" s="499" t="s">
        <v>11</v>
      </c>
      <c r="I5" s="499" t="s">
        <v>12</v>
      </c>
      <c r="J5" s="693"/>
      <c r="K5" s="693"/>
      <c r="L5" s="651">
        <f>ROUND(K5*$L$3,0)</f>
        <v>0</v>
      </c>
      <c r="M5" s="851">
        <f>L5+F5</f>
        <v>2065830</v>
      </c>
      <c r="N5" s="852"/>
      <c r="O5" s="773"/>
      <c r="P5" s="773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52025.52</v>
      </c>
      <c r="E6" s="500">
        <v>7204.45</v>
      </c>
      <c r="F6" s="497">
        <f t="shared" ref="F6:F12" si="0">ROUND(E6*$F$3,0)</f>
        <v>9854967</v>
      </c>
      <c r="G6" s="502"/>
      <c r="H6" s="499" t="s">
        <v>13</v>
      </c>
      <c r="I6" s="499" t="s">
        <v>14</v>
      </c>
      <c r="J6" s="693">
        <v>2478.0300000000002</v>
      </c>
      <c r="K6" s="693">
        <v>342.24</v>
      </c>
      <c r="L6" s="651">
        <f t="shared" ref="L6:L11" si="1">ROUND(K6*$L$3,0)</f>
        <v>467808</v>
      </c>
      <c r="M6" s="851">
        <f t="shared" ref="M6:M13" si="2">L6+F6</f>
        <v>10322775</v>
      </c>
      <c r="N6" s="852"/>
      <c r="O6" s="773"/>
      <c r="P6" s="773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496">
        <v>24481</v>
      </c>
      <c r="E7" s="496">
        <v>3390.11</v>
      </c>
      <c r="F7" s="497">
        <f t="shared" si="0"/>
        <v>4637331</v>
      </c>
      <c r="G7" s="503"/>
      <c r="H7" s="499" t="s">
        <v>15</v>
      </c>
      <c r="I7" s="499" t="s">
        <v>1055</v>
      </c>
      <c r="J7" s="694"/>
      <c r="K7" s="694"/>
      <c r="L7" s="651">
        <f t="shared" si="1"/>
        <v>0</v>
      </c>
      <c r="M7" s="851">
        <f t="shared" si="2"/>
        <v>4637331</v>
      </c>
      <c r="N7" s="852"/>
      <c r="O7" s="773"/>
      <c r="P7" s="773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17500</v>
      </c>
      <c r="E8" s="500">
        <v>2423.39</v>
      </c>
      <c r="F8" s="497">
        <f t="shared" si="0"/>
        <v>3314955</v>
      </c>
      <c r="G8" s="503"/>
      <c r="H8" s="499" t="s">
        <v>15</v>
      </c>
      <c r="I8" s="494" t="s">
        <v>17</v>
      </c>
      <c r="J8" s="694"/>
      <c r="K8" s="694"/>
      <c r="L8" s="651">
        <f t="shared" si="1"/>
        <v>0</v>
      </c>
      <c r="M8" s="851">
        <f t="shared" si="2"/>
        <v>3314955</v>
      </c>
      <c r="N8" s="852"/>
      <c r="O8" s="773"/>
      <c r="P8" s="773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942.4</v>
      </c>
      <c r="E9" s="500">
        <v>130.5</v>
      </c>
      <c r="F9" s="497">
        <f t="shared" si="0"/>
        <v>178511</v>
      </c>
      <c r="G9" s="504"/>
      <c r="H9" s="499" t="s">
        <v>19</v>
      </c>
      <c r="I9" s="494" t="s">
        <v>20</v>
      </c>
      <c r="J9" s="693">
        <v>299</v>
      </c>
      <c r="K9" s="693">
        <v>41.29</v>
      </c>
      <c r="L9" s="651">
        <f t="shared" si="1"/>
        <v>56439</v>
      </c>
      <c r="M9" s="851">
        <f t="shared" si="2"/>
        <v>234950</v>
      </c>
      <c r="N9" s="852"/>
      <c r="O9" s="773"/>
      <c r="P9" s="773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23908.499999999996</v>
      </c>
      <c r="E10" s="500">
        <v>3310.83</v>
      </c>
      <c r="F10" s="497">
        <f t="shared" si="0"/>
        <v>4528884</v>
      </c>
      <c r="G10" s="505"/>
      <c r="H10" s="499" t="s">
        <v>21</v>
      </c>
      <c r="I10" s="499"/>
      <c r="J10" s="693">
        <v>189345.94999999998</v>
      </c>
      <c r="K10" s="693">
        <v>26201.59</v>
      </c>
      <c r="L10" s="651">
        <f>ROUND(K10*$L$3,0)</f>
        <v>35814953</v>
      </c>
      <c r="M10" s="851">
        <f t="shared" si="2"/>
        <v>40343837</v>
      </c>
      <c r="N10" s="852"/>
      <c r="O10" s="773"/>
      <c r="P10" s="773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1367.8999366186467</v>
      </c>
      <c r="H11" s="506" t="s">
        <v>1057</v>
      </c>
      <c r="I11" s="507" t="s">
        <v>1279</v>
      </c>
      <c r="J11" s="511"/>
      <c r="K11" s="855"/>
      <c r="L11" s="854">
        <f t="shared" si="1"/>
        <v>0</v>
      </c>
      <c r="M11" s="851">
        <f t="shared" si="2"/>
        <v>0</v>
      </c>
      <c r="N11" s="853"/>
      <c r="P11" s="776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500">
        <v>220.03</v>
      </c>
      <c r="E12" s="500">
        <v>30.47</v>
      </c>
      <c r="F12" s="497">
        <f t="shared" si="0"/>
        <v>41680</v>
      </c>
      <c r="G12" s="512">
        <f>E13+Q13+AB13</f>
        <v>17939.03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51">
        <f t="shared" si="2"/>
        <v>41680</v>
      </c>
      <c r="N12" s="852"/>
      <c r="P12" s="776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129543.12999999999</v>
      </c>
      <c r="E13" s="515">
        <f>SUM(E5:E11)-E12</f>
        <v>17939.03</v>
      </c>
      <c r="F13" s="870">
        <f>SUM(F5:F11)-F12</f>
        <v>24538798</v>
      </c>
      <c r="G13" s="518">
        <f>F13+R13+AC13</f>
        <v>24538798</v>
      </c>
      <c r="H13" s="868" t="s">
        <v>22</v>
      </c>
      <c r="I13" s="869"/>
      <c r="J13" s="515">
        <f>SUM(J5:J11)-J12</f>
        <v>192122.97999999998</v>
      </c>
      <c r="K13" s="515">
        <f>SUM(K5:K11)-K12</f>
        <v>26585.119999999999</v>
      </c>
      <c r="L13" s="870">
        <f>SUM(L5:L11)-L12</f>
        <v>36339200</v>
      </c>
      <c r="M13" s="871">
        <f t="shared" si="2"/>
        <v>60877998</v>
      </c>
      <c r="N13" s="872"/>
      <c r="O13" s="873"/>
      <c r="P13" s="776"/>
      <c r="Q13" s="776"/>
      <c r="R13" s="776"/>
      <c r="S13" s="874"/>
      <c r="U13" s="850"/>
      <c r="X13" s="875">
        <f>F13+R13</f>
        <v>24538798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3">SUM(D7:D10)</f>
        <v>66831.899999999994</v>
      </c>
      <c r="E14" s="739">
        <f t="shared" si="3"/>
        <v>9254.83</v>
      </c>
      <c r="F14" s="739">
        <f>SUM(F7:F10)</f>
        <v>12659681</v>
      </c>
      <c r="G14" s="524"/>
      <c r="K14" s="865" t="e">
        <f>K15-D12</f>
        <v>#REF!</v>
      </c>
      <c r="L14" s="866"/>
      <c r="M14" s="865" t="e">
        <f>M15-E12</f>
        <v>#REF!</v>
      </c>
      <c r="O14" s="525"/>
      <c r="P14" s="844">
        <f>P13+D13+J13</f>
        <v>321666.11</v>
      </c>
      <c r="Q14" s="844">
        <f>Q13+E13+K13</f>
        <v>44524.149999999994</v>
      </c>
      <c r="R14" s="845">
        <f>R13+F13+L13</f>
        <v>60877998</v>
      </c>
      <c r="X14" s="470"/>
      <c r="Y14" s="525"/>
      <c r="AB14" s="525"/>
      <c r="AC14" s="489"/>
    </row>
    <row r="15" spans="1:29" ht="18.75" customHeight="1" thickBot="1">
      <c r="A15" s="449"/>
      <c r="C15" s="520"/>
      <c r="D15" s="520"/>
      <c r="E15" s="523"/>
      <c r="F15" s="523"/>
      <c r="G15" s="524"/>
      <c r="I15" s="525"/>
      <c r="J15" s="526"/>
      <c r="K15" s="652" t="e">
        <f>SUBTOTAL(9,K18:K125)</f>
        <v>#REF!</v>
      </c>
      <c r="L15" s="137"/>
      <c r="M15" s="652" t="e">
        <f>SUBTOTAL(9,M18:M125)</f>
        <v>#REF!</v>
      </c>
      <c r="N15" s="525"/>
      <c r="Q15" s="525"/>
    </row>
    <row r="16" spans="1:29" ht="11.25" customHeight="1">
      <c r="A16" s="449"/>
      <c r="B16" s="527" t="s">
        <v>24</v>
      </c>
      <c r="C16" s="528" t="s">
        <v>25</v>
      </c>
      <c r="D16" s="528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7"/>
      <c r="R16" s="533" t="s">
        <v>1062</v>
      </c>
    </row>
    <row r="17" spans="1:19" ht="11.25" customHeight="1">
      <c r="A17" s="449"/>
      <c r="B17" s="534" t="s">
        <v>1063</v>
      </c>
      <c r="C17" s="535" t="s">
        <v>1064</v>
      </c>
      <c r="D17" s="535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81" t="s">
        <v>32</v>
      </c>
      <c r="Q17" s="2081"/>
      <c r="R17" s="486" t="s">
        <v>1062</v>
      </c>
    </row>
    <row r="18" spans="1:19" ht="11.25" customHeight="1">
      <c r="B18" s="657">
        <v>45443</v>
      </c>
      <c r="C18" s="658"/>
      <c r="D18" s="658"/>
      <c r="E18" s="660"/>
      <c r="F18" s="863"/>
      <c r="G18" s="661"/>
      <c r="H18" s="662"/>
      <c r="I18" s="658"/>
      <c r="J18" s="661"/>
      <c r="K18" s="682"/>
      <c r="L18" s="663"/>
      <c r="M18" s="679"/>
      <c r="N18" s="781">
        <v>129466.73999999996</v>
      </c>
      <c r="O18" s="782">
        <v>17939.032282181233</v>
      </c>
      <c r="P18" s="681"/>
      <c r="Q18" s="798"/>
      <c r="R18" s="805"/>
      <c r="S18" s="846">
        <v>17939.028430654496</v>
      </c>
    </row>
    <row r="19" spans="1:19" ht="11.25" customHeight="1">
      <c r="B19" s="744">
        <v>45455</v>
      </c>
      <c r="C19" s="745" t="s">
        <v>834</v>
      </c>
      <c r="D19" s="745"/>
      <c r="E19" s="746"/>
      <c r="F19" s="747"/>
      <c r="G19" s="747"/>
      <c r="H19" s="748">
        <v>297994.13</v>
      </c>
      <c r="I19" s="749"/>
      <c r="J19" s="749">
        <v>41207</v>
      </c>
      <c r="K19" s="750"/>
      <c r="L19" s="751"/>
      <c r="M19" s="692"/>
      <c r="N19" s="752">
        <f t="shared" ref="N19" si="4">N18+H19-K19</f>
        <v>427460.87</v>
      </c>
      <c r="O19" s="753">
        <f t="shared" ref="O19" si="5">O18+J19-M19</f>
        <v>59146.03228218123</v>
      </c>
      <c r="P19" s="754"/>
      <c r="Q19" s="800"/>
      <c r="R19" s="807"/>
      <c r="S19" s="525"/>
    </row>
    <row r="20" spans="1:19" ht="11.25" customHeight="1">
      <c r="B20" s="744">
        <v>45455</v>
      </c>
      <c r="C20" s="745" t="s">
        <v>250</v>
      </c>
      <c r="D20" s="745"/>
      <c r="E20" s="746">
        <v>1</v>
      </c>
      <c r="F20" s="747" t="s">
        <v>107</v>
      </c>
      <c r="G20" s="747"/>
      <c r="H20" s="748"/>
      <c r="I20" s="749"/>
      <c r="J20" s="748"/>
      <c r="K20" s="750"/>
      <c r="L20" s="751" t="e">
        <f>'통장내역(환율표)'!#REF!</f>
        <v>#REF!</v>
      </c>
      <c r="M20" s="619">
        <v>51</v>
      </c>
      <c r="N20" s="752">
        <f t="shared" ref="N20:N83" si="6">N19+H20-K20</f>
        <v>427460.87</v>
      </c>
      <c r="O20" s="753">
        <f t="shared" ref="O20:O83" si="7">O19+J20-M20</f>
        <v>59095.03228218123</v>
      </c>
      <c r="P20" s="754" t="s">
        <v>1298</v>
      </c>
      <c r="Q20" s="800"/>
      <c r="R20" s="807"/>
      <c r="S20" s="525"/>
    </row>
    <row r="21" spans="1:19" ht="11.25" customHeight="1">
      <c r="B21" s="568">
        <v>45460</v>
      </c>
      <c r="C21" s="656" t="s">
        <v>304</v>
      </c>
      <c r="D21" s="656"/>
      <c r="E21" s="668">
        <v>2</v>
      </c>
      <c r="F21" s="569" t="s">
        <v>105</v>
      </c>
      <c r="G21" s="569" t="s">
        <v>76</v>
      </c>
      <c r="H21" s="571"/>
      <c r="I21" s="686"/>
      <c r="J21" s="572"/>
      <c r="K21" s="637">
        <v>24481</v>
      </c>
      <c r="L21" s="542" t="e">
        <f>'통장내역(환율표)'!#REF!</f>
        <v>#REF!</v>
      </c>
      <c r="M21" s="766" t="e">
        <f t="shared" ref="M21:M24" si="8">K21/L21</f>
        <v>#REF!</v>
      </c>
      <c r="N21" s="687">
        <f t="shared" si="6"/>
        <v>402979.87</v>
      </c>
      <c r="O21" s="688" t="e">
        <f t="shared" si="7"/>
        <v>#REF!</v>
      </c>
      <c r="P21" s="689" t="s">
        <v>1280</v>
      </c>
      <c r="Q21" s="801"/>
      <c r="R21" s="808"/>
      <c r="S21" s="525" t="e">
        <f>S18-M21</f>
        <v>#REF!</v>
      </c>
    </row>
    <row r="22" spans="1:19" ht="11.25" customHeight="1">
      <c r="B22" s="568">
        <v>45460</v>
      </c>
      <c r="C22" s="656" t="s">
        <v>250</v>
      </c>
      <c r="D22" s="656"/>
      <c r="E22" s="668">
        <v>3</v>
      </c>
      <c r="F22" s="569" t="s">
        <v>107</v>
      </c>
      <c r="G22" s="569"/>
      <c r="H22" s="571"/>
      <c r="I22" s="686"/>
      <c r="J22" s="572"/>
      <c r="K22" s="637">
        <v>7.2</v>
      </c>
      <c r="L22" s="542" t="e">
        <f>'통장내역(환율표)'!#REF!</f>
        <v>#REF!</v>
      </c>
      <c r="M22" s="766" t="e">
        <f t="shared" si="8"/>
        <v>#REF!</v>
      </c>
      <c r="N22" s="687">
        <f t="shared" si="6"/>
        <v>402972.67</v>
      </c>
      <c r="O22" s="688" t="e">
        <f t="shared" si="7"/>
        <v>#REF!</v>
      </c>
      <c r="P22" s="689" t="s">
        <v>1280</v>
      </c>
      <c r="Q22" s="801"/>
      <c r="R22" s="808"/>
      <c r="S22" s="525" t="e">
        <f>S21-M22+J22</f>
        <v>#REF!</v>
      </c>
    </row>
    <row r="23" spans="1:19" ht="12" customHeight="1">
      <c r="B23" s="568">
        <v>45460</v>
      </c>
      <c r="C23" s="656" t="s">
        <v>1276</v>
      </c>
      <c r="D23" s="656"/>
      <c r="E23" s="668">
        <v>4</v>
      </c>
      <c r="F23" s="569" t="s">
        <v>146</v>
      </c>
      <c r="G23" s="569" t="s">
        <v>147</v>
      </c>
      <c r="H23" s="571"/>
      <c r="I23" s="686"/>
      <c r="J23" s="572"/>
      <c r="K23" s="637">
        <v>1600</v>
      </c>
      <c r="L23" s="542" t="e">
        <f>'통장내역(환율표)'!#REF!</f>
        <v>#REF!</v>
      </c>
      <c r="M23" s="766" t="e">
        <f t="shared" si="8"/>
        <v>#REF!</v>
      </c>
      <c r="N23" s="687">
        <f t="shared" si="6"/>
        <v>401372.67</v>
      </c>
      <c r="O23" s="688" t="e">
        <f t="shared" si="7"/>
        <v>#REF!</v>
      </c>
      <c r="P23" s="689" t="s">
        <v>1280</v>
      </c>
      <c r="Q23" s="801"/>
      <c r="R23" s="808"/>
      <c r="S23" s="525" t="e">
        <f t="shared" ref="S23:S69" si="9">S22-M23+J23</f>
        <v>#REF!</v>
      </c>
    </row>
    <row r="24" spans="1:19" ht="12" customHeight="1">
      <c r="B24" s="568">
        <v>45460</v>
      </c>
      <c r="C24" s="656" t="s">
        <v>250</v>
      </c>
      <c r="D24" s="656"/>
      <c r="E24" s="668">
        <v>5</v>
      </c>
      <c r="F24" s="569" t="s">
        <v>107</v>
      </c>
      <c r="G24" s="569"/>
      <c r="H24" s="571"/>
      <c r="I24" s="686"/>
      <c r="J24" s="572"/>
      <c r="K24" s="637">
        <v>3.6</v>
      </c>
      <c r="L24" s="542" t="e">
        <f>'통장내역(환율표)'!#REF!</f>
        <v>#REF!</v>
      </c>
      <c r="M24" s="766" t="e">
        <f t="shared" si="8"/>
        <v>#REF!</v>
      </c>
      <c r="N24" s="687">
        <f t="shared" si="6"/>
        <v>401369.07</v>
      </c>
      <c r="O24" s="688" t="e">
        <f t="shared" si="7"/>
        <v>#REF!</v>
      </c>
      <c r="P24" s="689" t="s">
        <v>1280</v>
      </c>
      <c r="Q24" s="801"/>
      <c r="R24" s="808"/>
      <c r="S24" s="525" t="e">
        <f t="shared" si="9"/>
        <v>#REF!</v>
      </c>
    </row>
    <row r="25" spans="1:19" ht="11.25" customHeight="1">
      <c r="B25" s="568">
        <v>45463</v>
      </c>
      <c r="C25" s="656" t="s">
        <v>1281</v>
      </c>
      <c r="D25" s="656"/>
      <c r="E25" s="668">
        <v>6</v>
      </c>
      <c r="F25" s="569" t="s">
        <v>60</v>
      </c>
      <c r="G25" s="569"/>
      <c r="H25" s="856">
        <v>220.03</v>
      </c>
      <c r="I25" s="542" t="e">
        <f>'통장내역(환율표)'!#REF!</f>
        <v>#REF!</v>
      </c>
      <c r="J25" s="766" t="e">
        <f t="shared" ref="J25" si="10">H25/I25</f>
        <v>#REF!</v>
      </c>
      <c r="K25" s="637"/>
      <c r="L25" s="542" t="e">
        <f>'통장내역(환율표)'!#REF!</f>
        <v>#REF!</v>
      </c>
      <c r="M25" s="766" t="e">
        <f t="shared" ref="M25" si="11">K25/L25</f>
        <v>#REF!</v>
      </c>
      <c r="N25" s="687">
        <f t="shared" si="6"/>
        <v>401589.10000000003</v>
      </c>
      <c r="O25" s="688" t="e">
        <f>O24+J25-M25</f>
        <v>#REF!</v>
      </c>
      <c r="P25" s="689" t="s">
        <v>1280</v>
      </c>
      <c r="Q25" s="801"/>
      <c r="R25" s="808"/>
      <c r="S25" s="525" t="e">
        <f>S24-M25+J25</f>
        <v>#REF!</v>
      </c>
    </row>
    <row r="26" spans="1:19" ht="11.25" customHeight="1">
      <c r="B26" s="568">
        <v>45467</v>
      </c>
      <c r="C26" s="656" t="s">
        <v>250</v>
      </c>
      <c r="D26" s="656"/>
      <c r="E26" s="668">
        <v>8</v>
      </c>
      <c r="F26" s="569" t="s">
        <v>107</v>
      </c>
      <c r="G26" s="569"/>
      <c r="H26" s="858"/>
      <c r="I26" s="686"/>
      <c r="J26" s="572"/>
      <c r="K26" s="637">
        <v>12</v>
      </c>
      <c r="L26" s="542" t="e">
        <f>'통장내역(환율표)'!#REF!</f>
        <v>#REF!</v>
      </c>
      <c r="M26" s="766" t="e">
        <f t="shared" ref="M26:M49" si="12">K26/L26</f>
        <v>#REF!</v>
      </c>
      <c r="N26" s="687">
        <f t="shared" si="6"/>
        <v>401577.10000000003</v>
      </c>
      <c r="O26" s="688" t="e">
        <f t="shared" si="7"/>
        <v>#REF!</v>
      </c>
      <c r="P26" s="689" t="s">
        <v>1280</v>
      </c>
      <c r="Q26" s="801"/>
      <c r="R26" s="808" t="s">
        <v>1295</v>
      </c>
      <c r="S26" s="525" t="e">
        <f>S25-M26+J26</f>
        <v>#REF!</v>
      </c>
    </row>
    <row r="27" spans="1:19" ht="11.25" customHeight="1">
      <c r="B27" s="568">
        <v>45467</v>
      </c>
      <c r="C27" s="656" t="s">
        <v>305</v>
      </c>
      <c r="D27" s="656"/>
      <c r="E27" s="668">
        <v>9</v>
      </c>
      <c r="F27" s="569" t="s">
        <v>105</v>
      </c>
      <c r="G27" s="569" t="s">
        <v>227</v>
      </c>
      <c r="H27" s="571"/>
      <c r="I27" s="686"/>
      <c r="J27" s="572"/>
      <c r="K27" s="596">
        <v>10500</v>
      </c>
      <c r="L27" s="542" t="e">
        <f>'통장내역(환율표)'!#REF!</f>
        <v>#REF!</v>
      </c>
      <c r="M27" s="766" t="e">
        <f t="shared" si="12"/>
        <v>#REF!</v>
      </c>
      <c r="N27" s="687">
        <f t="shared" si="6"/>
        <v>391077.10000000003</v>
      </c>
      <c r="O27" s="688" t="e">
        <f t="shared" si="7"/>
        <v>#REF!</v>
      </c>
      <c r="P27" s="689" t="s">
        <v>1280</v>
      </c>
      <c r="Q27" s="801"/>
      <c r="R27" s="808"/>
      <c r="S27" s="525" t="e">
        <f t="shared" si="9"/>
        <v>#REF!</v>
      </c>
    </row>
    <row r="28" spans="1:19" ht="11.25" customHeight="1">
      <c r="B28" s="568">
        <v>45467</v>
      </c>
      <c r="C28" s="656" t="s">
        <v>1107</v>
      </c>
      <c r="D28" s="656"/>
      <c r="E28" s="668">
        <v>10</v>
      </c>
      <c r="F28" s="569" t="s">
        <v>107</v>
      </c>
      <c r="G28" s="569"/>
      <c r="H28" s="571"/>
      <c r="I28" s="686"/>
      <c r="J28" s="572"/>
      <c r="K28" s="639">
        <v>6000</v>
      </c>
      <c r="L28" s="542" t="e">
        <f>'통장내역(환율표)'!#REF!</f>
        <v>#REF!</v>
      </c>
      <c r="M28" s="766" t="e">
        <f t="shared" si="12"/>
        <v>#REF!</v>
      </c>
      <c r="N28" s="687">
        <f t="shared" si="6"/>
        <v>385077.10000000003</v>
      </c>
      <c r="O28" s="688" t="e">
        <f t="shared" si="7"/>
        <v>#REF!</v>
      </c>
      <c r="P28" s="689" t="s">
        <v>1280</v>
      </c>
      <c r="Q28" s="801"/>
      <c r="R28" s="808"/>
      <c r="S28" s="525" t="e">
        <f t="shared" si="9"/>
        <v>#REF!</v>
      </c>
    </row>
    <row r="29" spans="1:19" ht="11.25" customHeight="1">
      <c r="B29" s="568">
        <v>45467</v>
      </c>
      <c r="C29" s="656" t="s">
        <v>1108</v>
      </c>
      <c r="D29" s="656"/>
      <c r="E29" s="668">
        <v>11</v>
      </c>
      <c r="F29" s="569" t="s">
        <v>107</v>
      </c>
      <c r="G29" s="569"/>
      <c r="H29" s="571"/>
      <c r="I29" s="686"/>
      <c r="J29" s="572"/>
      <c r="K29" s="639">
        <v>740</v>
      </c>
      <c r="L29" s="542" t="e">
        <f>'통장내역(환율표)'!#REF!</f>
        <v>#REF!</v>
      </c>
      <c r="M29" s="766" t="e">
        <f t="shared" si="12"/>
        <v>#REF!</v>
      </c>
      <c r="N29" s="687">
        <f t="shared" si="6"/>
        <v>384337.10000000003</v>
      </c>
      <c r="O29" s="688" t="e">
        <f t="shared" si="7"/>
        <v>#REF!</v>
      </c>
      <c r="P29" s="689" t="s">
        <v>1280</v>
      </c>
      <c r="Q29" s="801"/>
      <c r="R29" s="808"/>
      <c r="S29" s="525" t="e">
        <f t="shared" si="9"/>
        <v>#REF!</v>
      </c>
    </row>
    <row r="30" spans="1:19" ht="11.25" customHeight="1">
      <c r="B30" s="568">
        <v>45467</v>
      </c>
      <c r="C30" s="656" t="s">
        <v>305</v>
      </c>
      <c r="D30" s="656"/>
      <c r="E30" s="668">
        <v>12</v>
      </c>
      <c r="F30" s="569" t="s">
        <v>105</v>
      </c>
      <c r="G30" s="569" t="s">
        <v>227</v>
      </c>
      <c r="H30" s="571"/>
      <c r="I30" s="686"/>
      <c r="J30" s="572"/>
      <c r="K30" s="697">
        <v>7000</v>
      </c>
      <c r="L30" s="542" t="e">
        <f>'통장내역(환율표)'!#REF!</f>
        <v>#REF!</v>
      </c>
      <c r="M30" s="766" t="e">
        <f t="shared" si="12"/>
        <v>#REF!</v>
      </c>
      <c r="N30" s="687">
        <f t="shared" si="6"/>
        <v>377337.10000000003</v>
      </c>
      <c r="O30" s="688" t="e">
        <f t="shared" si="7"/>
        <v>#REF!</v>
      </c>
      <c r="P30" s="689" t="s">
        <v>1280</v>
      </c>
      <c r="Q30" s="801"/>
      <c r="R30" s="808"/>
      <c r="S30" s="525" t="e">
        <f t="shared" si="9"/>
        <v>#REF!</v>
      </c>
    </row>
    <row r="31" spans="1:19" ht="11.25" customHeight="1">
      <c r="B31" s="568">
        <v>45467</v>
      </c>
      <c r="C31" s="656" t="s">
        <v>1107</v>
      </c>
      <c r="D31" s="656"/>
      <c r="E31" s="668">
        <v>13</v>
      </c>
      <c r="F31" s="569" t="s">
        <v>107</v>
      </c>
      <c r="G31" s="569"/>
      <c r="H31" s="571"/>
      <c r="I31" s="686"/>
      <c r="J31" s="572"/>
      <c r="K31" s="697">
        <v>6000</v>
      </c>
      <c r="L31" s="542" t="e">
        <f>'통장내역(환율표)'!#REF!</f>
        <v>#REF!</v>
      </c>
      <c r="M31" s="766" t="e">
        <f t="shared" si="12"/>
        <v>#REF!</v>
      </c>
      <c r="N31" s="687">
        <f t="shared" si="6"/>
        <v>371337.10000000003</v>
      </c>
      <c r="O31" s="688" t="e">
        <f t="shared" si="7"/>
        <v>#REF!</v>
      </c>
      <c r="P31" s="689" t="s">
        <v>1280</v>
      </c>
      <c r="Q31" s="801"/>
      <c r="R31" s="808"/>
      <c r="S31" s="525" t="e">
        <f t="shared" si="9"/>
        <v>#REF!</v>
      </c>
    </row>
    <row r="32" spans="1:19" ht="11.25" customHeight="1">
      <c r="B32" s="568">
        <v>45467</v>
      </c>
      <c r="C32" s="656" t="s">
        <v>1108</v>
      </c>
      <c r="D32" s="656"/>
      <c r="E32" s="668">
        <v>14</v>
      </c>
      <c r="F32" s="569" t="s">
        <v>107</v>
      </c>
      <c r="G32" s="569"/>
      <c r="H32" s="571"/>
      <c r="I32" s="686"/>
      <c r="J32" s="572"/>
      <c r="K32" s="639">
        <v>140</v>
      </c>
      <c r="L32" s="542" t="e">
        <f>'통장내역(환율표)'!#REF!</f>
        <v>#REF!</v>
      </c>
      <c r="M32" s="766" t="e">
        <f t="shared" si="12"/>
        <v>#REF!</v>
      </c>
      <c r="N32" s="687">
        <f t="shared" si="6"/>
        <v>371197.10000000003</v>
      </c>
      <c r="O32" s="688" t="e">
        <f t="shared" si="7"/>
        <v>#REF!</v>
      </c>
      <c r="P32" s="689" t="s">
        <v>1280</v>
      </c>
      <c r="Q32" s="801"/>
      <c r="R32" s="808"/>
      <c r="S32" s="525" t="e">
        <f t="shared" si="9"/>
        <v>#REF!</v>
      </c>
    </row>
    <row r="33" spans="2:19" ht="11.25" customHeight="1">
      <c r="B33" s="568">
        <v>45467</v>
      </c>
      <c r="C33" s="656" t="s">
        <v>445</v>
      </c>
      <c r="D33" s="656"/>
      <c r="E33" s="668">
        <v>15</v>
      </c>
      <c r="F33" s="569" t="s">
        <v>107</v>
      </c>
      <c r="G33" s="569"/>
      <c r="H33" s="571"/>
      <c r="I33" s="686"/>
      <c r="J33" s="572"/>
      <c r="K33" s="639">
        <v>7.2</v>
      </c>
      <c r="L33" s="542" t="e">
        <f>'통장내역(환율표)'!#REF!</f>
        <v>#REF!</v>
      </c>
      <c r="M33" s="766" t="e">
        <f t="shared" si="12"/>
        <v>#REF!</v>
      </c>
      <c r="N33" s="687">
        <f t="shared" si="6"/>
        <v>371189.9</v>
      </c>
      <c r="O33" s="688" t="e">
        <f t="shared" si="7"/>
        <v>#REF!</v>
      </c>
      <c r="P33" s="689" t="s">
        <v>1280</v>
      </c>
      <c r="Q33" s="801"/>
      <c r="R33" s="808"/>
      <c r="S33" s="525" t="e">
        <f t="shared" si="9"/>
        <v>#REF!</v>
      </c>
    </row>
    <row r="34" spans="2:19" ht="11.25" customHeight="1">
      <c r="B34" s="568">
        <v>45467</v>
      </c>
      <c r="C34" s="656" t="s">
        <v>242</v>
      </c>
      <c r="D34" s="656"/>
      <c r="E34" s="668">
        <v>16</v>
      </c>
      <c r="F34" s="569" t="s">
        <v>107</v>
      </c>
      <c r="G34" s="569"/>
      <c r="H34" s="571"/>
      <c r="I34" s="686"/>
      <c r="J34" s="572"/>
      <c r="K34" s="859">
        <v>3030</v>
      </c>
      <c r="L34" s="542" t="e">
        <f>'통장내역(환율표)'!#REF!</f>
        <v>#REF!</v>
      </c>
      <c r="M34" s="766" t="e">
        <f t="shared" si="12"/>
        <v>#REF!</v>
      </c>
      <c r="N34" s="687">
        <f t="shared" si="6"/>
        <v>368159.9</v>
      </c>
      <c r="O34" s="688" t="e">
        <f t="shared" si="7"/>
        <v>#REF!</v>
      </c>
      <c r="P34" s="689" t="s">
        <v>1280</v>
      </c>
      <c r="Q34" s="801"/>
      <c r="R34" s="809"/>
      <c r="S34" s="525" t="e">
        <f t="shared" si="9"/>
        <v>#REF!</v>
      </c>
    </row>
    <row r="35" spans="2:19" ht="11.25" customHeight="1">
      <c r="B35" s="568">
        <v>45467</v>
      </c>
      <c r="C35" s="656" t="s">
        <v>445</v>
      </c>
      <c r="D35" s="656"/>
      <c r="E35" s="668">
        <v>17</v>
      </c>
      <c r="F35" s="569" t="s">
        <v>107</v>
      </c>
      <c r="G35" s="569"/>
      <c r="H35" s="571"/>
      <c r="I35" s="686"/>
      <c r="J35" s="572"/>
      <c r="K35" s="859">
        <v>3.6</v>
      </c>
      <c r="L35" s="542" t="e">
        <f>'통장내역(환율표)'!#REF!</f>
        <v>#REF!</v>
      </c>
      <c r="M35" s="766" t="e">
        <f t="shared" si="12"/>
        <v>#REF!</v>
      </c>
      <c r="N35" s="687">
        <f t="shared" si="6"/>
        <v>368156.30000000005</v>
      </c>
      <c r="O35" s="688" t="e">
        <f t="shared" si="7"/>
        <v>#REF!</v>
      </c>
      <c r="P35" s="689" t="s">
        <v>1280</v>
      </c>
      <c r="Q35" s="801"/>
      <c r="R35" s="809"/>
      <c r="S35" s="525" t="e">
        <f t="shared" si="9"/>
        <v>#REF!</v>
      </c>
    </row>
    <row r="36" spans="2:19" ht="11.25" customHeight="1">
      <c r="B36" s="568">
        <v>45467</v>
      </c>
      <c r="C36" s="656" t="s">
        <v>1282</v>
      </c>
      <c r="D36" s="656"/>
      <c r="E36" s="668">
        <v>18</v>
      </c>
      <c r="F36" s="569" t="s">
        <v>107</v>
      </c>
      <c r="G36" s="569"/>
      <c r="H36" s="571"/>
      <c r="I36" s="686"/>
      <c r="J36" s="572"/>
      <c r="K36" s="859">
        <v>4876</v>
      </c>
      <c r="L36" s="542" t="e">
        <f>'통장내역(환율표)'!#REF!</f>
        <v>#REF!</v>
      </c>
      <c r="M36" s="766" t="e">
        <f t="shared" si="12"/>
        <v>#REF!</v>
      </c>
      <c r="N36" s="687">
        <f t="shared" si="6"/>
        <v>363280.30000000005</v>
      </c>
      <c r="O36" s="688" t="e">
        <f t="shared" si="7"/>
        <v>#REF!</v>
      </c>
      <c r="P36" s="689" t="s">
        <v>1280</v>
      </c>
      <c r="Q36" s="801"/>
      <c r="R36" s="809"/>
      <c r="S36" s="525" t="e">
        <f t="shared" si="9"/>
        <v>#REF!</v>
      </c>
    </row>
    <row r="37" spans="2:19" ht="11.25" customHeight="1">
      <c r="B37" s="568">
        <v>45467</v>
      </c>
      <c r="C37" s="656" t="s">
        <v>445</v>
      </c>
      <c r="D37" s="656"/>
      <c r="E37" s="668">
        <v>19</v>
      </c>
      <c r="F37" s="569" t="s">
        <v>107</v>
      </c>
      <c r="G37" s="569"/>
      <c r="H37" s="571"/>
      <c r="I37" s="686"/>
      <c r="J37" s="572"/>
      <c r="K37" s="860">
        <v>3.6</v>
      </c>
      <c r="L37" s="542" t="e">
        <f>'통장내역(환율표)'!#REF!</f>
        <v>#REF!</v>
      </c>
      <c r="M37" s="766" t="e">
        <f t="shared" si="12"/>
        <v>#REF!</v>
      </c>
      <c r="N37" s="687">
        <f t="shared" si="6"/>
        <v>363276.70000000007</v>
      </c>
      <c r="O37" s="688" t="e">
        <f t="shared" si="7"/>
        <v>#REF!</v>
      </c>
      <c r="P37" s="689" t="s">
        <v>1280</v>
      </c>
      <c r="Q37" s="801"/>
      <c r="R37" s="809"/>
      <c r="S37" s="525" t="e">
        <f t="shared" si="9"/>
        <v>#REF!</v>
      </c>
    </row>
    <row r="38" spans="2:19" ht="11.25" customHeight="1">
      <c r="B38" s="568">
        <v>45467</v>
      </c>
      <c r="C38" s="656" t="s">
        <v>994</v>
      </c>
      <c r="D38" s="656"/>
      <c r="E38" s="668">
        <v>20</v>
      </c>
      <c r="F38" s="569" t="s">
        <v>146</v>
      </c>
      <c r="G38" s="569" t="s">
        <v>147</v>
      </c>
      <c r="H38" s="571"/>
      <c r="I38" s="686"/>
      <c r="J38" s="572"/>
      <c r="K38" s="697">
        <v>111</v>
      </c>
      <c r="L38" s="542" t="e">
        <f>'통장내역(환율표)'!#REF!</f>
        <v>#REF!</v>
      </c>
      <c r="M38" s="766" t="e">
        <f t="shared" si="12"/>
        <v>#REF!</v>
      </c>
      <c r="N38" s="687">
        <f t="shared" si="6"/>
        <v>363165.70000000007</v>
      </c>
      <c r="O38" s="688" t="e">
        <f t="shared" si="7"/>
        <v>#REF!</v>
      </c>
      <c r="P38" s="689" t="s">
        <v>1280</v>
      </c>
      <c r="Q38" s="801"/>
      <c r="R38" s="809"/>
      <c r="S38" s="525" t="e">
        <f t="shared" si="9"/>
        <v>#REF!</v>
      </c>
    </row>
    <row r="39" spans="2:19" ht="11.25" customHeight="1">
      <c r="B39" s="568">
        <v>45467</v>
      </c>
      <c r="C39" s="656" t="s">
        <v>995</v>
      </c>
      <c r="D39" s="656"/>
      <c r="E39" s="668">
        <v>21</v>
      </c>
      <c r="F39" s="569" t="s">
        <v>146</v>
      </c>
      <c r="G39" s="569" t="s">
        <v>147</v>
      </c>
      <c r="H39" s="571"/>
      <c r="I39" s="686"/>
      <c r="J39" s="572"/>
      <c r="K39" s="697">
        <v>203</v>
      </c>
      <c r="L39" s="542" t="e">
        <f>'통장내역(환율표)'!#REF!</f>
        <v>#REF!</v>
      </c>
      <c r="M39" s="766" t="e">
        <f t="shared" si="12"/>
        <v>#REF!</v>
      </c>
      <c r="N39" s="687">
        <f t="shared" si="6"/>
        <v>362962.70000000007</v>
      </c>
      <c r="O39" s="688" t="e">
        <f t="shared" si="7"/>
        <v>#REF!</v>
      </c>
      <c r="P39" s="689" t="s">
        <v>1280</v>
      </c>
      <c r="Q39" s="801"/>
      <c r="R39" s="809"/>
      <c r="S39" s="525" t="e">
        <f t="shared" si="9"/>
        <v>#REF!</v>
      </c>
    </row>
    <row r="40" spans="2:19" ht="11.25" customHeight="1">
      <c r="B40" s="568">
        <v>45467</v>
      </c>
      <c r="C40" s="656" t="s">
        <v>996</v>
      </c>
      <c r="D40" s="656"/>
      <c r="E40" s="668">
        <v>22</v>
      </c>
      <c r="F40" s="569" t="s">
        <v>146</v>
      </c>
      <c r="G40" s="569" t="s">
        <v>147</v>
      </c>
      <c r="H40" s="571"/>
      <c r="I40" s="686"/>
      <c r="J40" s="572"/>
      <c r="K40" s="697">
        <v>1562</v>
      </c>
      <c r="L40" s="542" t="e">
        <f>'통장내역(환율표)'!#REF!</f>
        <v>#REF!</v>
      </c>
      <c r="M40" s="766" t="e">
        <f t="shared" si="12"/>
        <v>#REF!</v>
      </c>
      <c r="N40" s="687">
        <f t="shared" si="6"/>
        <v>361400.70000000007</v>
      </c>
      <c r="O40" s="688" t="e">
        <f t="shared" si="7"/>
        <v>#REF!</v>
      </c>
      <c r="P40" s="689" t="s">
        <v>1280</v>
      </c>
      <c r="Q40" s="801"/>
      <c r="R40" s="809"/>
      <c r="S40" s="525" t="e">
        <f t="shared" si="9"/>
        <v>#REF!</v>
      </c>
    </row>
    <row r="41" spans="2:19" ht="11.25" customHeight="1">
      <c r="B41" s="568">
        <v>45467</v>
      </c>
      <c r="C41" s="656" t="s">
        <v>250</v>
      </c>
      <c r="D41" s="656"/>
      <c r="E41" s="668">
        <v>23</v>
      </c>
      <c r="F41" s="569" t="s">
        <v>107</v>
      </c>
      <c r="G41" s="569"/>
      <c r="H41" s="571"/>
      <c r="I41" s="686"/>
      <c r="J41" s="572"/>
      <c r="K41" s="697">
        <v>3.6</v>
      </c>
      <c r="L41" s="542" t="e">
        <f>'통장내역(환율표)'!#REF!</f>
        <v>#REF!</v>
      </c>
      <c r="M41" s="766" t="e">
        <f t="shared" si="12"/>
        <v>#REF!</v>
      </c>
      <c r="N41" s="687">
        <f t="shared" si="6"/>
        <v>361397.10000000009</v>
      </c>
      <c r="O41" s="688" t="e">
        <f t="shared" si="7"/>
        <v>#REF!</v>
      </c>
      <c r="P41" s="689" t="s">
        <v>1280</v>
      </c>
      <c r="Q41" s="801"/>
      <c r="R41" s="809"/>
      <c r="S41" s="525" t="e">
        <f t="shared" si="9"/>
        <v>#REF!</v>
      </c>
    </row>
    <row r="42" spans="2:19" ht="11.25" customHeight="1">
      <c r="B42" s="568">
        <v>45467</v>
      </c>
      <c r="C42" s="656" t="s">
        <v>997</v>
      </c>
      <c r="D42" s="656"/>
      <c r="E42" s="668">
        <v>24</v>
      </c>
      <c r="F42" s="569" t="s">
        <v>146</v>
      </c>
      <c r="G42" s="569" t="s">
        <v>147</v>
      </c>
      <c r="H42" s="571"/>
      <c r="I42" s="686"/>
      <c r="J42" s="572"/>
      <c r="K42" s="697">
        <v>407</v>
      </c>
      <c r="L42" s="542" t="e">
        <f>'통장내역(환율표)'!#REF!</f>
        <v>#REF!</v>
      </c>
      <c r="M42" s="766" t="e">
        <f t="shared" si="12"/>
        <v>#REF!</v>
      </c>
      <c r="N42" s="687">
        <f t="shared" si="6"/>
        <v>360990.10000000009</v>
      </c>
      <c r="O42" s="688" t="e">
        <f t="shared" si="7"/>
        <v>#REF!</v>
      </c>
      <c r="P42" s="689" t="s">
        <v>1280</v>
      </c>
      <c r="Q42" s="801"/>
      <c r="R42" s="809"/>
      <c r="S42" s="525" t="e">
        <f t="shared" si="9"/>
        <v>#REF!</v>
      </c>
    </row>
    <row r="43" spans="2:19" ht="11.25" customHeight="1">
      <c r="B43" s="568">
        <v>45467</v>
      </c>
      <c r="C43" s="656" t="s">
        <v>998</v>
      </c>
      <c r="D43" s="656"/>
      <c r="E43" s="668">
        <v>25</v>
      </c>
      <c r="F43" s="569" t="s">
        <v>146</v>
      </c>
      <c r="G43" s="569" t="s">
        <v>147</v>
      </c>
      <c r="H43" s="571"/>
      <c r="I43" s="686"/>
      <c r="J43" s="572"/>
      <c r="K43" s="697">
        <v>449</v>
      </c>
      <c r="L43" s="542" t="e">
        <f>'통장내역(환율표)'!#REF!</f>
        <v>#REF!</v>
      </c>
      <c r="M43" s="766" t="e">
        <f t="shared" si="12"/>
        <v>#REF!</v>
      </c>
      <c r="N43" s="687">
        <f t="shared" si="6"/>
        <v>360541.10000000009</v>
      </c>
      <c r="O43" s="688" t="e">
        <f t="shared" si="7"/>
        <v>#REF!</v>
      </c>
      <c r="P43" s="689" t="s">
        <v>1280</v>
      </c>
      <c r="Q43" s="801"/>
      <c r="R43" s="809"/>
      <c r="S43" s="525" t="e">
        <f t="shared" si="9"/>
        <v>#REF!</v>
      </c>
    </row>
    <row r="44" spans="2:19" ht="11.25" customHeight="1">
      <c r="B44" s="568">
        <v>45467</v>
      </c>
      <c r="C44" s="656" t="s">
        <v>999</v>
      </c>
      <c r="D44" s="656"/>
      <c r="E44" s="668">
        <v>26</v>
      </c>
      <c r="F44" s="569" t="s">
        <v>146</v>
      </c>
      <c r="G44" s="569" t="s">
        <v>147</v>
      </c>
      <c r="H44" s="571"/>
      <c r="I44" s="686"/>
      <c r="J44" s="572"/>
      <c r="K44" s="697">
        <v>3171.1</v>
      </c>
      <c r="L44" s="542" t="e">
        <f>'통장내역(환율표)'!#REF!</f>
        <v>#REF!</v>
      </c>
      <c r="M44" s="766" t="e">
        <f t="shared" si="12"/>
        <v>#REF!</v>
      </c>
      <c r="N44" s="687">
        <f t="shared" si="6"/>
        <v>357370.00000000012</v>
      </c>
      <c r="O44" s="688" t="e">
        <f t="shared" si="7"/>
        <v>#REF!</v>
      </c>
      <c r="P44" s="689" t="s">
        <v>1280</v>
      </c>
      <c r="Q44" s="801"/>
      <c r="R44" s="809"/>
      <c r="S44" s="525" t="e">
        <f t="shared" si="9"/>
        <v>#REF!</v>
      </c>
    </row>
    <row r="45" spans="2:19" ht="11.25" customHeight="1">
      <c r="B45" s="568">
        <v>45467</v>
      </c>
      <c r="C45" s="656" t="s">
        <v>250</v>
      </c>
      <c r="D45" s="656"/>
      <c r="E45" s="668">
        <v>27</v>
      </c>
      <c r="F45" s="569" t="s">
        <v>107</v>
      </c>
      <c r="G45" s="569"/>
      <c r="H45" s="571"/>
      <c r="I45" s="686"/>
      <c r="J45" s="572"/>
      <c r="K45" s="697">
        <v>3.6</v>
      </c>
      <c r="L45" s="542" t="e">
        <f>'통장내역(환율표)'!#REF!</f>
        <v>#REF!</v>
      </c>
      <c r="M45" s="766" t="e">
        <f t="shared" si="12"/>
        <v>#REF!</v>
      </c>
      <c r="N45" s="687">
        <f t="shared" si="6"/>
        <v>357366.40000000014</v>
      </c>
      <c r="O45" s="688" t="e">
        <f t="shared" si="7"/>
        <v>#REF!</v>
      </c>
      <c r="P45" s="689" t="s">
        <v>1280</v>
      </c>
      <c r="Q45" s="801"/>
      <c r="R45" s="809"/>
      <c r="S45" s="525" t="e">
        <f t="shared" si="9"/>
        <v>#REF!</v>
      </c>
    </row>
    <row r="46" spans="2:19" ht="11.25" customHeight="1">
      <c r="B46" s="568">
        <v>45467</v>
      </c>
      <c r="C46" s="656" t="s">
        <v>1090</v>
      </c>
      <c r="D46" s="656"/>
      <c r="E46" s="668">
        <v>28</v>
      </c>
      <c r="F46" s="569" t="s">
        <v>146</v>
      </c>
      <c r="G46" s="569" t="s">
        <v>147</v>
      </c>
      <c r="H46" s="571"/>
      <c r="I46" s="686"/>
      <c r="J46" s="572"/>
      <c r="K46" s="697">
        <v>1660.7</v>
      </c>
      <c r="L46" s="542" t="e">
        <f>'통장내역(환율표)'!#REF!</f>
        <v>#REF!</v>
      </c>
      <c r="M46" s="766" t="e">
        <f t="shared" si="12"/>
        <v>#REF!</v>
      </c>
      <c r="N46" s="687">
        <f t="shared" si="6"/>
        <v>355705.70000000013</v>
      </c>
      <c r="O46" s="688" t="e">
        <f t="shared" si="7"/>
        <v>#REF!</v>
      </c>
      <c r="P46" s="689" t="s">
        <v>1280</v>
      </c>
      <c r="Q46" s="801"/>
      <c r="R46" s="809"/>
      <c r="S46" s="525" t="e">
        <f t="shared" si="9"/>
        <v>#REF!</v>
      </c>
    </row>
    <row r="47" spans="2:19" ht="11.25" customHeight="1">
      <c r="B47" s="568">
        <v>45467</v>
      </c>
      <c r="C47" s="656" t="s">
        <v>1283</v>
      </c>
      <c r="D47" s="656"/>
      <c r="E47" s="668">
        <v>29</v>
      </c>
      <c r="F47" s="569" t="s">
        <v>146</v>
      </c>
      <c r="G47" s="569" t="s">
        <v>147</v>
      </c>
      <c r="H47" s="571"/>
      <c r="I47" s="686"/>
      <c r="J47" s="572"/>
      <c r="K47" s="697">
        <v>8971</v>
      </c>
      <c r="L47" s="542" t="e">
        <f>'통장내역(환율표)'!#REF!</f>
        <v>#REF!</v>
      </c>
      <c r="M47" s="766" t="e">
        <f t="shared" si="12"/>
        <v>#REF!</v>
      </c>
      <c r="N47" s="687">
        <f t="shared" si="6"/>
        <v>346734.70000000013</v>
      </c>
      <c r="O47" s="688" t="e">
        <f t="shared" si="7"/>
        <v>#REF!</v>
      </c>
      <c r="P47" s="689" t="s">
        <v>1280</v>
      </c>
      <c r="Q47" s="801"/>
      <c r="R47" s="809"/>
      <c r="S47" s="525" t="e">
        <f t="shared" si="9"/>
        <v>#REF!</v>
      </c>
    </row>
    <row r="48" spans="2:19" ht="11.25" customHeight="1">
      <c r="B48" s="568">
        <v>45467</v>
      </c>
      <c r="C48" s="656" t="s">
        <v>1007</v>
      </c>
      <c r="D48" s="656"/>
      <c r="E48" s="668">
        <v>30</v>
      </c>
      <c r="F48" s="569" t="s">
        <v>107</v>
      </c>
      <c r="G48" s="569"/>
      <c r="H48" s="571"/>
      <c r="I48" s="686"/>
      <c r="J48" s="572"/>
      <c r="K48" s="697">
        <v>363.7</v>
      </c>
      <c r="L48" s="542" t="e">
        <f>'통장내역(환율표)'!#REF!</f>
        <v>#REF!</v>
      </c>
      <c r="M48" s="766" t="e">
        <f t="shared" si="12"/>
        <v>#REF!</v>
      </c>
      <c r="N48" s="687">
        <f t="shared" si="6"/>
        <v>346371.00000000012</v>
      </c>
      <c r="O48" s="688" t="e">
        <f t="shared" si="7"/>
        <v>#REF!</v>
      </c>
      <c r="P48" s="689" t="s">
        <v>1280</v>
      </c>
      <c r="Q48" s="801"/>
      <c r="R48" s="809"/>
      <c r="S48" s="525" t="e">
        <f t="shared" si="9"/>
        <v>#REF!</v>
      </c>
    </row>
    <row r="49" spans="2:19" ht="11.25" customHeight="1">
      <c r="B49" s="568">
        <v>45467</v>
      </c>
      <c r="C49" s="656" t="s">
        <v>1011</v>
      </c>
      <c r="D49" s="656"/>
      <c r="E49" s="668">
        <v>31</v>
      </c>
      <c r="F49" s="569" t="s">
        <v>116</v>
      </c>
      <c r="G49" s="569" t="s">
        <v>140</v>
      </c>
      <c r="H49" s="571"/>
      <c r="I49" s="686"/>
      <c r="J49" s="572"/>
      <c r="K49" s="697">
        <v>99.8</v>
      </c>
      <c r="L49" s="542" t="e">
        <f>'통장내역(환율표)'!#REF!</f>
        <v>#REF!</v>
      </c>
      <c r="M49" s="766" t="e">
        <f t="shared" si="12"/>
        <v>#REF!</v>
      </c>
      <c r="N49" s="687">
        <f t="shared" si="6"/>
        <v>346271.20000000013</v>
      </c>
      <c r="O49" s="688" t="e">
        <f t="shared" si="7"/>
        <v>#REF!</v>
      </c>
      <c r="P49" s="689" t="s">
        <v>1280</v>
      </c>
      <c r="Q49" s="801"/>
      <c r="R49" s="809"/>
      <c r="S49" s="525" t="e">
        <f t="shared" si="9"/>
        <v>#REF!</v>
      </c>
    </row>
    <row r="50" spans="2:19" ht="11.25" customHeight="1">
      <c r="B50" s="568">
        <v>45467</v>
      </c>
      <c r="C50" s="656" t="s">
        <v>250</v>
      </c>
      <c r="D50" s="656"/>
      <c r="E50" s="668">
        <v>32</v>
      </c>
      <c r="F50" s="569" t="s">
        <v>107</v>
      </c>
      <c r="G50" s="569"/>
      <c r="H50" s="571"/>
      <c r="I50" s="686"/>
      <c r="J50" s="572"/>
      <c r="K50" s="697">
        <v>7.2</v>
      </c>
      <c r="L50" s="542" t="e">
        <f>'통장내역(환율표)'!#REF!</f>
        <v>#REF!</v>
      </c>
      <c r="M50" s="766" t="e">
        <f t="shared" ref="M50:M66" si="13">K50/L50</f>
        <v>#REF!</v>
      </c>
      <c r="N50" s="687">
        <f t="shared" si="6"/>
        <v>346264.00000000012</v>
      </c>
      <c r="O50" s="688" t="e">
        <f t="shared" si="7"/>
        <v>#REF!</v>
      </c>
      <c r="P50" s="689" t="s">
        <v>1280</v>
      </c>
      <c r="Q50" s="801"/>
      <c r="R50" s="809"/>
      <c r="S50" s="525" t="e">
        <f t="shared" si="9"/>
        <v>#REF!</v>
      </c>
    </row>
    <row r="51" spans="2:19" ht="11.25" customHeight="1">
      <c r="B51" s="568">
        <v>45467</v>
      </c>
      <c r="C51" s="656" t="s">
        <v>1285</v>
      </c>
      <c r="D51" s="656"/>
      <c r="E51" s="668">
        <v>33</v>
      </c>
      <c r="F51" s="569" t="s">
        <v>146</v>
      </c>
      <c r="G51" s="569" t="s">
        <v>147</v>
      </c>
      <c r="H51" s="571"/>
      <c r="I51" s="686"/>
      <c r="J51" s="572"/>
      <c r="K51" s="697">
        <v>1649.4</v>
      </c>
      <c r="L51" s="542" t="e">
        <f>'통장내역(환율표)'!#REF!</f>
        <v>#REF!</v>
      </c>
      <c r="M51" s="766" t="e">
        <f t="shared" si="13"/>
        <v>#REF!</v>
      </c>
      <c r="N51" s="687">
        <f t="shared" si="6"/>
        <v>344614.60000000009</v>
      </c>
      <c r="O51" s="688" t="e">
        <f t="shared" si="7"/>
        <v>#REF!</v>
      </c>
      <c r="P51" s="689" t="s">
        <v>1280</v>
      </c>
      <c r="Q51" s="801"/>
      <c r="R51" s="809"/>
      <c r="S51" s="525" t="e">
        <f t="shared" si="9"/>
        <v>#REF!</v>
      </c>
    </row>
    <row r="52" spans="2:19" ht="11.25" customHeight="1">
      <c r="B52" s="568">
        <v>45467</v>
      </c>
      <c r="C52" s="656" t="s">
        <v>852</v>
      </c>
      <c r="D52" s="656"/>
      <c r="E52" s="668">
        <v>34</v>
      </c>
      <c r="F52" s="569" t="s">
        <v>107</v>
      </c>
      <c r="G52" s="569"/>
      <c r="H52" s="571"/>
      <c r="I52" s="686"/>
      <c r="J52" s="572"/>
      <c r="K52" s="697">
        <v>246.2</v>
      </c>
      <c r="L52" s="542" t="e">
        <f>'통장내역(환율표)'!#REF!</f>
        <v>#REF!</v>
      </c>
      <c r="M52" s="766" t="e">
        <f t="shared" si="13"/>
        <v>#REF!</v>
      </c>
      <c r="N52" s="687">
        <f t="shared" si="6"/>
        <v>344368.40000000008</v>
      </c>
      <c r="O52" s="688" t="e">
        <f t="shared" si="7"/>
        <v>#REF!</v>
      </c>
      <c r="P52" s="689" t="s">
        <v>1280</v>
      </c>
      <c r="Q52" s="803"/>
      <c r="R52" s="809"/>
      <c r="S52" s="525" t="e">
        <f t="shared" si="9"/>
        <v>#REF!</v>
      </c>
    </row>
    <row r="53" spans="2:19" ht="11.25" customHeight="1">
      <c r="B53" s="568">
        <v>45467</v>
      </c>
      <c r="C53" s="656" t="s">
        <v>1296</v>
      </c>
      <c r="D53" s="656"/>
      <c r="E53" s="668">
        <v>35</v>
      </c>
      <c r="F53" s="569" t="s">
        <v>146</v>
      </c>
      <c r="G53" s="569" t="s">
        <v>147</v>
      </c>
      <c r="H53" s="571"/>
      <c r="I53" s="686"/>
      <c r="J53" s="572"/>
      <c r="K53" s="697">
        <v>2159</v>
      </c>
      <c r="L53" s="542" t="e">
        <f>'통장내역(환율표)'!#REF!</f>
        <v>#REF!</v>
      </c>
      <c r="M53" s="766" t="e">
        <f t="shared" si="13"/>
        <v>#REF!</v>
      </c>
      <c r="N53" s="687">
        <f t="shared" si="6"/>
        <v>342209.40000000008</v>
      </c>
      <c r="O53" s="688" t="e">
        <f t="shared" si="7"/>
        <v>#REF!</v>
      </c>
      <c r="P53" s="689" t="s">
        <v>1280</v>
      </c>
      <c r="Q53" s="803"/>
      <c r="R53" s="809"/>
      <c r="S53" s="525" t="e">
        <f t="shared" si="9"/>
        <v>#REF!</v>
      </c>
    </row>
    <row r="54" spans="2:19" ht="11.25" customHeight="1">
      <c r="B54" s="568">
        <v>45467</v>
      </c>
      <c r="C54" s="656" t="s">
        <v>851</v>
      </c>
      <c r="D54" s="656"/>
      <c r="E54" s="668">
        <v>36</v>
      </c>
      <c r="F54" s="569" t="s">
        <v>116</v>
      </c>
      <c r="G54" s="569" t="s">
        <v>140</v>
      </c>
      <c r="H54" s="571"/>
      <c r="I54" s="686"/>
      <c r="J54" s="572"/>
      <c r="K54" s="697">
        <v>123.6</v>
      </c>
      <c r="L54" s="542" t="e">
        <f>'통장내역(환율표)'!#REF!</f>
        <v>#REF!</v>
      </c>
      <c r="M54" s="766" t="e">
        <f t="shared" si="13"/>
        <v>#REF!</v>
      </c>
      <c r="N54" s="687">
        <f t="shared" si="6"/>
        <v>342085.8000000001</v>
      </c>
      <c r="O54" s="688" t="e">
        <f t="shared" si="7"/>
        <v>#REF!</v>
      </c>
      <c r="P54" s="689" t="s">
        <v>1280</v>
      </c>
      <c r="Q54" s="803"/>
      <c r="R54" s="809"/>
      <c r="S54" s="525" t="e">
        <f t="shared" si="9"/>
        <v>#REF!</v>
      </c>
    </row>
    <row r="55" spans="2:19" ht="11.25" customHeight="1">
      <c r="B55" s="568">
        <v>45467</v>
      </c>
      <c r="C55" s="656" t="s">
        <v>1284</v>
      </c>
      <c r="D55" s="656"/>
      <c r="E55" s="668">
        <v>37</v>
      </c>
      <c r="F55" s="569" t="s">
        <v>125</v>
      </c>
      <c r="G55" s="569" t="s">
        <v>145</v>
      </c>
      <c r="H55" s="571"/>
      <c r="I55" s="686"/>
      <c r="J55" s="572"/>
      <c r="K55" s="697">
        <v>480</v>
      </c>
      <c r="L55" s="542" t="e">
        <f>'통장내역(환율표)'!#REF!</f>
        <v>#REF!</v>
      </c>
      <c r="M55" s="766" t="e">
        <f t="shared" si="13"/>
        <v>#REF!</v>
      </c>
      <c r="N55" s="687">
        <f t="shared" si="6"/>
        <v>341605.8000000001</v>
      </c>
      <c r="O55" s="688" t="e">
        <f t="shared" si="7"/>
        <v>#REF!</v>
      </c>
      <c r="P55" s="689" t="s">
        <v>1280</v>
      </c>
      <c r="Q55" s="801"/>
      <c r="R55" s="809"/>
      <c r="S55" s="525" t="e">
        <f t="shared" si="9"/>
        <v>#REF!</v>
      </c>
    </row>
    <row r="56" spans="2:19" ht="11.25" customHeight="1">
      <c r="B56" s="568">
        <v>45467</v>
      </c>
      <c r="C56" s="656" t="s">
        <v>250</v>
      </c>
      <c r="D56" s="656"/>
      <c r="E56" s="668">
        <v>38</v>
      </c>
      <c r="F56" s="569" t="s">
        <v>107</v>
      </c>
      <c r="G56" s="569"/>
      <c r="H56" s="571"/>
      <c r="I56" s="686"/>
      <c r="J56" s="572"/>
      <c r="K56" s="697">
        <v>3.6</v>
      </c>
      <c r="L56" s="542" t="e">
        <f>'통장내역(환율표)'!#REF!</f>
        <v>#REF!</v>
      </c>
      <c r="M56" s="766" t="e">
        <f t="shared" si="13"/>
        <v>#REF!</v>
      </c>
      <c r="N56" s="687">
        <f t="shared" si="6"/>
        <v>341602.20000000013</v>
      </c>
      <c r="O56" s="688" t="e">
        <f t="shared" si="7"/>
        <v>#REF!</v>
      </c>
      <c r="P56" s="689" t="s">
        <v>1280</v>
      </c>
      <c r="Q56" s="803"/>
      <c r="R56" s="809"/>
      <c r="S56" s="525" t="e">
        <f t="shared" si="9"/>
        <v>#REF!</v>
      </c>
    </row>
    <row r="57" spans="2:19" ht="11.25" customHeight="1">
      <c r="B57" s="568">
        <v>45467</v>
      </c>
      <c r="C57" s="656" t="s">
        <v>1288</v>
      </c>
      <c r="D57" s="656"/>
      <c r="E57" s="668">
        <v>39</v>
      </c>
      <c r="F57" s="569" t="s">
        <v>146</v>
      </c>
      <c r="G57" s="569" t="s">
        <v>147</v>
      </c>
      <c r="H57" s="571"/>
      <c r="I57" s="686"/>
      <c r="J57" s="572"/>
      <c r="K57" s="637">
        <v>17561.07</v>
      </c>
      <c r="L57" s="542" t="e">
        <f>'통장내역(환율표)'!#REF!</f>
        <v>#REF!</v>
      </c>
      <c r="M57" s="766" t="e">
        <f t="shared" si="13"/>
        <v>#REF!</v>
      </c>
      <c r="N57" s="687">
        <f t="shared" si="6"/>
        <v>324041.13000000012</v>
      </c>
      <c r="O57" s="688" t="e">
        <f t="shared" si="7"/>
        <v>#REF!</v>
      </c>
      <c r="P57" s="689" t="s">
        <v>1280</v>
      </c>
      <c r="Q57" s="803"/>
      <c r="R57" s="809"/>
      <c r="S57" s="525" t="e">
        <f t="shared" si="9"/>
        <v>#REF!</v>
      </c>
    </row>
    <row r="58" spans="2:19" ht="11.25" customHeight="1">
      <c r="B58" s="568">
        <v>45467</v>
      </c>
      <c r="C58" s="656" t="s">
        <v>1162</v>
      </c>
      <c r="D58" s="656"/>
      <c r="E58" s="668">
        <v>40</v>
      </c>
      <c r="F58" s="569" t="s">
        <v>125</v>
      </c>
      <c r="G58" s="569" t="s">
        <v>145</v>
      </c>
      <c r="H58" s="571"/>
      <c r="I58" s="686"/>
      <c r="J58" s="572"/>
      <c r="K58" s="637">
        <v>7223</v>
      </c>
      <c r="L58" s="542" t="e">
        <f>'통장내역(환율표)'!#REF!</f>
        <v>#REF!</v>
      </c>
      <c r="M58" s="766" t="e">
        <f t="shared" si="13"/>
        <v>#REF!</v>
      </c>
      <c r="N58" s="687">
        <f t="shared" si="6"/>
        <v>316818.13000000012</v>
      </c>
      <c r="O58" s="688" t="e">
        <f t="shared" si="7"/>
        <v>#REF!</v>
      </c>
      <c r="P58" s="689" t="s">
        <v>1280</v>
      </c>
      <c r="Q58" s="803"/>
      <c r="R58" s="809"/>
      <c r="S58" s="525" t="e">
        <f t="shared" si="9"/>
        <v>#REF!</v>
      </c>
    </row>
    <row r="59" spans="2:19" ht="11.25" customHeight="1">
      <c r="B59" s="568">
        <v>45467</v>
      </c>
      <c r="C59" s="656" t="s">
        <v>1287</v>
      </c>
      <c r="D59" s="656"/>
      <c r="E59" s="668">
        <v>41</v>
      </c>
      <c r="F59" s="569" t="s">
        <v>107</v>
      </c>
      <c r="G59" s="569"/>
      <c r="H59" s="571"/>
      <c r="I59" s="686"/>
      <c r="J59" s="572"/>
      <c r="K59" s="637">
        <v>2400</v>
      </c>
      <c r="L59" s="542" t="e">
        <f>'통장내역(환율표)'!#REF!</f>
        <v>#REF!</v>
      </c>
      <c r="M59" s="766" t="e">
        <f t="shared" si="13"/>
        <v>#REF!</v>
      </c>
      <c r="N59" s="687">
        <f t="shared" si="6"/>
        <v>314418.13000000012</v>
      </c>
      <c r="O59" s="688" t="e">
        <f t="shared" si="7"/>
        <v>#REF!</v>
      </c>
      <c r="P59" s="689" t="s">
        <v>1280</v>
      </c>
      <c r="Q59" s="803"/>
      <c r="R59" s="809"/>
      <c r="S59" s="525" t="e">
        <f t="shared" si="9"/>
        <v>#REF!</v>
      </c>
    </row>
    <row r="60" spans="2:19" ht="11.25" customHeight="1">
      <c r="B60" s="568">
        <v>45467</v>
      </c>
      <c r="C60" s="656" t="s">
        <v>1286</v>
      </c>
      <c r="D60" s="656"/>
      <c r="E60" s="668">
        <v>42</v>
      </c>
      <c r="F60" s="569" t="s">
        <v>116</v>
      </c>
      <c r="G60" s="569" t="s">
        <v>140</v>
      </c>
      <c r="H60" s="571"/>
      <c r="I60" s="686"/>
      <c r="J60" s="572"/>
      <c r="K60" s="637">
        <v>300</v>
      </c>
      <c r="L60" s="542" t="e">
        <f>'통장내역(환율표)'!#REF!</f>
        <v>#REF!</v>
      </c>
      <c r="M60" s="766" t="e">
        <f t="shared" si="13"/>
        <v>#REF!</v>
      </c>
      <c r="N60" s="687">
        <f t="shared" si="6"/>
        <v>314118.13000000012</v>
      </c>
      <c r="O60" s="688" t="e">
        <f t="shared" si="7"/>
        <v>#REF!</v>
      </c>
      <c r="P60" s="689" t="s">
        <v>1280</v>
      </c>
      <c r="Q60" s="803"/>
      <c r="R60" s="809"/>
      <c r="S60" s="525" t="e">
        <f t="shared" si="9"/>
        <v>#REF!</v>
      </c>
    </row>
    <row r="61" spans="2:19" ht="11.25" customHeight="1">
      <c r="B61" s="568">
        <v>45467</v>
      </c>
      <c r="C61" s="656" t="s">
        <v>250</v>
      </c>
      <c r="D61" s="656"/>
      <c r="E61" s="668">
        <v>43</v>
      </c>
      <c r="F61" s="569" t="s">
        <v>107</v>
      </c>
      <c r="G61" s="569"/>
      <c r="H61" s="571"/>
      <c r="I61" s="686"/>
      <c r="J61" s="572"/>
      <c r="K61" s="637">
        <v>7.2</v>
      </c>
      <c r="L61" s="542" t="e">
        <f>'통장내역(환율표)'!#REF!</f>
        <v>#REF!</v>
      </c>
      <c r="M61" s="766" t="e">
        <f t="shared" si="13"/>
        <v>#REF!</v>
      </c>
      <c r="N61" s="687">
        <f t="shared" si="6"/>
        <v>314110.93000000011</v>
      </c>
      <c r="O61" s="688" t="e">
        <f t="shared" si="7"/>
        <v>#REF!</v>
      </c>
      <c r="P61" s="689" t="s">
        <v>1280</v>
      </c>
      <c r="Q61" s="803"/>
      <c r="R61" s="809"/>
      <c r="S61" s="525" t="e">
        <f t="shared" si="9"/>
        <v>#REF!</v>
      </c>
    </row>
    <row r="62" spans="2:19" ht="11.25" customHeight="1">
      <c r="B62" s="568">
        <v>45467</v>
      </c>
      <c r="C62" s="656" t="s">
        <v>1289</v>
      </c>
      <c r="D62" s="656"/>
      <c r="E62" s="668">
        <v>44</v>
      </c>
      <c r="F62" s="569" t="s">
        <v>116</v>
      </c>
      <c r="G62" s="569" t="s">
        <v>140</v>
      </c>
      <c r="H62" s="571"/>
      <c r="I62" s="686"/>
      <c r="J62" s="572"/>
      <c r="K62" s="637">
        <v>419</v>
      </c>
      <c r="L62" s="542" t="e">
        <f>'통장내역(환율표)'!#REF!</f>
        <v>#REF!</v>
      </c>
      <c r="M62" s="766" t="e">
        <f t="shared" si="13"/>
        <v>#REF!</v>
      </c>
      <c r="N62" s="687">
        <f t="shared" si="6"/>
        <v>313691.93000000011</v>
      </c>
      <c r="O62" s="688" t="e">
        <f t="shared" si="7"/>
        <v>#REF!</v>
      </c>
      <c r="P62" s="689" t="s">
        <v>1280</v>
      </c>
      <c r="Q62" s="803"/>
      <c r="R62" s="809"/>
      <c r="S62" s="525" t="e">
        <f t="shared" si="9"/>
        <v>#REF!</v>
      </c>
    </row>
    <row r="63" spans="2:19" ht="11.25" customHeight="1">
      <c r="B63" s="568">
        <v>45467</v>
      </c>
      <c r="C63" s="656" t="s">
        <v>1290</v>
      </c>
      <c r="D63" s="656"/>
      <c r="E63" s="668">
        <v>45</v>
      </c>
      <c r="F63" s="569" t="s">
        <v>107</v>
      </c>
      <c r="G63" s="569"/>
      <c r="H63" s="571"/>
      <c r="I63" s="686"/>
      <c r="J63" s="572"/>
      <c r="K63" s="637">
        <v>31</v>
      </c>
      <c r="L63" s="542" t="e">
        <f>'통장내역(환율표)'!#REF!</f>
        <v>#REF!</v>
      </c>
      <c r="M63" s="766" t="e">
        <f t="shared" si="13"/>
        <v>#REF!</v>
      </c>
      <c r="N63" s="687">
        <f t="shared" si="6"/>
        <v>313660.93000000011</v>
      </c>
      <c r="O63" s="688" t="e">
        <f t="shared" si="7"/>
        <v>#REF!</v>
      </c>
      <c r="P63" s="689" t="s">
        <v>1280</v>
      </c>
      <c r="Q63" s="803"/>
      <c r="R63" s="809"/>
      <c r="S63" s="525" t="e">
        <f t="shared" si="9"/>
        <v>#REF!</v>
      </c>
    </row>
    <row r="64" spans="2:19" ht="11.25" customHeight="1">
      <c r="B64" s="568">
        <v>45467</v>
      </c>
      <c r="C64" s="656" t="s">
        <v>809</v>
      </c>
      <c r="D64" s="656"/>
      <c r="E64" s="668">
        <v>46</v>
      </c>
      <c r="F64" s="569" t="s">
        <v>125</v>
      </c>
      <c r="G64" s="569" t="s">
        <v>145</v>
      </c>
      <c r="H64" s="571"/>
      <c r="I64" s="686"/>
      <c r="J64" s="572"/>
      <c r="K64" s="637">
        <v>1224.5</v>
      </c>
      <c r="L64" s="542" t="e">
        <f>'통장내역(환율표)'!#REF!</f>
        <v>#REF!</v>
      </c>
      <c r="M64" s="766" t="e">
        <f t="shared" si="13"/>
        <v>#REF!</v>
      </c>
      <c r="N64" s="687">
        <f t="shared" si="6"/>
        <v>312436.43000000011</v>
      </c>
      <c r="O64" s="688" t="e">
        <f t="shared" si="7"/>
        <v>#REF!</v>
      </c>
      <c r="P64" s="689" t="s">
        <v>1280</v>
      </c>
      <c r="Q64" s="803"/>
      <c r="R64" s="809"/>
      <c r="S64" s="525" t="e">
        <f t="shared" si="9"/>
        <v>#REF!</v>
      </c>
    </row>
    <row r="65" spans="2:19" ht="11.25" customHeight="1">
      <c r="B65" s="568">
        <v>45467</v>
      </c>
      <c r="C65" s="656" t="s">
        <v>1291</v>
      </c>
      <c r="D65" s="656"/>
      <c r="E65" s="668">
        <v>47</v>
      </c>
      <c r="F65" s="569" t="s">
        <v>146</v>
      </c>
      <c r="G65" s="569" t="s">
        <v>147</v>
      </c>
      <c r="H65" s="571"/>
      <c r="I65" s="686"/>
      <c r="J65" s="572"/>
      <c r="K65" s="637">
        <v>9369.3700000000008</v>
      </c>
      <c r="L65" s="542" t="e">
        <f>'통장내역(환율표)'!#REF!</f>
        <v>#REF!</v>
      </c>
      <c r="M65" s="766" t="e">
        <f t="shared" si="13"/>
        <v>#REF!</v>
      </c>
      <c r="N65" s="687">
        <f t="shared" si="6"/>
        <v>303067.06000000011</v>
      </c>
      <c r="O65" s="688" t="e">
        <f t="shared" si="7"/>
        <v>#REF!</v>
      </c>
      <c r="P65" s="689" t="s">
        <v>1280</v>
      </c>
      <c r="Q65" s="803"/>
      <c r="R65" s="809"/>
      <c r="S65" s="525" t="e">
        <f t="shared" si="9"/>
        <v>#REF!</v>
      </c>
    </row>
    <row r="66" spans="2:19" ht="11.25" customHeight="1">
      <c r="B66" s="568">
        <v>45467</v>
      </c>
      <c r="C66" s="656" t="s">
        <v>250</v>
      </c>
      <c r="D66" s="656"/>
      <c r="E66" s="668">
        <v>48</v>
      </c>
      <c r="F66" s="569" t="s">
        <v>107</v>
      </c>
      <c r="G66" s="571"/>
      <c r="H66" s="571"/>
      <c r="I66" s="686"/>
      <c r="J66" s="572"/>
      <c r="K66" s="637">
        <v>7.2</v>
      </c>
      <c r="L66" s="542" t="e">
        <f>'통장내역(환율표)'!#REF!</f>
        <v>#REF!</v>
      </c>
      <c r="M66" s="766" t="e">
        <f t="shared" si="13"/>
        <v>#REF!</v>
      </c>
      <c r="N66" s="687">
        <f t="shared" si="6"/>
        <v>303059.8600000001</v>
      </c>
      <c r="O66" s="688" t="e">
        <f t="shared" si="7"/>
        <v>#REF!</v>
      </c>
      <c r="P66" s="689" t="s">
        <v>1280</v>
      </c>
      <c r="Q66" s="803"/>
      <c r="R66" s="809"/>
      <c r="S66" s="525" t="e">
        <f t="shared" si="9"/>
        <v>#REF!</v>
      </c>
    </row>
    <row r="67" spans="2:19" ht="11.25" customHeight="1">
      <c r="B67" s="568">
        <v>45467</v>
      </c>
      <c r="C67" s="656" t="s">
        <v>1292</v>
      </c>
      <c r="D67" s="571"/>
      <c r="E67" s="668">
        <v>49</v>
      </c>
      <c r="F67" s="569" t="s">
        <v>125</v>
      </c>
      <c r="G67" s="569" t="s">
        <v>145</v>
      </c>
      <c r="H67" s="571"/>
      <c r="I67" s="686"/>
      <c r="J67" s="572"/>
      <c r="K67" s="637">
        <v>1978.24</v>
      </c>
      <c r="L67" s="542" t="e">
        <f>'통장내역(환율표)'!#REF!</f>
        <v>#REF!</v>
      </c>
      <c r="M67" s="766" t="e">
        <f t="shared" ref="M67:M97" si="14">K67/L67</f>
        <v>#REF!</v>
      </c>
      <c r="N67" s="687">
        <f t="shared" si="6"/>
        <v>301081.62000000011</v>
      </c>
      <c r="O67" s="688" t="e">
        <f t="shared" si="7"/>
        <v>#REF!</v>
      </c>
      <c r="P67" s="689" t="s">
        <v>1280</v>
      </c>
      <c r="Q67" s="803"/>
      <c r="R67" s="809"/>
      <c r="S67" s="525" t="e">
        <f t="shared" si="9"/>
        <v>#REF!</v>
      </c>
    </row>
    <row r="68" spans="2:19" ht="11.25" customHeight="1">
      <c r="B68" s="568">
        <v>45467</v>
      </c>
      <c r="C68" s="656" t="s">
        <v>1249</v>
      </c>
      <c r="D68" s="571"/>
      <c r="E68" s="668">
        <v>50</v>
      </c>
      <c r="F68" s="569" t="s">
        <v>107</v>
      </c>
      <c r="G68" s="571"/>
      <c r="H68" s="571"/>
      <c r="I68" s="686"/>
      <c r="J68" s="572"/>
      <c r="K68" s="637">
        <v>12</v>
      </c>
      <c r="L68" s="542" t="e">
        <f>'통장내역(환율표)'!#REF!</f>
        <v>#REF!</v>
      </c>
      <c r="M68" s="766" t="e">
        <f t="shared" si="14"/>
        <v>#REF!</v>
      </c>
      <c r="N68" s="687">
        <f t="shared" si="6"/>
        <v>301069.62000000011</v>
      </c>
      <c r="O68" s="688" t="e">
        <f t="shared" si="7"/>
        <v>#REF!</v>
      </c>
      <c r="P68" s="689" t="s">
        <v>1280</v>
      </c>
      <c r="Q68" s="803"/>
      <c r="R68" s="809"/>
      <c r="S68" s="525" t="e">
        <f t="shared" si="9"/>
        <v>#REF!</v>
      </c>
    </row>
    <row r="69" spans="2:19" ht="11.25" customHeight="1">
      <c r="B69" s="700">
        <v>45467</v>
      </c>
      <c r="C69" s="711" t="s">
        <v>1294</v>
      </c>
      <c r="D69" s="712"/>
      <c r="E69" s="702">
        <v>51</v>
      </c>
      <c r="F69" s="703" t="s">
        <v>13</v>
      </c>
      <c r="G69" s="712" t="s">
        <v>14</v>
      </c>
      <c r="H69" s="712"/>
      <c r="I69" s="704"/>
      <c r="J69" s="705"/>
      <c r="K69" s="821" t="e">
        <f>L69*M69</f>
        <v>#REF!</v>
      </c>
      <c r="L69" s="706" t="e">
        <f>'통장내역(환율표)'!#REF!</f>
        <v>#REF!</v>
      </c>
      <c r="M69" s="766">
        <v>436.47</v>
      </c>
      <c r="N69" s="707" t="e">
        <f t="shared" si="6"/>
        <v>#REF!</v>
      </c>
      <c r="O69" s="708" t="e">
        <f t="shared" si="7"/>
        <v>#REF!</v>
      </c>
      <c r="P69" s="709" t="s">
        <v>1280</v>
      </c>
      <c r="Q69" s="825"/>
      <c r="R69" s="861"/>
      <c r="S69" s="525" t="e">
        <f t="shared" si="9"/>
        <v>#REF!</v>
      </c>
    </row>
    <row r="70" spans="2:19" ht="11.25" customHeight="1">
      <c r="B70" s="700">
        <v>45467</v>
      </c>
      <c r="C70" s="711" t="s">
        <v>1294</v>
      </c>
      <c r="D70" s="712"/>
      <c r="E70" s="702">
        <v>51</v>
      </c>
      <c r="F70" s="703" t="s">
        <v>13</v>
      </c>
      <c r="G70" s="712" t="s">
        <v>14</v>
      </c>
      <c r="H70" s="712"/>
      <c r="I70" s="704"/>
      <c r="J70" s="705"/>
      <c r="K70" s="821" t="e">
        <f>4520.98-K69</f>
        <v>#REF!</v>
      </c>
      <c r="L70" s="706" t="e">
        <f>'통장내역(환율표)'!#REF!</f>
        <v>#REF!</v>
      </c>
      <c r="M70" s="619" t="e">
        <f t="shared" si="14"/>
        <v>#REF!</v>
      </c>
      <c r="N70" s="707" t="e">
        <f t="shared" si="6"/>
        <v>#REF!</v>
      </c>
      <c r="O70" s="708" t="e">
        <f t="shared" si="7"/>
        <v>#REF!</v>
      </c>
      <c r="P70" s="709" t="s">
        <v>1298</v>
      </c>
      <c r="Q70" s="825"/>
      <c r="R70" s="861"/>
      <c r="S70" s="525" t="e">
        <f>41156-M70</f>
        <v>#REF!</v>
      </c>
    </row>
    <row r="71" spans="2:19" ht="11.25" customHeight="1">
      <c r="B71" s="568">
        <v>45467</v>
      </c>
      <c r="C71" s="656" t="s">
        <v>1293</v>
      </c>
      <c r="D71" s="571"/>
      <c r="E71" s="668">
        <v>52</v>
      </c>
      <c r="F71" s="569" t="s">
        <v>13</v>
      </c>
      <c r="G71" s="571" t="s">
        <v>14</v>
      </c>
      <c r="H71" s="571"/>
      <c r="I71" s="686"/>
      <c r="J71" s="572"/>
      <c r="K71" s="637">
        <v>1108.93</v>
      </c>
      <c r="L71" s="542" t="e">
        <f>'통장내역(환율표)'!#REF!</f>
        <v>#REF!</v>
      </c>
      <c r="M71" s="619" t="e">
        <f t="shared" si="14"/>
        <v>#REF!</v>
      </c>
      <c r="N71" s="687" t="e">
        <f t="shared" si="6"/>
        <v>#REF!</v>
      </c>
      <c r="O71" s="688" t="e">
        <f t="shared" si="7"/>
        <v>#REF!</v>
      </c>
      <c r="P71" s="689" t="s">
        <v>1298</v>
      </c>
      <c r="Q71" s="803"/>
      <c r="R71" s="809"/>
      <c r="S71" s="525" t="e">
        <f>S70-M71</f>
        <v>#REF!</v>
      </c>
    </row>
    <row r="72" spans="2:19" ht="11.25" customHeight="1">
      <c r="B72" s="568">
        <v>45467</v>
      </c>
      <c r="C72" s="656" t="s">
        <v>1248</v>
      </c>
      <c r="D72" s="571"/>
      <c r="E72" s="668">
        <v>53</v>
      </c>
      <c r="F72" s="569" t="s">
        <v>116</v>
      </c>
      <c r="G72" s="569" t="s">
        <v>140</v>
      </c>
      <c r="H72" s="571"/>
      <c r="I72" s="686"/>
      <c r="J72" s="572"/>
      <c r="K72" s="637">
        <v>299</v>
      </c>
      <c r="L72" s="542" t="e">
        <f>'통장내역(환율표)'!#REF!</f>
        <v>#REF!</v>
      </c>
      <c r="M72" s="619">
        <v>41.29</v>
      </c>
      <c r="N72" s="687" t="e">
        <f t="shared" si="6"/>
        <v>#REF!</v>
      </c>
      <c r="O72" s="688" t="e">
        <f t="shared" si="7"/>
        <v>#REF!</v>
      </c>
      <c r="P72" s="689" t="s">
        <v>1298</v>
      </c>
      <c r="Q72" s="803"/>
      <c r="R72" s="809"/>
      <c r="S72" s="525" t="e">
        <f t="shared" ref="S72:S97" si="15">S71-M72</f>
        <v>#REF!</v>
      </c>
    </row>
    <row r="73" spans="2:19" ht="11.25" customHeight="1">
      <c r="B73" s="568">
        <v>45467</v>
      </c>
      <c r="C73" s="656" t="s">
        <v>250</v>
      </c>
      <c r="D73" s="571"/>
      <c r="E73" s="668">
        <v>54</v>
      </c>
      <c r="F73" s="569" t="s">
        <v>107</v>
      </c>
      <c r="G73" s="571"/>
      <c r="H73" s="571"/>
      <c r="I73" s="686"/>
      <c r="J73" s="572"/>
      <c r="K73" s="637">
        <v>3.6</v>
      </c>
      <c r="L73" s="542" t="e">
        <f>'통장내역(환율표)'!#REF!</f>
        <v>#REF!</v>
      </c>
      <c r="M73" s="619" t="e">
        <f t="shared" si="14"/>
        <v>#REF!</v>
      </c>
      <c r="N73" s="687" t="e">
        <f t="shared" si="6"/>
        <v>#REF!</v>
      </c>
      <c r="O73" s="688" t="e">
        <f t="shared" si="7"/>
        <v>#REF!</v>
      </c>
      <c r="P73" s="689" t="s">
        <v>1298</v>
      </c>
      <c r="Q73" s="803"/>
      <c r="R73" s="809"/>
      <c r="S73" s="525" t="e">
        <f t="shared" si="15"/>
        <v>#REF!</v>
      </c>
    </row>
    <row r="74" spans="2:19" ht="11.25" customHeight="1">
      <c r="B74" s="568">
        <v>45467</v>
      </c>
      <c r="C74" s="656" t="s">
        <v>1297</v>
      </c>
      <c r="D74" s="571"/>
      <c r="E74" s="668">
        <v>55</v>
      </c>
      <c r="F74" s="569" t="s">
        <v>107</v>
      </c>
      <c r="G74" s="571"/>
      <c r="H74" s="571"/>
      <c r="I74" s="686"/>
      <c r="J74" s="572"/>
      <c r="K74" s="864">
        <v>3286</v>
      </c>
      <c r="L74" s="542" t="e">
        <f>'통장내역(환율표)'!#REF!</f>
        <v>#REF!</v>
      </c>
      <c r="M74" s="619" t="e">
        <f t="shared" si="14"/>
        <v>#REF!</v>
      </c>
      <c r="N74" s="687" t="e">
        <f t="shared" si="6"/>
        <v>#REF!</v>
      </c>
      <c r="O74" s="688" t="e">
        <f t="shared" si="7"/>
        <v>#REF!</v>
      </c>
      <c r="P74" s="689" t="s">
        <v>1298</v>
      </c>
      <c r="Q74" s="803"/>
      <c r="R74" s="809"/>
      <c r="S74" s="525" t="e">
        <f t="shared" si="15"/>
        <v>#REF!</v>
      </c>
    </row>
    <row r="75" spans="2:19" ht="11.25" customHeight="1">
      <c r="B75" s="568">
        <v>45467</v>
      </c>
      <c r="C75" s="656" t="s">
        <v>250</v>
      </c>
      <c r="D75" s="571"/>
      <c r="E75" s="668">
        <v>56</v>
      </c>
      <c r="F75" s="569" t="s">
        <v>107</v>
      </c>
      <c r="G75" s="571"/>
      <c r="H75" s="857"/>
      <c r="I75" s="686"/>
      <c r="J75" s="572"/>
      <c r="K75" s="637">
        <v>3.6</v>
      </c>
      <c r="L75" s="542" t="e">
        <f>'통장내역(환율표)'!#REF!</f>
        <v>#REF!</v>
      </c>
      <c r="M75" s="619" t="e">
        <f t="shared" si="14"/>
        <v>#REF!</v>
      </c>
      <c r="N75" s="687" t="e">
        <f t="shared" si="6"/>
        <v>#REF!</v>
      </c>
      <c r="O75" s="688" t="e">
        <f t="shared" si="7"/>
        <v>#REF!</v>
      </c>
      <c r="P75" s="689" t="s">
        <v>1298</v>
      </c>
      <c r="Q75" s="803"/>
      <c r="R75" s="809"/>
      <c r="S75" s="525" t="e">
        <f t="shared" si="15"/>
        <v>#REF!</v>
      </c>
    </row>
    <row r="76" spans="2:19" ht="11.25" customHeight="1">
      <c r="B76" s="568">
        <v>45467</v>
      </c>
      <c r="C76" s="656" t="s">
        <v>885</v>
      </c>
      <c r="D76" s="571"/>
      <c r="E76" s="668">
        <v>57</v>
      </c>
      <c r="F76" s="569" t="s">
        <v>107</v>
      </c>
      <c r="G76" s="569"/>
      <c r="H76" s="571"/>
      <c r="I76" s="686"/>
      <c r="J76" s="572"/>
      <c r="K76" s="637">
        <v>16000</v>
      </c>
      <c r="L76" s="542" t="e">
        <f>'통장내역(환율표)'!#REF!</f>
        <v>#REF!</v>
      </c>
      <c r="M76" s="619" t="e">
        <f t="shared" si="14"/>
        <v>#REF!</v>
      </c>
      <c r="N76" s="687" t="e">
        <f t="shared" si="6"/>
        <v>#REF!</v>
      </c>
      <c r="O76" s="688" t="e">
        <f t="shared" si="7"/>
        <v>#REF!</v>
      </c>
      <c r="P76" s="689" t="s">
        <v>1298</v>
      </c>
      <c r="Q76" s="803"/>
      <c r="R76" s="809" t="s">
        <v>211</v>
      </c>
      <c r="S76" s="525" t="e">
        <f t="shared" si="15"/>
        <v>#REF!</v>
      </c>
    </row>
    <row r="77" spans="2:19" ht="11.25" customHeight="1">
      <c r="B77" s="568">
        <v>45467</v>
      </c>
      <c r="C77" s="656" t="s">
        <v>938</v>
      </c>
      <c r="D77" s="571"/>
      <c r="E77" s="668">
        <v>57</v>
      </c>
      <c r="F77" s="569" t="s">
        <v>107</v>
      </c>
      <c r="G77" s="569"/>
      <c r="H77" s="571"/>
      <c r="I77" s="686"/>
      <c r="J77" s="572"/>
      <c r="K77" s="637">
        <v>24000</v>
      </c>
      <c r="L77" s="542" t="e">
        <f>'통장내역(환율표)'!#REF!</f>
        <v>#REF!</v>
      </c>
      <c r="M77" s="619" t="e">
        <f t="shared" si="14"/>
        <v>#REF!</v>
      </c>
      <c r="N77" s="687" t="e">
        <f t="shared" si="6"/>
        <v>#REF!</v>
      </c>
      <c r="O77" s="688" t="e">
        <f t="shared" si="7"/>
        <v>#REF!</v>
      </c>
      <c r="P77" s="689" t="s">
        <v>1298</v>
      </c>
      <c r="Q77" s="803"/>
      <c r="R77" s="809" t="s">
        <v>211</v>
      </c>
      <c r="S77" s="525" t="e">
        <f t="shared" si="15"/>
        <v>#REF!</v>
      </c>
    </row>
    <row r="78" spans="2:19" ht="11.25" customHeight="1">
      <c r="B78" s="568">
        <v>45467</v>
      </c>
      <c r="C78" s="656" t="s">
        <v>887</v>
      </c>
      <c r="D78" s="571"/>
      <c r="E78" s="668">
        <v>57</v>
      </c>
      <c r="F78" s="569" t="s">
        <v>107</v>
      </c>
      <c r="G78" s="569"/>
      <c r="H78" s="571"/>
      <c r="I78" s="686"/>
      <c r="J78" s="572"/>
      <c r="K78" s="637">
        <v>5125.99</v>
      </c>
      <c r="L78" s="542" t="e">
        <f>'통장내역(환율표)'!#REF!</f>
        <v>#REF!</v>
      </c>
      <c r="M78" s="619" t="e">
        <f t="shared" si="14"/>
        <v>#REF!</v>
      </c>
      <c r="N78" s="687" t="e">
        <f t="shared" si="6"/>
        <v>#REF!</v>
      </c>
      <c r="O78" s="688" t="e">
        <f t="shared" si="7"/>
        <v>#REF!</v>
      </c>
      <c r="P78" s="689" t="s">
        <v>1298</v>
      </c>
      <c r="Q78" s="803"/>
      <c r="R78" s="809" t="s">
        <v>211</v>
      </c>
      <c r="S78" s="525" t="e">
        <f t="shared" si="15"/>
        <v>#REF!</v>
      </c>
    </row>
    <row r="79" spans="2:19" ht="11.25" customHeight="1">
      <c r="B79" s="568">
        <v>45467</v>
      </c>
      <c r="C79" s="656" t="s">
        <v>888</v>
      </c>
      <c r="D79" s="571"/>
      <c r="E79" s="668">
        <v>57</v>
      </c>
      <c r="F79" s="569" t="s">
        <v>107</v>
      </c>
      <c r="G79" s="569"/>
      <c r="H79" s="571"/>
      <c r="I79" s="686"/>
      <c r="J79" s="572"/>
      <c r="K79" s="637">
        <v>6673.5999999999985</v>
      </c>
      <c r="L79" s="542" t="e">
        <f>'통장내역(환율표)'!#REF!</f>
        <v>#REF!</v>
      </c>
      <c r="M79" s="619" t="e">
        <f t="shared" si="14"/>
        <v>#REF!</v>
      </c>
      <c r="N79" s="687" t="e">
        <f t="shared" si="6"/>
        <v>#REF!</v>
      </c>
      <c r="O79" s="688" t="e">
        <f t="shared" si="7"/>
        <v>#REF!</v>
      </c>
      <c r="P79" s="689" t="s">
        <v>1298</v>
      </c>
      <c r="Q79" s="803"/>
      <c r="R79" s="809" t="s">
        <v>211</v>
      </c>
      <c r="S79" s="525" t="e">
        <f t="shared" si="15"/>
        <v>#REF!</v>
      </c>
    </row>
    <row r="80" spans="2:19" ht="11.25" customHeight="1">
      <c r="B80" s="568">
        <v>45467</v>
      </c>
      <c r="C80" s="656" t="s">
        <v>892</v>
      </c>
      <c r="D80" s="571"/>
      <c r="E80" s="668">
        <v>57</v>
      </c>
      <c r="F80" s="569" t="s">
        <v>107</v>
      </c>
      <c r="G80" s="569"/>
      <c r="H80" s="571"/>
      <c r="I80" s="686"/>
      <c r="J80" s="572"/>
      <c r="K80" s="637">
        <v>300</v>
      </c>
      <c r="L80" s="542" t="e">
        <f>'통장내역(환율표)'!#REF!</f>
        <v>#REF!</v>
      </c>
      <c r="M80" s="619" t="e">
        <f t="shared" si="14"/>
        <v>#REF!</v>
      </c>
      <c r="N80" s="687" t="e">
        <f t="shared" si="6"/>
        <v>#REF!</v>
      </c>
      <c r="O80" s="688" t="e">
        <f t="shared" si="7"/>
        <v>#REF!</v>
      </c>
      <c r="P80" s="689" t="s">
        <v>1298</v>
      </c>
      <c r="Q80" s="803"/>
      <c r="R80" s="809" t="s">
        <v>211</v>
      </c>
      <c r="S80" s="525" t="e">
        <f t="shared" si="15"/>
        <v>#REF!</v>
      </c>
    </row>
    <row r="81" spans="2:19" ht="11.25" customHeight="1">
      <c r="B81" s="568">
        <v>45467</v>
      </c>
      <c r="C81" s="656" t="s">
        <v>885</v>
      </c>
      <c r="D81" s="571"/>
      <c r="E81" s="668">
        <v>57</v>
      </c>
      <c r="F81" s="569" t="s">
        <v>107</v>
      </c>
      <c r="G81" s="569"/>
      <c r="H81" s="571"/>
      <c r="I81" s="686"/>
      <c r="J81" s="572"/>
      <c r="K81" s="637">
        <v>15000</v>
      </c>
      <c r="L81" s="542" t="e">
        <f>'통장내역(환율표)'!#REF!</f>
        <v>#REF!</v>
      </c>
      <c r="M81" s="619" t="e">
        <f t="shared" si="14"/>
        <v>#REF!</v>
      </c>
      <c r="N81" s="687" t="e">
        <f t="shared" si="6"/>
        <v>#REF!</v>
      </c>
      <c r="O81" s="688" t="e">
        <f t="shared" si="7"/>
        <v>#REF!</v>
      </c>
      <c r="P81" s="689" t="s">
        <v>1298</v>
      </c>
      <c r="Q81" s="803"/>
      <c r="R81" s="809" t="s">
        <v>188</v>
      </c>
      <c r="S81" s="525" t="e">
        <f t="shared" si="15"/>
        <v>#REF!</v>
      </c>
    </row>
    <row r="82" spans="2:19" ht="11.25" customHeight="1">
      <c r="B82" s="568">
        <v>45467</v>
      </c>
      <c r="C82" s="656" t="s">
        <v>938</v>
      </c>
      <c r="D82" s="571"/>
      <c r="E82" s="668">
        <v>57</v>
      </c>
      <c r="F82" s="569" t="s">
        <v>107</v>
      </c>
      <c r="G82" s="569"/>
      <c r="H82" s="571"/>
      <c r="I82" s="686"/>
      <c r="J82" s="572"/>
      <c r="K82" s="637">
        <v>22000</v>
      </c>
      <c r="L82" s="542" t="e">
        <f>'통장내역(환율표)'!#REF!</f>
        <v>#REF!</v>
      </c>
      <c r="M82" s="619" t="e">
        <f t="shared" si="14"/>
        <v>#REF!</v>
      </c>
      <c r="N82" s="687" t="e">
        <f t="shared" si="6"/>
        <v>#REF!</v>
      </c>
      <c r="O82" s="688" t="e">
        <f t="shared" si="7"/>
        <v>#REF!</v>
      </c>
      <c r="P82" s="689" t="s">
        <v>1298</v>
      </c>
      <c r="Q82" s="803"/>
      <c r="R82" s="809" t="s">
        <v>188</v>
      </c>
      <c r="S82" s="525" t="e">
        <f t="shared" si="15"/>
        <v>#REF!</v>
      </c>
    </row>
    <row r="83" spans="2:19" ht="11.25" customHeight="1">
      <c r="B83" s="568">
        <v>45467</v>
      </c>
      <c r="C83" s="656" t="s">
        <v>887</v>
      </c>
      <c r="D83" s="571"/>
      <c r="E83" s="668">
        <v>57</v>
      </c>
      <c r="F83" s="569" t="s">
        <v>107</v>
      </c>
      <c r="G83" s="569"/>
      <c r="H83" s="571"/>
      <c r="I83" s="686"/>
      <c r="J83" s="572"/>
      <c r="K83" s="637">
        <v>8558.1899999999987</v>
      </c>
      <c r="L83" s="542" t="e">
        <f>'통장내역(환율표)'!#REF!</f>
        <v>#REF!</v>
      </c>
      <c r="M83" s="619" t="e">
        <f t="shared" si="14"/>
        <v>#REF!</v>
      </c>
      <c r="N83" s="687" t="e">
        <f t="shared" si="6"/>
        <v>#REF!</v>
      </c>
      <c r="O83" s="688" t="e">
        <f t="shared" si="7"/>
        <v>#REF!</v>
      </c>
      <c r="P83" s="689" t="s">
        <v>1298</v>
      </c>
      <c r="Q83" s="803"/>
      <c r="R83" s="809" t="s">
        <v>188</v>
      </c>
      <c r="S83" s="525" t="e">
        <f t="shared" si="15"/>
        <v>#REF!</v>
      </c>
    </row>
    <row r="84" spans="2:19" ht="11.25" customHeight="1">
      <c r="B84" s="568">
        <v>45467</v>
      </c>
      <c r="C84" s="656" t="s">
        <v>888</v>
      </c>
      <c r="D84" s="571"/>
      <c r="E84" s="668">
        <v>57</v>
      </c>
      <c r="F84" s="569" t="s">
        <v>107</v>
      </c>
      <c r="G84" s="569"/>
      <c r="H84" s="571"/>
      <c r="I84" s="686"/>
      <c r="J84" s="572"/>
      <c r="K84" s="637">
        <v>5669</v>
      </c>
      <c r="L84" s="542" t="e">
        <f>'통장내역(환율표)'!#REF!</f>
        <v>#REF!</v>
      </c>
      <c r="M84" s="619" t="e">
        <f t="shared" si="14"/>
        <v>#REF!</v>
      </c>
      <c r="N84" s="687" t="e">
        <f t="shared" ref="N84:N97" si="16">N83+H84-K84</f>
        <v>#REF!</v>
      </c>
      <c r="O84" s="688" t="e">
        <f t="shared" ref="O84:O97" si="17">O83+J84-M84</f>
        <v>#REF!</v>
      </c>
      <c r="P84" s="689" t="s">
        <v>1298</v>
      </c>
      <c r="Q84" s="803"/>
      <c r="R84" s="809" t="s">
        <v>188</v>
      </c>
      <c r="S84" s="525" t="e">
        <f t="shared" si="15"/>
        <v>#REF!</v>
      </c>
    </row>
    <row r="85" spans="2:19" ht="11.25" customHeight="1">
      <c r="B85" s="568">
        <v>45467</v>
      </c>
      <c r="C85" s="656" t="s">
        <v>892</v>
      </c>
      <c r="D85" s="571"/>
      <c r="E85" s="668">
        <v>57</v>
      </c>
      <c r="F85" s="569" t="s">
        <v>107</v>
      </c>
      <c r="G85" s="569"/>
      <c r="H85" s="571"/>
      <c r="I85" s="686"/>
      <c r="J85" s="572"/>
      <c r="K85" s="637">
        <v>300</v>
      </c>
      <c r="L85" s="542" t="e">
        <f>'통장내역(환율표)'!#REF!</f>
        <v>#REF!</v>
      </c>
      <c r="M85" s="619" t="e">
        <f t="shared" si="14"/>
        <v>#REF!</v>
      </c>
      <c r="N85" s="687" t="e">
        <f t="shared" si="16"/>
        <v>#REF!</v>
      </c>
      <c r="O85" s="688" t="e">
        <f t="shared" si="17"/>
        <v>#REF!</v>
      </c>
      <c r="P85" s="689" t="s">
        <v>1298</v>
      </c>
      <c r="Q85" s="803"/>
      <c r="R85" s="809" t="s">
        <v>188</v>
      </c>
      <c r="S85" s="525" t="e">
        <f t="shared" si="15"/>
        <v>#REF!</v>
      </c>
    </row>
    <row r="86" spans="2:19" ht="11.25" customHeight="1">
      <c r="B86" s="568">
        <v>45467</v>
      </c>
      <c r="C86" s="656" t="s">
        <v>891</v>
      </c>
      <c r="D86" s="571"/>
      <c r="E86" s="668">
        <v>57</v>
      </c>
      <c r="F86" s="569" t="s">
        <v>107</v>
      </c>
      <c r="G86" s="569"/>
      <c r="H86" s="571"/>
      <c r="I86" s="686"/>
      <c r="J86" s="572"/>
      <c r="K86" s="637">
        <v>25000</v>
      </c>
      <c r="L86" s="542" t="e">
        <f>'통장내역(환율표)'!#REF!</f>
        <v>#REF!</v>
      </c>
      <c r="M86" s="619" t="e">
        <f t="shared" si="14"/>
        <v>#REF!</v>
      </c>
      <c r="N86" s="687" t="e">
        <f t="shared" si="16"/>
        <v>#REF!</v>
      </c>
      <c r="O86" s="688" t="e">
        <f t="shared" si="17"/>
        <v>#REF!</v>
      </c>
      <c r="P86" s="689" t="s">
        <v>1298</v>
      </c>
      <c r="Q86" s="803"/>
      <c r="R86" s="809" t="s">
        <v>942</v>
      </c>
      <c r="S86" s="525" t="e">
        <f t="shared" si="15"/>
        <v>#REF!</v>
      </c>
    </row>
    <row r="87" spans="2:19" ht="11.25" customHeight="1">
      <c r="B87" s="568">
        <v>45467</v>
      </c>
      <c r="C87" s="656" t="s">
        <v>939</v>
      </c>
      <c r="D87" s="571"/>
      <c r="E87" s="668">
        <v>57</v>
      </c>
      <c r="F87" s="569" t="s">
        <v>107</v>
      </c>
      <c r="G87" s="569"/>
      <c r="H87" s="571"/>
      <c r="I87" s="686"/>
      <c r="J87" s="572"/>
      <c r="K87" s="637">
        <v>6936.19</v>
      </c>
      <c r="L87" s="542" t="e">
        <f>'통장내역(환율표)'!#REF!</f>
        <v>#REF!</v>
      </c>
      <c r="M87" s="619" t="e">
        <f t="shared" si="14"/>
        <v>#REF!</v>
      </c>
      <c r="N87" s="687" t="e">
        <f t="shared" si="16"/>
        <v>#REF!</v>
      </c>
      <c r="O87" s="688" t="e">
        <f t="shared" si="17"/>
        <v>#REF!</v>
      </c>
      <c r="P87" s="689" t="s">
        <v>1298</v>
      </c>
      <c r="Q87" s="803"/>
      <c r="R87" s="809" t="s">
        <v>942</v>
      </c>
      <c r="S87" s="525" t="e">
        <f t="shared" si="15"/>
        <v>#REF!</v>
      </c>
    </row>
    <row r="88" spans="2:19" ht="11.25" customHeight="1">
      <c r="B88" s="568">
        <v>45467</v>
      </c>
      <c r="C88" s="656" t="s">
        <v>892</v>
      </c>
      <c r="D88" s="571"/>
      <c r="E88" s="668">
        <v>57</v>
      </c>
      <c r="F88" s="569" t="s">
        <v>107</v>
      </c>
      <c r="G88" s="569"/>
      <c r="H88" s="571"/>
      <c r="I88" s="686"/>
      <c r="J88" s="572"/>
      <c r="K88" s="637">
        <v>300</v>
      </c>
      <c r="L88" s="542" t="e">
        <f>'통장내역(환율표)'!#REF!</f>
        <v>#REF!</v>
      </c>
      <c r="M88" s="619" t="e">
        <f t="shared" si="14"/>
        <v>#REF!</v>
      </c>
      <c r="N88" s="687" t="e">
        <f t="shared" si="16"/>
        <v>#REF!</v>
      </c>
      <c r="O88" s="688" t="e">
        <f t="shared" si="17"/>
        <v>#REF!</v>
      </c>
      <c r="P88" s="689" t="s">
        <v>1298</v>
      </c>
      <c r="Q88" s="803"/>
      <c r="R88" s="809" t="s">
        <v>942</v>
      </c>
      <c r="S88" s="525" t="e">
        <f t="shared" si="15"/>
        <v>#REF!</v>
      </c>
    </row>
    <row r="89" spans="2:19" ht="11.25" customHeight="1">
      <c r="B89" s="568">
        <v>45467</v>
      </c>
      <c r="C89" s="656" t="s">
        <v>983</v>
      </c>
      <c r="D89" s="571"/>
      <c r="E89" s="668">
        <v>57</v>
      </c>
      <c r="F89" s="569" t="s">
        <v>107</v>
      </c>
      <c r="G89" s="569"/>
      <c r="H89" s="571"/>
      <c r="I89" s="686"/>
      <c r="J89" s="572"/>
      <c r="K89" s="637">
        <v>400</v>
      </c>
      <c r="L89" s="542" t="e">
        <f>'통장내역(환율표)'!#REF!</f>
        <v>#REF!</v>
      </c>
      <c r="M89" s="619" t="e">
        <f t="shared" si="14"/>
        <v>#REF!</v>
      </c>
      <c r="N89" s="687" t="e">
        <f t="shared" si="16"/>
        <v>#REF!</v>
      </c>
      <c r="O89" s="688" t="e">
        <f t="shared" si="17"/>
        <v>#REF!</v>
      </c>
      <c r="P89" s="689" t="s">
        <v>1298</v>
      </c>
      <c r="Q89" s="803"/>
      <c r="R89" s="809" t="s">
        <v>942</v>
      </c>
      <c r="S89" s="525" t="e">
        <f t="shared" si="15"/>
        <v>#REF!</v>
      </c>
    </row>
    <row r="90" spans="2:19" ht="11.25" customHeight="1">
      <c r="B90" s="568">
        <v>45467</v>
      </c>
      <c r="C90" s="656" t="s">
        <v>891</v>
      </c>
      <c r="D90" s="571"/>
      <c r="E90" s="668">
        <v>57</v>
      </c>
      <c r="F90" s="569" t="s">
        <v>107</v>
      </c>
      <c r="G90" s="569"/>
      <c r="H90" s="571"/>
      <c r="I90" s="686"/>
      <c r="J90" s="572"/>
      <c r="K90" s="637">
        <v>13000</v>
      </c>
      <c r="L90" s="542" t="e">
        <f>'통장내역(환율표)'!#REF!</f>
        <v>#REF!</v>
      </c>
      <c r="M90" s="619" t="e">
        <f t="shared" si="14"/>
        <v>#REF!</v>
      </c>
      <c r="N90" s="687" t="e">
        <f t="shared" si="16"/>
        <v>#REF!</v>
      </c>
      <c r="O90" s="688" t="e">
        <f t="shared" si="17"/>
        <v>#REF!</v>
      </c>
      <c r="P90" s="689" t="s">
        <v>1298</v>
      </c>
      <c r="Q90" s="803"/>
      <c r="R90" s="809" t="s">
        <v>943</v>
      </c>
      <c r="S90" s="525" t="e">
        <f t="shared" si="15"/>
        <v>#REF!</v>
      </c>
    </row>
    <row r="91" spans="2:19" ht="11.25" customHeight="1">
      <c r="B91" s="568">
        <v>45467</v>
      </c>
      <c r="C91" s="656" t="s">
        <v>939</v>
      </c>
      <c r="D91" s="571"/>
      <c r="E91" s="668">
        <v>57</v>
      </c>
      <c r="F91" s="569" t="s">
        <v>107</v>
      </c>
      <c r="G91" s="569"/>
      <c r="H91" s="571"/>
      <c r="I91" s="686"/>
      <c r="J91" s="572"/>
      <c r="K91" s="637">
        <v>3041.59</v>
      </c>
      <c r="L91" s="542" t="e">
        <f>'통장내역(환율표)'!#REF!</f>
        <v>#REF!</v>
      </c>
      <c r="M91" s="619" t="e">
        <f t="shared" si="14"/>
        <v>#REF!</v>
      </c>
      <c r="N91" s="687" t="e">
        <f t="shared" si="16"/>
        <v>#REF!</v>
      </c>
      <c r="O91" s="688" t="e">
        <f t="shared" si="17"/>
        <v>#REF!</v>
      </c>
      <c r="P91" s="689" t="s">
        <v>1298</v>
      </c>
      <c r="Q91" s="803"/>
      <c r="R91" s="809" t="s">
        <v>943</v>
      </c>
      <c r="S91" s="525" t="e">
        <f t="shared" si="15"/>
        <v>#REF!</v>
      </c>
    </row>
    <row r="92" spans="2:19" ht="11.25" customHeight="1">
      <c r="B92" s="568">
        <v>45467</v>
      </c>
      <c r="C92" s="656" t="s">
        <v>892</v>
      </c>
      <c r="D92" s="571"/>
      <c r="E92" s="668">
        <v>57</v>
      </c>
      <c r="F92" s="569" t="s">
        <v>107</v>
      </c>
      <c r="G92" s="569"/>
      <c r="H92" s="571"/>
      <c r="I92" s="686"/>
      <c r="J92" s="572"/>
      <c r="K92" s="637">
        <v>300</v>
      </c>
      <c r="L92" s="542" t="e">
        <f>'통장내역(환율표)'!#REF!</f>
        <v>#REF!</v>
      </c>
      <c r="M92" s="619" t="e">
        <f t="shared" si="14"/>
        <v>#REF!</v>
      </c>
      <c r="N92" s="687" t="e">
        <f t="shared" si="16"/>
        <v>#REF!</v>
      </c>
      <c r="O92" s="688" t="e">
        <f t="shared" si="17"/>
        <v>#REF!</v>
      </c>
      <c r="P92" s="689" t="s">
        <v>1298</v>
      </c>
      <c r="Q92" s="803"/>
      <c r="R92" s="809" t="s">
        <v>943</v>
      </c>
      <c r="S92" s="525" t="e">
        <f t="shared" si="15"/>
        <v>#REF!</v>
      </c>
    </row>
    <row r="93" spans="2:19" ht="11.25" customHeight="1">
      <c r="B93" s="568">
        <v>45467</v>
      </c>
      <c r="C93" s="656" t="s">
        <v>983</v>
      </c>
      <c r="D93" s="571"/>
      <c r="E93" s="668">
        <v>57</v>
      </c>
      <c r="F93" s="569" t="s">
        <v>107</v>
      </c>
      <c r="G93" s="569"/>
      <c r="H93" s="571"/>
      <c r="I93" s="686"/>
      <c r="J93" s="572"/>
      <c r="K93" s="637">
        <v>1200</v>
      </c>
      <c r="L93" s="542" t="e">
        <f>'통장내역(환율표)'!#REF!</f>
        <v>#REF!</v>
      </c>
      <c r="M93" s="619" t="e">
        <f t="shared" si="14"/>
        <v>#REF!</v>
      </c>
      <c r="N93" s="687" t="e">
        <f t="shared" si="16"/>
        <v>#REF!</v>
      </c>
      <c r="O93" s="688" t="e">
        <f t="shared" si="17"/>
        <v>#REF!</v>
      </c>
      <c r="P93" s="689" t="s">
        <v>1298</v>
      </c>
      <c r="Q93" s="803"/>
      <c r="R93" s="809" t="s">
        <v>943</v>
      </c>
      <c r="S93" s="525" t="e">
        <f t="shared" si="15"/>
        <v>#REF!</v>
      </c>
    </row>
    <row r="94" spans="2:19" ht="11.25" customHeight="1">
      <c r="B94" s="568">
        <v>45467</v>
      </c>
      <c r="C94" s="656" t="s">
        <v>891</v>
      </c>
      <c r="D94" s="571"/>
      <c r="E94" s="668">
        <v>57</v>
      </c>
      <c r="F94" s="569" t="s">
        <v>107</v>
      </c>
      <c r="G94" s="569"/>
      <c r="H94" s="571"/>
      <c r="I94" s="686"/>
      <c r="J94" s="572"/>
      <c r="K94" s="637">
        <v>25000</v>
      </c>
      <c r="L94" s="542" t="e">
        <f>'통장내역(환율표)'!#REF!</f>
        <v>#REF!</v>
      </c>
      <c r="M94" s="619" t="e">
        <f t="shared" si="14"/>
        <v>#REF!</v>
      </c>
      <c r="N94" s="687" t="e">
        <f t="shared" si="16"/>
        <v>#REF!</v>
      </c>
      <c r="O94" s="688" t="e">
        <f t="shared" si="17"/>
        <v>#REF!</v>
      </c>
      <c r="P94" s="689" t="s">
        <v>1298</v>
      </c>
      <c r="Q94" s="803"/>
      <c r="R94" s="809" t="s">
        <v>1277</v>
      </c>
      <c r="S94" s="525" t="e">
        <f t="shared" si="15"/>
        <v>#REF!</v>
      </c>
    </row>
    <row r="95" spans="2:19" ht="11.25" customHeight="1">
      <c r="B95" s="568">
        <v>45467</v>
      </c>
      <c r="C95" s="656" t="s">
        <v>939</v>
      </c>
      <c r="D95" s="571"/>
      <c r="E95" s="668">
        <v>57</v>
      </c>
      <c r="F95" s="569" t="s">
        <v>107</v>
      </c>
      <c r="G95" s="569"/>
      <c r="H95" s="571"/>
      <c r="I95" s="686"/>
      <c r="J95" s="572"/>
      <c r="K95" s="637">
        <v>6936.19</v>
      </c>
      <c r="L95" s="542" t="e">
        <f>'통장내역(환율표)'!#REF!</f>
        <v>#REF!</v>
      </c>
      <c r="M95" s="619" t="e">
        <f t="shared" si="14"/>
        <v>#REF!</v>
      </c>
      <c r="N95" s="687" t="e">
        <f t="shared" si="16"/>
        <v>#REF!</v>
      </c>
      <c r="O95" s="688" t="e">
        <f t="shared" si="17"/>
        <v>#REF!</v>
      </c>
      <c r="P95" s="689" t="s">
        <v>1298</v>
      </c>
      <c r="Q95" s="803"/>
      <c r="R95" s="809" t="s">
        <v>1277</v>
      </c>
      <c r="S95" s="525" t="e">
        <f t="shared" si="15"/>
        <v>#REF!</v>
      </c>
    </row>
    <row r="96" spans="2:19" ht="11.25" customHeight="1">
      <c r="B96" s="568">
        <v>45467</v>
      </c>
      <c r="C96" s="656" t="s">
        <v>892</v>
      </c>
      <c r="D96" s="571"/>
      <c r="E96" s="668">
        <v>57</v>
      </c>
      <c r="F96" s="569" t="s">
        <v>107</v>
      </c>
      <c r="G96" s="569"/>
      <c r="H96" s="571"/>
      <c r="I96" s="686"/>
      <c r="J96" s="572"/>
      <c r="K96" s="637">
        <v>300</v>
      </c>
      <c r="L96" s="542" t="e">
        <f>'통장내역(환율표)'!#REF!</f>
        <v>#REF!</v>
      </c>
      <c r="M96" s="619" t="e">
        <f t="shared" si="14"/>
        <v>#REF!</v>
      </c>
      <c r="N96" s="780" t="e">
        <f t="shared" si="16"/>
        <v>#REF!</v>
      </c>
      <c r="O96" s="862" t="e">
        <f t="shared" si="17"/>
        <v>#REF!</v>
      </c>
      <c r="P96" s="689" t="s">
        <v>1298</v>
      </c>
      <c r="Q96" s="803"/>
      <c r="R96" s="809" t="s">
        <v>1277</v>
      </c>
      <c r="S96" s="525" t="e">
        <f t="shared" si="15"/>
        <v>#REF!</v>
      </c>
    </row>
    <row r="97" spans="2:19" ht="11.25" customHeight="1">
      <c r="B97" s="568">
        <v>45467</v>
      </c>
      <c r="C97" s="656" t="s">
        <v>250</v>
      </c>
      <c r="D97" s="571"/>
      <c r="E97" s="668">
        <v>58</v>
      </c>
      <c r="F97" s="569" t="s">
        <v>107</v>
      </c>
      <c r="G97" s="569"/>
      <c r="H97" s="571"/>
      <c r="I97" s="686"/>
      <c r="J97" s="572"/>
      <c r="K97" s="637">
        <v>12</v>
      </c>
      <c r="L97" s="542" t="e">
        <f>'통장내역(환율표)'!#REF!</f>
        <v>#REF!</v>
      </c>
      <c r="M97" s="619" t="e">
        <f t="shared" si="14"/>
        <v>#REF!</v>
      </c>
      <c r="N97" s="848" t="e">
        <f t="shared" si="16"/>
        <v>#REF!</v>
      </c>
      <c r="O97" s="847" t="e">
        <f t="shared" si="17"/>
        <v>#REF!</v>
      </c>
      <c r="P97" s="689" t="s">
        <v>1298</v>
      </c>
      <c r="Q97" s="803"/>
      <c r="R97" s="809" t="s">
        <v>1277</v>
      </c>
      <c r="S97" s="525" t="e">
        <f t="shared" si="15"/>
        <v>#REF!</v>
      </c>
    </row>
    <row r="98" spans="2:19" ht="11.25" customHeight="1">
      <c r="C98" s="519"/>
      <c r="D98" s="519"/>
      <c r="E98" s="519"/>
      <c r="F98" s="519"/>
      <c r="G98" s="519"/>
      <c r="H98" s="519"/>
      <c r="K98" s="461"/>
    </row>
    <row r="99" spans="2:19" ht="11.25" customHeight="1">
      <c r="C99" s="519"/>
      <c r="D99" s="519"/>
      <c r="E99" s="519"/>
      <c r="F99" s="519"/>
      <c r="G99" s="519"/>
      <c r="H99" s="519"/>
      <c r="K99" s="461"/>
    </row>
    <row r="100" spans="2:19" ht="11.25" customHeight="1">
      <c r="C100" s="519"/>
      <c r="D100" s="519"/>
      <c r="E100" s="519"/>
      <c r="F100" s="519"/>
      <c r="G100" s="519"/>
      <c r="H100" s="519"/>
      <c r="K100" s="461"/>
    </row>
    <row r="101" spans="2:19" ht="11.25" customHeight="1">
      <c r="C101" s="519"/>
      <c r="D101" s="519"/>
      <c r="E101" s="519"/>
      <c r="F101" s="519"/>
      <c r="G101" s="519"/>
      <c r="H101" s="519"/>
    </row>
    <row r="102" spans="2:19" ht="11.25" customHeight="1">
      <c r="C102" s="519"/>
      <c r="D102" s="519"/>
      <c r="E102" s="519"/>
      <c r="F102" s="519"/>
      <c r="G102" s="519"/>
      <c r="H102" s="519"/>
    </row>
    <row r="103" spans="2:19" ht="11.25" customHeight="1">
      <c r="C103" s="519"/>
      <c r="D103" s="519"/>
      <c r="E103" s="519"/>
      <c r="F103" s="519"/>
      <c r="G103" s="519"/>
      <c r="H103" s="519"/>
    </row>
    <row r="104" spans="2:19" ht="11.25" customHeight="1">
      <c r="C104" s="519"/>
      <c r="D104" s="519"/>
      <c r="E104" s="519"/>
      <c r="F104" s="519"/>
      <c r="G104" s="519"/>
      <c r="H104" s="519"/>
    </row>
    <row r="105" spans="2:19" ht="11.25" customHeight="1">
      <c r="C105" s="519"/>
      <c r="D105" s="519"/>
      <c r="E105" s="519"/>
      <c r="F105" s="519"/>
      <c r="G105" s="519"/>
      <c r="H105" s="519"/>
    </row>
    <row r="106" spans="2:19" ht="11.25" customHeight="1">
      <c r="C106" s="519"/>
      <c r="D106" s="519"/>
      <c r="E106" s="519"/>
      <c r="F106" s="519"/>
      <c r="G106" s="519"/>
      <c r="H106" s="519"/>
    </row>
    <row r="107" spans="2:19" ht="11.25" customHeight="1">
      <c r="C107" s="519"/>
      <c r="D107" s="519"/>
      <c r="E107" s="519"/>
      <c r="F107" s="519"/>
      <c r="G107" s="519"/>
      <c r="H107" s="519"/>
    </row>
    <row r="108" spans="2:19" ht="11.25" customHeight="1">
      <c r="C108" s="519"/>
      <c r="D108" s="519"/>
      <c r="E108" s="519"/>
      <c r="F108" s="519"/>
      <c r="G108" s="519"/>
      <c r="H108" s="519"/>
    </row>
    <row r="109" spans="2:19" ht="11.25" customHeight="1">
      <c r="C109" s="519"/>
      <c r="D109" s="519"/>
      <c r="E109" s="519"/>
      <c r="F109" s="519"/>
      <c r="G109" s="519"/>
      <c r="H109" s="519"/>
    </row>
    <row r="110" spans="2:19" ht="11.25" customHeight="1">
      <c r="C110" s="519"/>
      <c r="D110" s="519"/>
      <c r="E110" s="519"/>
      <c r="F110" s="519"/>
      <c r="G110" s="519"/>
      <c r="H110" s="519"/>
    </row>
    <row r="111" spans="2:19" ht="11.25" customHeight="1">
      <c r="C111" s="519"/>
      <c r="D111" s="519"/>
      <c r="E111" s="519"/>
      <c r="F111" s="519"/>
      <c r="G111" s="519"/>
      <c r="H111" s="519"/>
    </row>
  </sheetData>
  <autoFilter ref="B17:R97" xr:uid="{00000000-0009-0000-0000-000001000000}">
    <filterColumn colId="14" showButton="0"/>
    <sortState xmlns:xlrd2="http://schemas.microsoft.com/office/spreadsheetml/2017/richdata2" ref="B20:R54">
      <sortCondition sortBy="cellColor" ref="M17:M96" dxfId="23"/>
    </sortState>
  </autoFilter>
  <mergeCells count="5">
    <mergeCell ref="H16:J16"/>
    <mergeCell ref="K16:M16"/>
    <mergeCell ref="N16:O16"/>
    <mergeCell ref="P16:Q16"/>
    <mergeCell ref="P17:Q17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FC4A-BE95-452D-A917-70D0EB7D8168}">
  <sheetPr>
    <tabColor theme="7" tint="-0.249977111117893"/>
  </sheetPr>
  <dimension ref="A1:AC107"/>
  <sheetViews>
    <sheetView showGridLines="0" zoomScaleNormal="100" workbookViewId="0">
      <pane ySplit="18" topLeftCell="A76" activePane="bottomLeft" state="frozen"/>
      <selection activeCell="I128" sqref="I128"/>
      <selection pane="bottomLeft" activeCell="N94" sqref="N94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1320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1302</v>
      </c>
      <c r="C3" s="477"/>
      <c r="D3" s="477"/>
      <c r="E3" s="477"/>
      <c r="F3" s="715">
        <v>1366.9</v>
      </c>
      <c r="G3" s="480"/>
      <c r="H3" s="476" t="s">
        <v>1303</v>
      </c>
      <c r="I3" s="477"/>
      <c r="K3" s="478"/>
      <c r="L3" s="715">
        <v>1383.4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22004.71</v>
      </c>
      <c r="K5" s="693">
        <v>3031.75</v>
      </c>
      <c r="L5" s="651">
        <f>ROUND(K5*$L$3,0)</f>
        <v>4194123</v>
      </c>
      <c r="M5" s="889">
        <f>L5+F5</f>
        <v>4194123</v>
      </c>
      <c r="N5" s="852"/>
      <c r="O5" s="773"/>
      <c r="P5" s="773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1600</v>
      </c>
      <c r="E6" s="500">
        <v>220.98</v>
      </c>
      <c r="F6" s="497">
        <f t="shared" ref="F6:F10" si="0">ROUND(E6*$F$3,0)</f>
        <v>302058</v>
      </c>
      <c r="G6" s="502"/>
      <c r="H6" s="499" t="s">
        <v>13</v>
      </c>
      <c r="I6" s="499" t="s">
        <v>14</v>
      </c>
      <c r="J6" s="693">
        <v>29823.03</v>
      </c>
      <c r="K6" s="693">
        <v>4108.93</v>
      </c>
      <c r="L6" s="651">
        <f t="shared" ref="L6:L10" si="1">ROUND(K6*$L$3,0)</f>
        <v>5684294</v>
      </c>
      <c r="M6" s="889">
        <f t="shared" ref="M6:M13" si="2">L6+F6</f>
        <v>5986352</v>
      </c>
      <c r="N6" s="852"/>
      <c r="O6" s="773"/>
      <c r="P6" s="773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496">
        <v>24479</v>
      </c>
      <c r="E7" s="496">
        <v>3380.8</v>
      </c>
      <c r="F7" s="497">
        <f t="shared" si="0"/>
        <v>4621216</v>
      </c>
      <c r="G7" s="503"/>
      <c r="H7" s="499" t="s">
        <v>15</v>
      </c>
      <c r="I7" s="499" t="s">
        <v>1055</v>
      </c>
      <c r="J7" s="694"/>
      <c r="K7" s="694"/>
      <c r="L7" s="651">
        <f t="shared" si="1"/>
        <v>0</v>
      </c>
      <c r="M7" s="889">
        <f t="shared" si="2"/>
        <v>4621216</v>
      </c>
      <c r="N7" s="852"/>
      <c r="O7" s="773"/>
      <c r="P7" s="773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694">
        <v>2411.1</v>
      </c>
      <c r="L8" s="651">
        <f t="shared" si="1"/>
        <v>3335516</v>
      </c>
      <c r="M8" s="889">
        <f t="shared" si="2"/>
        <v>3335516</v>
      </c>
      <c r="N8" s="852"/>
      <c r="O8" s="773"/>
      <c r="P8" s="773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2057</v>
      </c>
      <c r="K9" s="693">
        <v>283.41000000000003</v>
      </c>
      <c r="L9" s="651">
        <f t="shared" si="1"/>
        <v>392069</v>
      </c>
      <c r="M9" s="889">
        <f t="shared" si="2"/>
        <v>392069</v>
      </c>
      <c r="N9" s="852"/>
      <c r="O9" s="773"/>
      <c r="P9" s="773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79792.179999999993</v>
      </c>
      <c r="E10" s="500">
        <v>11020.1</v>
      </c>
      <c r="F10" s="497">
        <f t="shared" si="0"/>
        <v>15063375</v>
      </c>
      <c r="G10" s="505"/>
      <c r="H10" s="499" t="s">
        <v>21</v>
      </c>
      <c r="I10" s="499"/>
      <c r="J10" s="693">
        <v>204194</v>
      </c>
      <c r="K10" s="693">
        <v>28184.26</v>
      </c>
      <c r="L10" s="651">
        <f t="shared" si="1"/>
        <v>38990105</v>
      </c>
      <c r="M10" s="889">
        <f t="shared" si="2"/>
        <v>54053480</v>
      </c>
      <c r="N10" s="852"/>
      <c r="O10" s="773"/>
      <c r="P10" s="773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ref="F11:F12" si="3">ROUND(E11*$F$3,0)</f>
        <v>0</v>
      </c>
      <c r="G11" s="510">
        <f>G13/G12</f>
        <v>1366.9000839837283</v>
      </c>
      <c r="H11" s="506" t="s">
        <v>1057</v>
      </c>
      <c r="I11" s="507" t="s">
        <v>1279</v>
      </c>
      <c r="J11" s="511"/>
      <c r="K11" s="855"/>
      <c r="L11" s="854">
        <f t="shared" ref="L11" si="4">ROUND(K11*$L$3,0)</f>
        <v>0</v>
      </c>
      <c r="M11" s="889">
        <f t="shared" si="2"/>
        <v>0</v>
      </c>
      <c r="N11" s="853"/>
      <c r="P11" s="776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500"/>
      <c r="E12" s="500"/>
      <c r="F12" s="497">
        <f t="shared" si="3"/>
        <v>0</v>
      </c>
      <c r="G12" s="512">
        <f>E13+Q13+AB13</f>
        <v>14621.880000000001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89">
        <f t="shared" si="2"/>
        <v>0</v>
      </c>
      <c r="N12" s="852"/>
      <c r="P12" s="776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105871.18</v>
      </c>
      <c r="E13" s="515">
        <f>SUM(E5:E11)-E12</f>
        <v>14621.880000000001</v>
      </c>
      <c r="F13" s="870">
        <f>SUM(F5:F11)-F12</f>
        <v>19986649</v>
      </c>
      <c r="G13" s="518">
        <f>F13+R13+AC13</f>
        <v>19986649</v>
      </c>
      <c r="H13" s="868" t="s">
        <v>22</v>
      </c>
      <c r="I13" s="869"/>
      <c r="J13" s="515">
        <f>SUM(J5:J11)-J12</f>
        <v>275578.74</v>
      </c>
      <c r="K13" s="515">
        <f>SUM(K5:K11)-K12</f>
        <v>38019.449999999997</v>
      </c>
      <c r="L13" s="870">
        <f>SUM(L5:L11)-L12</f>
        <v>52596107</v>
      </c>
      <c r="M13" s="889">
        <f t="shared" si="2"/>
        <v>72582756</v>
      </c>
      <c r="N13" s="872"/>
      <c r="O13" s="873"/>
      <c r="P13" s="776"/>
      <c r="Q13" s="776"/>
      <c r="R13" s="776"/>
      <c r="S13" s="874"/>
      <c r="U13" s="850"/>
      <c r="X13" s="875">
        <f>F13+R13</f>
        <v>19986649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5">SUM(D7:D10)</f>
        <v>104271.18</v>
      </c>
      <c r="E14" s="739">
        <f t="shared" si="5"/>
        <v>14400.900000000001</v>
      </c>
      <c r="F14" s="739">
        <f>SUM(F7:F10)</f>
        <v>19684591</v>
      </c>
      <c r="G14" s="524"/>
      <c r="J14" s="489">
        <f>J13+D13</f>
        <v>381449.92</v>
      </c>
      <c r="K14" s="489">
        <f t="shared" ref="K14:L14" si="6">K13+E13</f>
        <v>52641.33</v>
      </c>
      <c r="L14" s="489">
        <f t="shared" si="6"/>
        <v>72582756</v>
      </c>
      <c r="M14" s="865" t="e">
        <f>M15-E12</f>
        <v>#REF!</v>
      </c>
      <c r="O14" s="525"/>
      <c r="P14" s="844">
        <f>P13+D13+J13</f>
        <v>381449.92</v>
      </c>
      <c r="Q14" s="844">
        <f>Q13+E13+K13</f>
        <v>52641.33</v>
      </c>
      <c r="R14" s="845">
        <f>R13+F13+L13</f>
        <v>72582756</v>
      </c>
      <c r="X14" s="470"/>
      <c r="Y14" s="525"/>
      <c r="AB14" s="525"/>
      <c r="AC14" s="489"/>
    </row>
    <row r="15" spans="1:29" ht="18.75" customHeight="1" thickBot="1">
      <c r="A15" s="449"/>
      <c r="C15" s="520"/>
      <c r="D15" s="520"/>
      <c r="E15" s="523"/>
      <c r="F15" s="523"/>
      <c r="G15" s="524"/>
      <c r="I15" s="525"/>
      <c r="J15" s="526"/>
      <c r="K15" s="652" t="e">
        <f>SUBTOTAL(9,K18:K121)</f>
        <v>#REF!</v>
      </c>
      <c r="L15" s="137"/>
      <c r="M15" s="652" t="e">
        <f>SUBTOTAL(9,M18:M121)</f>
        <v>#REF!</v>
      </c>
      <c r="N15" s="525"/>
      <c r="Q15" s="525"/>
    </row>
    <row r="16" spans="1:29" ht="11.25" customHeight="1">
      <c r="A16" s="449"/>
      <c r="B16" s="527" t="s">
        <v>24</v>
      </c>
      <c r="C16" s="528" t="s">
        <v>25</v>
      </c>
      <c r="D16" s="528" t="s">
        <v>1061</v>
      </c>
      <c r="E16" s="530" t="s">
        <v>26</v>
      </c>
      <c r="F16" s="531" t="s">
        <v>1</v>
      </c>
      <c r="G16" s="532" t="s">
        <v>2</v>
      </c>
      <c r="H16" s="2072" t="s">
        <v>29</v>
      </c>
      <c r="I16" s="2073"/>
      <c r="J16" s="2073"/>
      <c r="K16" s="2072" t="s">
        <v>30</v>
      </c>
      <c r="L16" s="2073"/>
      <c r="M16" s="2074"/>
      <c r="N16" s="2075" t="s">
        <v>31</v>
      </c>
      <c r="O16" s="2076"/>
      <c r="P16" s="2077"/>
      <c r="Q16" s="2077"/>
      <c r="R16" s="533" t="s">
        <v>1062</v>
      </c>
    </row>
    <row r="17" spans="1:19" ht="11.25" customHeight="1">
      <c r="A17" s="449"/>
      <c r="B17" s="534" t="s">
        <v>1063</v>
      </c>
      <c r="C17" s="535" t="s">
        <v>1064</v>
      </c>
      <c r="D17" s="535" t="s">
        <v>1065</v>
      </c>
      <c r="E17" s="537" t="s">
        <v>1066</v>
      </c>
      <c r="F17" s="538" t="s">
        <v>1067</v>
      </c>
      <c r="G17" s="539" t="s">
        <v>1068</v>
      </c>
      <c r="H17" s="540" t="s">
        <v>1069</v>
      </c>
      <c r="I17" s="540" t="s">
        <v>1070</v>
      </c>
      <c r="J17" s="541" t="s">
        <v>34</v>
      </c>
      <c r="K17" s="541" t="s">
        <v>1069</v>
      </c>
      <c r="L17" s="540" t="s">
        <v>1070</v>
      </c>
      <c r="M17" s="606" t="s">
        <v>34</v>
      </c>
      <c r="N17" s="609" t="s">
        <v>1069</v>
      </c>
      <c r="O17" s="610" t="s">
        <v>34</v>
      </c>
      <c r="P17" s="2081" t="s">
        <v>32</v>
      </c>
      <c r="Q17" s="2081"/>
      <c r="R17" s="486" t="s">
        <v>1062</v>
      </c>
    </row>
    <row r="18" spans="1:19" ht="11.25" customHeight="1">
      <c r="B18" s="657">
        <v>45473</v>
      </c>
      <c r="C18" s="658"/>
      <c r="D18" s="658"/>
      <c r="E18" s="660"/>
      <c r="F18" s="863"/>
      <c r="G18" s="661"/>
      <c r="H18" s="662"/>
      <c r="I18" s="658"/>
      <c r="J18" s="661"/>
      <c r="K18" s="682"/>
      <c r="L18" s="663"/>
      <c r="M18" s="679"/>
      <c r="N18" s="880">
        <v>105794.76000000013</v>
      </c>
      <c r="O18" s="881">
        <v>14621.88</v>
      </c>
      <c r="P18" s="681"/>
      <c r="Q18" s="798"/>
      <c r="R18" s="805"/>
      <c r="S18" s="846">
        <v>14621.88</v>
      </c>
    </row>
    <row r="19" spans="1:19" ht="11.25" customHeight="1">
      <c r="B19" s="568">
        <v>45483</v>
      </c>
      <c r="C19" s="600" t="s">
        <v>1304</v>
      </c>
      <c r="D19" s="600"/>
      <c r="E19" s="668">
        <v>1</v>
      </c>
      <c r="F19" s="569" t="s">
        <v>107</v>
      </c>
      <c r="G19" s="569"/>
      <c r="H19" s="571"/>
      <c r="I19" s="686"/>
      <c r="J19" s="572"/>
      <c r="K19" s="637">
        <v>46204.480000000003</v>
      </c>
      <c r="L19" s="542" t="e">
        <f>'통장내역(환율표)'!#REF!</f>
        <v>#REF!</v>
      </c>
      <c r="M19" s="766" t="e">
        <f>K19/L19</f>
        <v>#REF!</v>
      </c>
      <c r="N19" s="687">
        <f t="shared" ref="N19:N50" si="7">N18+H19-K19</f>
        <v>59590.280000000123</v>
      </c>
      <c r="O19" s="688" t="e">
        <f t="shared" ref="O19:O82" si="8">O18+J19-M19</f>
        <v>#REF!</v>
      </c>
      <c r="P19" s="689" t="s">
        <v>1298</v>
      </c>
      <c r="Q19" s="801"/>
      <c r="R19" s="808"/>
      <c r="S19" s="525" t="e">
        <f>S18-M19</f>
        <v>#REF!</v>
      </c>
    </row>
    <row r="20" spans="1:19" ht="11.25" customHeight="1">
      <c r="B20" s="700">
        <v>45484</v>
      </c>
      <c r="C20" s="891" t="s">
        <v>1088</v>
      </c>
      <c r="D20" s="891"/>
      <c r="E20" s="702">
        <v>2</v>
      </c>
      <c r="F20" s="703"/>
      <c r="G20" s="703"/>
      <c r="H20" s="712">
        <v>298714.36</v>
      </c>
      <c r="I20" s="704"/>
      <c r="J20" s="705">
        <v>41207</v>
      </c>
      <c r="K20" s="821"/>
      <c r="L20" s="706"/>
      <c r="M20" s="884"/>
      <c r="N20" s="707">
        <f t="shared" si="7"/>
        <v>358304.64000000013</v>
      </c>
      <c r="O20" s="708" t="e">
        <f t="shared" si="8"/>
        <v>#REF!</v>
      </c>
      <c r="P20" s="709"/>
      <c r="Q20" s="825"/>
      <c r="R20" s="878"/>
      <c r="S20" s="525"/>
    </row>
    <row r="21" spans="1:19" ht="12" customHeight="1">
      <c r="B21" s="700">
        <v>45484</v>
      </c>
      <c r="C21" s="891" t="s">
        <v>445</v>
      </c>
      <c r="D21" s="891"/>
      <c r="E21" s="702">
        <v>2</v>
      </c>
      <c r="F21" s="703" t="s">
        <v>107</v>
      </c>
      <c r="G21" s="703"/>
      <c r="H21" s="712"/>
      <c r="I21" s="704"/>
      <c r="J21" s="705"/>
      <c r="K21" s="821"/>
      <c r="L21" s="706"/>
      <c r="M21" s="885">
        <v>51</v>
      </c>
      <c r="N21" s="707">
        <f t="shared" si="7"/>
        <v>358304.64000000013</v>
      </c>
      <c r="O21" s="708" t="e">
        <f t="shared" si="8"/>
        <v>#REF!</v>
      </c>
      <c r="P21" s="709"/>
      <c r="Q21" s="825"/>
      <c r="R21" s="878"/>
      <c r="S21" s="525"/>
    </row>
    <row r="22" spans="1:19" ht="12" customHeight="1">
      <c r="B22" s="568">
        <v>45488</v>
      </c>
      <c r="C22" s="600" t="s">
        <v>304</v>
      </c>
      <c r="D22" s="600"/>
      <c r="E22" s="668">
        <v>3</v>
      </c>
      <c r="F22" s="569" t="s">
        <v>105</v>
      </c>
      <c r="G22" s="569" t="s">
        <v>1122</v>
      </c>
      <c r="H22" s="569"/>
      <c r="I22" s="569"/>
      <c r="J22" s="569"/>
      <c r="K22" s="637">
        <v>24479</v>
      </c>
      <c r="L22" s="542" t="e">
        <f>'통장내역(환율표)'!#REF!</f>
        <v>#REF!</v>
      </c>
      <c r="M22" s="766" t="e">
        <f>K22/L22</f>
        <v>#REF!</v>
      </c>
      <c r="N22" s="687">
        <f t="shared" si="7"/>
        <v>333825.64000000013</v>
      </c>
      <c r="O22" s="688" t="e">
        <f t="shared" si="8"/>
        <v>#REF!</v>
      </c>
      <c r="P22" s="689" t="s">
        <v>1298</v>
      </c>
      <c r="Q22" s="801"/>
      <c r="R22" s="808"/>
      <c r="S22" s="645" t="e">
        <f>S19-M22+J22</f>
        <v>#REF!</v>
      </c>
    </row>
    <row r="23" spans="1:19" ht="11.25" customHeight="1">
      <c r="B23" s="568">
        <v>45488</v>
      </c>
      <c r="C23" s="600" t="s">
        <v>250</v>
      </c>
      <c r="D23" s="600"/>
      <c r="E23" s="668">
        <v>4</v>
      </c>
      <c r="F23" s="569" t="s">
        <v>107</v>
      </c>
      <c r="G23" s="569"/>
      <c r="H23" s="569"/>
      <c r="I23" s="569"/>
      <c r="J23" s="569"/>
      <c r="K23" s="637">
        <v>7.2</v>
      </c>
      <c r="L23" s="542" t="e">
        <f>'통장내역(환율표)'!#REF!</f>
        <v>#REF!</v>
      </c>
      <c r="M23" s="766" t="e">
        <f>K23/L23</f>
        <v>#REF!</v>
      </c>
      <c r="N23" s="687">
        <f t="shared" si="7"/>
        <v>333818.44000000012</v>
      </c>
      <c r="O23" s="688" t="e">
        <f t="shared" si="8"/>
        <v>#REF!</v>
      </c>
      <c r="P23" s="689" t="s">
        <v>1298</v>
      </c>
      <c r="Q23" s="801"/>
      <c r="R23" s="808"/>
      <c r="S23" s="883" t="e">
        <f>S22-M23+J23</f>
        <v>#REF!</v>
      </c>
    </row>
    <row r="24" spans="1:19" ht="11.25" customHeight="1">
      <c r="B24" s="568">
        <v>45488</v>
      </c>
      <c r="C24" s="600" t="s">
        <v>1305</v>
      </c>
      <c r="D24" s="600"/>
      <c r="E24" s="668">
        <v>5</v>
      </c>
      <c r="F24" s="569" t="s">
        <v>146</v>
      </c>
      <c r="G24" s="569" t="s">
        <v>147</v>
      </c>
      <c r="H24" s="569"/>
      <c r="I24" s="569"/>
      <c r="J24" s="569"/>
      <c r="K24" s="637">
        <v>1600</v>
      </c>
      <c r="L24" s="542" t="e">
        <f>'통장내역(환율표)'!#REF!</f>
        <v>#REF!</v>
      </c>
      <c r="M24" s="766" t="e">
        <f>K24/L24</f>
        <v>#REF!</v>
      </c>
      <c r="N24" s="687">
        <f t="shared" si="7"/>
        <v>332218.44000000012</v>
      </c>
      <c r="O24" s="688" t="e">
        <f t="shared" si="8"/>
        <v>#REF!</v>
      </c>
      <c r="P24" s="689" t="s">
        <v>1298</v>
      </c>
      <c r="Q24" s="801"/>
      <c r="R24" s="808"/>
      <c r="S24" s="883" t="e">
        <f t="shared" ref="S24:S27" si="9">S23-M24+J24</f>
        <v>#REF!</v>
      </c>
    </row>
    <row r="25" spans="1:19" ht="11.25" customHeight="1">
      <c r="B25" s="568">
        <v>45488</v>
      </c>
      <c r="C25" s="600" t="s">
        <v>250</v>
      </c>
      <c r="D25" s="600"/>
      <c r="E25" s="668">
        <v>6</v>
      </c>
      <c r="F25" s="569" t="s">
        <v>107</v>
      </c>
      <c r="G25" s="569"/>
      <c r="H25" s="569"/>
      <c r="I25" s="569"/>
      <c r="J25" s="569"/>
      <c r="K25" s="637">
        <v>3.6</v>
      </c>
      <c r="L25" s="542" t="e">
        <f>'통장내역(환율표)'!#REF!</f>
        <v>#REF!</v>
      </c>
      <c r="M25" s="766">
        <v>0.495</v>
      </c>
      <c r="N25" s="687">
        <f t="shared" si="7"/>
        <v>332214.84000000014</v>
      </c>
      <c r="O25" s="688" t="e">
        <f t="shared" si="8"/>
        <v>#REF!</v>
      </c>
      <c r="P25" s="689" t="s">
        <v>1298</v>
      </c>
      <c r="Q25" s="801"/>
      <c r="R25" s="808"/>
      <c r="S25" s="883" t="e">
        <f t="shared" si="9"/>
        <v>#REF!</v>
      </c>
    </row>
    <row r="26" spans="1:19" ht="11.25" customHeight="1">
      <c r="B26" s="568">
        <v>45496</v>
      </c>
      <c r="C26" s="600" t="s">
        <v>885</v>
      </c>
      <c r="D26" s="600"/>
      <c r="E26" s="668">
        <v>7</v>
      </c>
      <c r="F26" s="569" t="s">
        <v>107</v>
      </c>
      <c r="G26" s="569"/>
      <c r="H26" s="569"/>
      <c r="I26" s="569"/>
      <c r="J26" s="569"/>
      <c r="K26" s="637">
        <v>16000</v>
      </c>
      <c r="L26" s="542" t="e">
        <f>'통장내역(환율표)'!#REF!</f>
        <v>#REF!</v>
      </c>
      <c r="M26" s="766" t="e">
        <f>K26/L26</f>
        <v>#REF!</v>
      </c>
      <c r="N26" s="687">
        <f t="shared" si="7"/>
        <v>316214.84000000014</v>
      </c>
      <c r="O26" s="688" t="e">
        <f t="shared" si="8"/>
        <v>#REF!</v>
      </c>
      <c r="P26" s="689" t="s">
        <v>1298</v>
      </c>
      <c r="Q26" s="801"/>
      <c r="R26" s="808" t="s">
        <v>1310</v>
      </c>
      <c r="S26" s="883" t="e">
        <f t="shared" si="9"/>
        <v>#REF!</v>
      </c>
    </row>
    <row r="27" spans="1:19" ht="11.25" customHeight="1">
      <c r="B27" s="744">
        <v>45496</v>
      </c>
      <c r="C27" s="893" t="s">
        <v>886</v>
      </c>
      <c r="D27" s="893"/>
      <c r="E27" s="746">
        <v>7</v>
      </c>
      <c r="F27" s="747" t="s">
        <v>107</v>
      </c>
      <c r="G27" s="747"/>
      <c r="H27" s="747"/>
      <c r="I27" s="747"/>
      <c r="J27" s="747"/>
      <c r="K27" s="750" t="e">
        <f>L27*M27</f>
        <v>#REF!</v>
      </c>
      <c r="L27" s="751" t="e">
        <f>'통장내역(환율표)'!#REF!</f>
        <v>#REF!</v>
      </c>
      <c r="M27" s="766">
        <v>2427.54789124336</v>
      </c>
      <c r="N27" s="752" t="e">
        <f t="shared" si="7"/>
        <v>#REF!</v>
      </c>
      <c r="O27" s="753" t="e">
        <f t="shared" si="8"/>
        <v>#REF!</v>
      </c>
      <c r="P27" s="754" t="s">
        <v>1298</v>
      </c>
      <c r="Q27" s="800"/>
      <c r="R27" s="807"/>
      <c r="S27" s="886" t="e">
        <f t="shared" si="9"/>
        <v>#REF!</v>
      </c>
    </row>
    <row r="28" spans="1:19" ht="11.25" customHeight="1">
      <c r="B28" s="744">
        <v>45496</v>
      </c>
      <c r="C28" s="893" t="s">
        <v>886</v>
      </c>
      <c r="D28" s="893"/>
      <c r="E28" s="746">
        <v>7</v>
      </c>
      <c r="F28" s="747" t="s">
        <v>107</v>
      </c>
      <c r="G28" s="747"/>
      <c r="H28" s="747"/>
      <c r="I28" s="747"/>
      <c r="J28" s="747"/>
      <c r="K28" s="750" t="e">
        <f>24000-K27</f>
        <v>#REF!</v>
      </c>
      <c r="L28" s="751" t="e">
        <f>'통장내역(환율표)'!#REF!</f>
        <v>#REF!</v>
      </c>
      <c r="M28" s="617" t="e">
        <f t="shared" ref="M28:M59" si="10">K28/L28</f>
        <v>#REF!</v>
      </c>
      <c r="N28" s="752" t="e">
        <f t="shared" si="7"/>
        <v>#REF!</v>
      </c>
      <c r="O28" s="753" t="e">
        <f t="shared" si="8"/>
        <v>#REF!</v>
      </c>
      <c r="P28" s="754" t="s">
        <v>1319</v>
      </c>
      <c r="Q28" s="800"/>
      <c r="R28" s="807"/>
      <c r="S28" s="882" t="e">
        <f>41156-M28</f>
        <v>#REF!</v>
      </c>
    </row>
    <row r="29" spans="1:19" ht="11.25" customHeight="1">
      <c r="B29" s="568">
        <v>45496</v>
      </c>
      <c r="C29" s="600" t="s">
        <v>887</v>
      </c>
      <c r="D29" s="600"/>
      <c r="E29" s="668">
        <v>7</v>
      </c>
      <c r="F29" s="569" t="s">
        <v>107</v>
      </c>
      <c r="G29" s="569"/>
      <c r="H29" s="569"/>
      <c r="I29" s="569"/>
      <c r="J29" s="569"/>
      <c r="K29" s="637">
        <v>5145.1900000000005</v>
      </c>
      <c r="L29" s="542" t="e">
        <f>'통장내역(환율표)'!#REF!</f>
        <v>#REF!</v>
      </c>
      <c r="M29" s="617" t="e">
        <f t="shared" si="10"/>
        <v>#REF!</v>
      </c>
      <c r="N29" s="687" t="e">
        <f t="shared" si="7"/>
        <v>#REF!</v>
      </c>
      <c r="O29" s="688" t="e">
        <f t="shared" si="8"/>
        <v>#REF!</v>
      </c>
      <c r="P29" s="689" t="s">
        <v>1319</v>
      </c>
      <c r="Q29" s="801"/>
      <c r="R29" s="808"/>
      <c r="S29" s="882" t="e">
        <f>S28-M29+J29</f>
        <v>#REF!</v>
      </c>
    </row>
    <row r="30" spans="1:19" ht="11.25" customHeight="1">
      <c r="B30" s="568">
        <v>45496</v>
      </c>
      <c r="C30" s="600" t="s">
        <v>888</v>
      </c>
      <c r="D30" s="600"/>
      <c r="E30" s="668">
        <v>7</v>
      </c>
      <c r="F30" s="569" t="s">
        <v>107</v>
      </c>
      <c r="G30" s="569"/>
      <c r="H30" s="569"/>
      <c r="I30" s="569"/>
      <c r="J30" s="569"/>
      <c r="K30" s="637">
        <v>6673.6000000000022</v>
      </c>
      <c r="L30" s="542" t="e">
        <f>'통장내역(환율표)'!#REF!</f>
        <v>#REF!</v>
      </c>
      <c r="M30" s="617" t="e">
        <f t="shared" si="10"/>
        <v>#REF!</v>
      </c>
      <c r="N30" s="687" t="e">
        <f t="shared" si="7"/>
        <v>#REF!</v>
      </c>
      <c r="O30" s="688" t="e">
        <f t="shared" si="8"/>
        <v>#REF!</v>
      </c>
      <c r="P30" s="689" t="s">
        <v>1319</v>
      </c>
      <c r="Q30" s="801"/>
      <c r="R30" s="808"/>
      <c r="S30" s="882" t="e">
        <f t="shared" ref="S30:S93" si="11">S29-M30+J30</f>
        <v>#REF!</v>
      </c>
    </row>
    <row r="31" spans="1:19" ht="11.25" customHeight="1">
      <c r="B31" s="568">
        <v>45496</v>
      </c>
      <c r="C31" s="600" t="s">
        <v>889</v>
      </c>
      <c r="D31" s="600"/>
      <c r="E31" s="668">
        <v>7</v>
      </c>
      <c r="F31" s="569" t="s">
        <v>107</v>
      </c>
      <c r="G31" s="569"/>
      <c r="H31" s="569"/>
      <c r="I31" s="569"/>
      <c r="J31" s="569"/>
      <c r="K31" s="637">
        <v>300</v>
      </c>
      <c r="L31" s="542" t="e">
        <f>'통장내역(환율표)'!#REF!</f>
        <v>#REF!</v>
      </c>
      <c r="M31" s="617" t="e">
        <f t="shared" si="10"/>
        <v>#REF!</v>
      </c>
      <c r="N31" s="687" t="e">
        <f t="shared" si="7"/>
        <v>#REF!</v>
      </c>
      <c r="O31" s="688" t="e">
        <f t="shared" si="8"/>
        <v>#REF!</v>
      </c>
      <c r="P31" s="689" t="s">
        <v>1319</v>
      </c>
      <c r="Q31" s="801"/>
      <c r="R31" s="808"/>
      <c r="S31" s="882" t="e">
        <f t="shared" si="11"/>
        <v>#REF!</v>
      </c>
    </row>
    <row r="32" spans="1:19" ht="11.25" customHeight="1">
      <c r="B32" s="568">
        <v>45496</v>
      </c>
      <c r="C32" s="600" t="s">
        <v>885</v>
      </c>
      <c r="D32" s="600"/>
      <c r="E32" s="668">
        <v>7</v>
      </c>
      <c r="F32" s="569" t="s">
        <v>107</v>
      </c>
      <c r="G32" s="569"/>
      <c r="H32" s="569"/>
      <c r="I32" s="569"/>
      <c r="J32" s="569"/>
      <c r="K32" s="637">
        <v>15000</v>
      </c>
      <c r="L32" s="542" t="e">
        <f>'통장내역(환율표)'!#REF!</f>
        <v>#REF!</v>
      </c>
      <c r="M32" s="617" t="e">
        <f t="shared" si="10"/>
        <v>#REF!</v>
      </c>
      <c r="N32" s="687" t="e">
        <f t="shared" si="7"/>
        <v>#REF!</v>
      </c>
      <c r="O32" s="688" t="e">
        <f t="shared" si="8"/>
        <v>#REF!</v>
      </c>
      <c r="P32" s="689" t="s">
        <v>1319</v>
      </c>
      <c r="Q32" s="801"/>
      <c r="R32" s="808" t="s">
        <v>941</v>
      </c>
      <c r="S32" s="882" t="e">
        <f t="shared" si="11"/>
        <v>#REF!</v>
      </c>
    </row>
    <row r="33" spans="2:19" ht="11.25" customHeight="1">
      <c r="B33" s="568">
        <v>45496</v>
      </c>
      <c r="C33" s="600" t="s">
        <v>886</v>
      </c>
      <c r="D33" s="600"/>
      <c r="E33" s="668">
        <v>7</v>
      </c>
      <c r="F33" s="569" t="s">
        <v>107</v>
      </c>
      <c r="G33" s="569"/>
      <c r="H33" s="569"/>
      <c r="I33" s="569"/>
      <c r="J33" s="569"/>
      <c r="K33" s="637">
        <v>22000</v>
      </c>
      <c r="L33" s="542" t="e">
        <f>'통장내역(환율표)'!#REF!</f>
        <v>#REF!</v>
      </c>
      <c r="M33" s="617" t="e">
        <f t="shared" si="10"/>
        <v>#REF!</v>
      </c>
      <c r="N33" s="687" t="e">
        <f t="shared" si="7"/>
        <v>#REF!</v>
      </c>
      <c r="O33" s="688" t="e">
        <f t="shared" si="8"/>
        <v>#REF!</v>
      </c>
      <c r="P33" s="689" t="s">
        <v>1319</v>
      </c>
      <c r="Q33" s="801"/>
      <c r="R33" s="808"/>
      <c r="S33" s="882" t="e">
        <f t="shared" si="11"/>
        <v>#REF!</v>
      </c>
    </row>
    <row r="34" spans="2:19" ht="11.25" customHeight="1">
      <c r="B34" s="568">
        <v>45496</v>
      </c>
      <c r="C34" s="600" t="s">
        <v>887</v>
      </c>
      <c r="D34" s="600"/>
      <c r="E34" s="668">
        <v>7</v>
      </c>
      <c r="F34" s="569" t="s">
        <v>107</v>
      </c>
      <c r="G34" s="569"/>
      <c r="H34" s="569"/>
      <c r="I34" s="569"/>
      <c r="J34" s="569"/>
      <c r="K34" s="637">
        <v>8576.1899999999987</v>
      </c>
      <c r="L34" s="542" t="e">
        <f>'통장내역(환율표)'!#REF!</f>
        <v>#REF!</v>
      </c>
      <c r="M34" s="617" t="e">
        <f t="shared" si="10"/>
        <v>#REF!</v>
      </c>
      <c r="N34" s="687" t="e">
        <f t="shared" si="7"/>
        <v>#REF!</v>
      </c>
      <c r="O34" s="688" t="e">
        <f t="shared" si="8"/>
        <v>#REF!</v>
      </c>
      <c r="P34" s="689" t="s">
        <v>1319</v>
      </c>
      <c r="Q34" s="801"/>
      <c r="R34" s="809"/>
      <c r="S34" s="882" t="e">
        <f t="shared" si="11"/>
        <v>#REF!</v>
      </c>
    </row>
    <row r="35" spans="2:19" ht="11.25" customHeight="1">
      <c r="B35" s="568">
        <v>45496</v>
      </c>
      <c r="C35" s="600" t="s">
        <v>888</v>
      </c>
      <c r="D35" s="600"/>
      <c r="E35" s="668">
        <v>7</v>
      </c>
      <c r="F35" s="569" t="s">
        <v>107</v>
      </c>
      <c r="G35" s="569"/>
      <c r="H35" s="569"/>
      <c r="I35" s="569"/>
      <c r="J35" s="569"/>
      <c r="K35" s="637">
        <v>5734</v>
      </c>
      <c r="L35" s="542" t="e">
        <f>'통장내역(환율표)'!#REF!</f>
        <v>#REF!</v>
      </c>
      <c r="M35" s="617" t="e">
        <f t="shared" si="10"/>
        <v>#REF!</v>
      </c>
      <c r="N35" s="687" t="e">
        <f t="shared" si="7"/>
        <v>#REF!</v>
      </c>
      <c r="O35" s="688" t="e">
        <f t="shared" si="8"/>
        <v>#REF!</v>
      </c>
      <c r="P35" s="689" t="s">
        <v>1319</v>
      </c>
      <c r="Q35" s="801"/>
      <c r="R35" s="809"/>
      <c r="S35" s="882" t="e">
        <f t="shared" si="11"/>
        <v>#REF!</v>
      </c>
    </row>
    <row r="36" spans="2:19" ht="11.25" customHeight="1">
      <c r="B36" s="568">
        <v>45496</v>
      </c>
      <c r="C36" s="600" t="s">
        <v>889</v>
      </c>
      <c r="D36" s="600"/>
      <c r="E36" s="668">
        <v>7</v>
      </c>
      <c r="F36" s="569" t="s">
        <v>107</v>
      </c>
      <c r="G36" s="569"/>
      <c r="H36" s="571"/>
      <c r="I36" s="686"/>
      <c r="J36" s="572"/>
      <c r="K36" s="637">
        <v>300</v>
      </c>
      <c r="L36" s="542" t="e">
        <f>'통장내역(환율표)'!#REF!</f>
        <v>#REF!</v>
      </c>
      <c r="M36" s="617" t="e">
        <f t="shared" si="10"/>
        <v>#REF!</v>
      </c>
      <c r="N36" s="687" t="e">
        <f t="shared" si="7"/>
        <v>#REF!</v>
      </c>
      <c r="O36" s="688" t="e">
        <f t="shared" si="8"/>
        <v>#REF!</v>
      </c>
      <c r="P36" s="689" t="s">
        <v>1319</v>
      </c>
      <c r="Q36" s="801"/>
      <c r="R36" s="809"/>
      <c r="S36" s="879" t="e">
        <f t="shared" si="11"/>
        <v>#REF!</v>
      </c>
    </row>
    <row r="37" spans="2:19" ht="11.25" customHeight="1">
      <c r="B37" s="568">
        <v>45496</v>
      </c>
      <c r="C37" s="600" t="s">
        <v>890</v>
      </c>
      <c r="D37" s="600"/>
      <c r="E37" s="668">
        <v>7</v>
      </c>
      <c r="F37" s="569" t="s">
        <v>107</v>
      </c>
      <c r="G37" s="569"/>
      <c r="H37" s="571"/>
      <c r="I37" s="686"/>
      <c r="J37" s="572"/>
      <c r="K37" s="637">
        <v>28000</v>
      </c>
      <c r="L37" s="542" t="e">
        <f>'통장내역(환율표)'!#REF!</f>
        <v>#REF!</v>
      </c>
      <c r="M37" s="617" t="e">
        <f t="shared" si="10"/>
        <v>#REF!</v>
      </c>
      <c r="N37" s="687" t="e">
        <f t="shared" si="7"/>
        <v>#REF!</v>
      </c>
      <c r="O37" s="688" t="e">
        <f t="shared" si="8"/>
        <v>#REF!</v>
      </c>
      <c r="P37" s="689" t="s">
        <v>1319</v>
      </c>
      <c r="Q37" s="801"/>
      <c r="R37" s="809" t="s">
        <v>942</v>
      </c>
      <c r="S37" s="879" t="e">
        <f t="shared" si="11"/>
        <v>#REF!</v>
      </c>
    </row>
    <row r="38" spans="2:19" ht="11.25" customHeight="1">
      <c r="B38" s="568">
        <v>45496</v>
      </c>
      <c r="C38" s="600" t="s">
        <v>1306</v>
      </c>
      <c r="D38" s="600"/>
      <c r="E38" s="668">
        <v>7</v>
      </c>
      <c r="F38" s="569" t="s">
        <v>107</v>
      </c>
      <c r="G38" s="569"/>
      <c r="H38" s="571"/>
      <c r="I38" s="686"/>
      <c r="J38" s="572"/>
      <c r="K38" s="637">
        <v>13250</v>
      </c>
      <c r="L38" s="542" t="e">
        <f>'통장내역(환율표)'!#REF!</f>
        <v>#REF!</v>
      </c>
      <c r="M38" s="617" t="e">
        <f t="shared" si="10"/>
        <v>#REF!</v>
      </c>
      <c r="N38" s="687" t="e">
        <f t="shared" si="7"/>
        <v>#REF!</v>
      </c>
      <c r="O38" s="688" t="e">
        <f t="shared" si="8"/>
        <v>#REF!</v>
      </c>
      <c r="P38" s="689" t="s">
        <v>1319</v>
      </c>
      <c r="Q38" s="801"/>
      <c r="R38" s="809"/>
      <c r="S38" s="879" t="e">
        <f t="shared" si="11"/>
        <v>#REF!</v>
      </c>
    </row>
    <row r="39" spans="2:19" ht="11.25" customHeight="1">
      <c r="B39" s="568">
        <v>45496</v>
      </c>
      <c r="C39" s="600" t="s">
        <v>1307</v>
      </c>
      <c r="D39" s="600"/>
      <c r="E39" s="668">
        <v>7</v>
      </c>
      <c r="F39" s="569" t="s">
        <v>107</v>
      </c>
      <c r="G39" s="569"/>
      <c r="H39" s="571"/>
      <c r="I39" s="686"/>
      <c r="J39" s="572"/>
      <c r="K39" s="637">
        <v>7173.94</v>
      </c>
      <c r="L39" s="542" t="e">
        <f>'통장내역(환율표)'!#REF!</f>
        <v>#REF!</v>
      </c>
      <c r="M39" s="617" t="e">
        <f t="shared" si="10"/>
        <v>#REF!</v>
      </c>
      <c r="N39" s="687" t="e">
        <f t="shared" si="7"/>
        <v>#REF!</v>
      </c>
      <c r="O39" s="688" t="e">
        <f t="shared" si="8"/>
        <v>#REF!</v>
      </c>
      <c r="P39" s="689" t="s">
        <v>1319</v>
      </c>
      <c r="Q39" s="801"/>
      <c r="R39" s="809"/>
      <c r="S39" s="879" t="e">
        <f t="shared" si="11"/>
        <v>#REF!</v>
      </c>
    </row>
    <row r="40" spans="2:19" ht="11.25" customHeight="1">
      <c r="B40" s="568">
        <v>45496</v>
      </c>
      <c r="C40" s="600" t="s">
        <v>889</v>
      </c>
      <c r="D40" s="600"/>
      <c r="E40" s="668">
        <v>7</v>
      </c>
      <c r="F40" s="569" t="s">
        <v>107</v>
      </c>
      <c r="G40" s="569"/>
      <c r="H40" s="571"/>
      <c r="I40" s="686"/>
      <c r="J40" s="572"/>
      <c r="K40" s="637">
        <v>300</v>
      </c>
      <c r="L40" s="542" t="e">
        <f>'통장내역(환율표)'!#REF!</f>
        <v>#REF!</v>
      </c>
      <c r="M40" s="617" t="e">
        <f t="shared" si="10"/>
        <v>#REF!</v>
      </c>
      <c r="N40" s="687" t="e">
        <f t="shared" si="7"/>
        <v>#REF!</v>
      </c>
      <c r="O40" s="688" t="e">
        <f t="shared" si="8"/>
        <v>#REF!</v>
      </c>
      <c r="P40" s="689" t="s">
        <v>1319</v>
      </c>
      <c r="Q40" s="801"/>
      <c r="R40" s="809"/>
      <c r="S40" s="879" t="e">
        <f t="shared" si="11"/>
        <v>#REF!</v>
      </c>
    </row>
    <row r="41" spans="2:19" ht="11.25" customHeight="1">
      <c r="B41" s="568">
        <v>45496</v>
      </c>
      <c r="C41" s="600" t="s">
        <v>1308</v>
      </c>
      <c r="D41" s="600"/>
      <c r="E41" s="668">
        <v>7</v>
      </c>
      <c r="F41" s="569" t="s">
        <v>107</v>
      </c>
      <c r="G41" s="569"/>
      <c r="H41" s="571"/>
      <c r="I41" s="686"/>
      <c r="J41" s="572"/>
      <c r="K41" s="637">
        <v>1300</v>
      </c>
      <c r="L41" s="542" t="e">
        <f>'통장내역(환율표)'!#REF!</f>
        <v>#REF!</v>
      </c>
      <c r="M41" s="617" t="e">
        <f t="shared" si="10"/>
        <v>#REF!</v>
      </c>
      <c r="N41" s="687" t="e">
        <f t="shared" si="7"/>
        <v>#REF!</v>
      </c>
      <c r="O41" s="688" t="e">
        <f t="shared" si="8"/>
        <v>#REF!</v>
      </c>
      <c r="P41" s="689" t="s">
        <v>1319</v>
      </c>
      <c r="Q41" s="801"/>
      <c r="R41" s="809"/>
      <c r="S41" s="879" t="e">
        <f t="shared" si="11"/>
        <v>#REF!</v>
      </c>
    </row>
    <row r="42" spans="2:19" ht="11.25" customHeight="1">
      <c r="B42" s="568">
        <v>45496</v>
      </c>
      <c r="C42" s="600" t="s">
        <v>890</v>
      </c>
      <c r="D42" s="600"/>
      <c r="E42" s="668">
        <v>7</v>
      </c>
      <c r="F42" s="569" t="s">
        <v>107</v>
      </c>
      <c r="G42" s="569"/>
      <c r="H42" s="571"/>
      <c r="I42" s="686"/>
      <c r="J42" s="572"/>
      <c r="K42" s="637">
        <v>14560</v>
      </c>
      <c r="L42" s="542" t="e">
        <f>'통장내역(환율표)'!#REF!</f>
        <v>#REF!</v>
      </c>
      <c r="M42" s="617" t="e">
        <f t="shared" si="10"/>
        <v>#REF!</v>
      </c>
      <c r="N42" s="687" t="e">
        <f t="shared" si="7"/>
        <v>#REF!</v>
      </c>
      <c r="O42" s="688" t="e">
        <f t="shared" si="8"/>
        <v>#REF!</v>
      </c>
      <c r="P42" s="689" t="s">
        <v>1319</v>
      </c>
      <c r="Q42" s="801"/>
      <c r="R42" s="809" t="s">
        <v>1311</v>
      </c>
      <c r="S42" s="879" t="e">
        <f t="shared" si="11"/>
        <v>#REF!</v>
      </c>
    </row>
    <row r="43" spans="2:19" ht="11.25" customHeight="1">
      <c r="B43" s="568">
        <v>45496</v>
      </c>
      <c r="C43" s="600" t="s">
        <v>1306</v>
      </c>
      <c r="D43" s="600"/>
      <c r="E43" s="668">
        <v>7</v>
      </c>
      <c r="F43" s="569" t="s">
        <v>107</v>
      </c>
      <c r="G43" s="569"/>
      <c r="H43" s="571"/>
      <c r="I43" s="686"/>
      <c r="J43" s="572"/>
      <c r="K43" s="637">
        <v>4240</v>
      </c>
      <c r="L43" s="542" t="e">
        <f>'통장내역(환율표)'!#REF!</f>
        <v>#REF!</v>
      </c>
      <c r="M43" s="617" t="e">
        <f t="shared" si="10"/>
        <v>#REF!</v>
      </c>
      <c r="N43" s="687" t="e">
        <f t="shared" si="7"/>
        <v>#REF!</v>
      </c>
      <c r="O43" s="688" t="e">
        <f t="shared" si="8"/>
        <v>#REF!</v>
      </c>
      <c r="P43" s="689" t="s">
        <v>1319</v>
      </c>
      <c r="Q43" s="801"/>
      <c r="R43" s="809"/>
      <c r="S43" s="879" t="e">
        <f t="shared" si="11"/>
        <v>#REF!</v>
      </c>
    </row>
    <row r="44" spans="2:19" ht="11.25" customHeight="1">
      <c r="B44" s="568">
        <v>45496</v>
      </c>
      <c r="C44" s="600" t="s">
        <v>1309</v>
      </c>
      <c r="D44" s="600"/>
      <c r="E44" s="668">
        <v>7</v>
      </c>
      <c r="F44" s="569" t="s">
        <v>107</v>
      </c>
      <c r="G44" s="569"/>
      <c r="H44" s="571"/>
      <c r="I44" s="686"/>
      <c r="J44" s="572"/>
      <c r="K44" s="637">
        <v>3147.67</v>
      </c>
      <c r="L44" s="542" t="e">
        <f>'통장내역(환율표)'!#REF!</f>
        <v>#REF!</v>
      </c>
      <c r="M44" s="617" t="e">
        <f t="shared" si="10"/>
        <v>#REF!</v>
      </c>
      <c r="N44" s="687" t="e">
        <f t="shared" si="7"/>
        <v>#REF!</v>
      </c>
      <c r="O44" s="688" t="e">
        <f t="shared" si="8"/>
        <v>#REF!</v>
      </c>
      <c r="P44" s="689" t="s">
        <v>1319</v>
      </c>
      <c r="Q44" s="801"/>
      <c r="R44" s="809"/>
      <c r="S44" s="879" t="e">
        <f t="shared" si="11"/>
        <v>#REF!</v>
      </c>
    </row>
    <row r="45" spans="2:19" ht="11.25" customHeight="1">
      <c r="B45" s="568">
        <v>45496</v>
      </c>
      <c r="C45" s="600" t="s">
        <v>889</v>
      </c>
      <c r="D45" s="600"/>
      <c r="E45" s="668">
        <v>7</v>
      </c>
      <c r="F45" s="569" t="s">
        <v>107</v>
      </c>
      <c r="G45" s="569"/>
      <c r="H45" s="571"/>
      <c r="I45" s="686"/>
      <c r="J45" s="572"/>
      <c r="K45" s="637">
        <v>300</v>
      </c>
      <c r="L45" s="542" t="e">
        <f>'통장내역(환율표)'!#REF!</f>
        <v>#REF!</v>
      </c>
      <c r="M45" s="617" t="e">
        <f t="shared" si="10"/>
        <v>#REF!</v>
      </c>
      <c r="N45" s="687" t="e">
        <f t="shared" si="7"/>
        <v>#REF!</v>
      </c>
      <c r="O45" s="688" t="e">
        <f t="shared" si="8"/>
        <v>#REF!</v>
      </c>
      <c r="P45" s="689" t="s">
        <v>1319</v>
      </c>
      <c r="Q45" s="801"/>
      <c r="R45" s="809"/>
      <c r="S45" s="879" t="e">
        <f t="shared" si="11"/>
        <v>#REF!</v>
      </c>
    </row>
    <row r="46" spans="2:19" ht="11.25" customHeight="1">
      <c r="B46" s="568">
        <v>45496</v>
      </c>
      <c r="C46" s="600" t="s">
        <v>1308</v>
      </c>
      <c r="D46" s="600"/>
      <c r="E46" s="668">
        <v>7</v>
      </c>
      <c r="F46" s="569" t="s">
        <v>107</v>
      </c>
      <c r="G46" s="569"/>
      <c r="H46" s="571"/>
      <c r="I46" s="686"/>
      <c r="J46" s="572"/>
      <c r="K46" s="637">
        <v>200</v>
      </c>
      <c r="L46" s="542" t="e">
        <f>'통장내역(환율표)'!#REF!</f>
        <v>#REF!</v>
      </c>
      <c r="M46" s="617" t="e">
        <f t="shared" si="10"/>
        <v>#REF!</v>
      </c>
      <c r="N46" s="687" t="e">
        <f t="shared" si="7"/>
        <v>#REF!</v>
      </c>
      <c r="O46" s="688" t="e">
        <f t="shared" si="8"/>
        <v>#REF!</v>
      </c>
      <c r="P46" s="689" t="s">
        <v>1319</v>
      </c>
      <c r="Q46" s="801"/>
      <c r="R46" s="809"/>
      <c r="S46" s="879" t="e">
        <f t="shared" si="11"/>
        <v>#REF!</v>
      </c>
    </row>
    <row r="47" spans="2:19" ht="11.25" customHeight="1">
      <c r="B47" s="568">
        <v>45496</v>
      </c>
      <c r="C47" s="600" t="s">
        <v>890</v>
      </c>
      <c r="D47" s="600"/>
      <c r="E47" s="668">
        <v>7</v>
      </c>
      <c r="F47" s="569" t="s">
        <v>107</v>
      </c>
      <c r="G47" s="569"/>
      <c r="H47" s="571"/>
      <c r="I47" s="686"/>
      <c r="J47" s="572"/>
      <c r="K47" s="637">
        <v>28000</v>
      </c>
      <c r="L47" s="542" t="e">
        <f>'통장내역(환율표)'!#REF!</f>
        <v>#REF!</v>
      </c>
      <c r="M47" s="617" t="e">
        <f t="shared" si="10"/>
        <v>#REF!</v>
      </c>
      <c r="N47" s="687" t="e">
        <f t="shared" si="7"/>
        <v>#REF!</v>
      </c>
      <c r="O47" s="688" t="e">
        <f t="shared" si="8"/>
        <v>#REF!</v>
      </c>
      <c r="P47" s="689" t="s">
        <v>1319</v>
      </c>
      <c r="Q47" s="801"/>
      <c r="R47" s="809" t="s">
        <v>1312</v>
      </c>
      <c r="S47" s="879" t="e">
        <f t="shared" si="11"/>
        <v>#REF!</v>
      </c>
    </row>
    <row r="48" spans="2:19" ht="11.25" customHeight="1">
      <c r="B48" s="568">
        <v>45496</v>
      </c>
      <c r="C48" s="600" t="s">
        <v>1306</v>
      </c>
      <c r="D48" s="600"/>
      <c r="E48" s="668">
        <v>7</v>
      </c>
      <c r="F48" s="569" t="s">
        <v>107</v>
      </c>
      <c r="G48" s="569"/>
      <c r="H48" s="571"/>
      <c r="I48" s="686"/>
      <c r="J48" s="572"/>
      <c r="K48" s="637">
        <v>10600</v>
      </c>
      <c r="L48" s="542" t="e">
        <f>'통장내역(환율표)'!#REF!</f>
        <v>#REF!</v>
      </c>
      <c r="M48" s="617" t="e">
        <f t="shared" si="10"/>
        <v>#REF!</v>
      </c>
      <c r="N48" s="687" t="e">
        <f t="shared" si="7"/>
        <v>#REF!</v>
      </c>
      <c r="O48" s="688" t="e">
        <f t="shared" si="8"/>
        <v>#REF!</v>
      </c>
      <c r="P48" s="689" t="s">
        <v>1319</v>
      </c>
      <c r="Q48" s="801"/>
      <c r="R48" s="809"/>
      <c r="S48" s="879" t="e">
        <f t="shared" si="11"/>
        <v>#REF!</v>
      </c>
    </row>
    <row r="49" spans="2:19" ht="11.25" customHeight="1">
      <c r="B49" s="568">
        <v>45496</v>
      </c>
      <c r="C49" s="600" t="s">
        <v>1309</v>
      </c>
      <c r="D49" s="600"/>
      <c r="E49" s="668">
        <v>7</v>
      </c>
      <c r="F49" s="569" t="s">
        <v>107</v>
      </c>
      <c r="G49" s="569"/>
      <c r="H49" s="571"/>
      <c r="I49" s="686"/>
      <c r="J49" s="572"/>
      <c r="K49" s="637">
        <v>7173.94</v>
      </c>
      <c r="L49" s="542" t="e">
        <f>'통장내역(환율표)'!#REF!</f>
        <v>#REF!</v>
      </c>
      <c r="M49" s="617" t="e">
        <f t="shared" si="10"/>
        <v>#REF!</v>
      </c>
      <c r="N49" s="687" t="e">
        <f t="shared" si="7"/>
        <v>#REF!</v>
      </c>
      <c r="O49" s="688" t="e">
        <f t="shared" si="8"/>
        <v>#REF!</v>
      </c>
      <c r="P49" s="689" t="s">
        <v>1319</v>
      </c>
      <c r="Q49" s="801"/>
      <c r="R49" s="809"/>
      <c r="S49" s="879" t="e">
        <f t="shared" si="11"/>
        <v>#REF!</v>
      </c>
    </row>
    <row r="50" spans="2:19" ht="11.25" customHeight="1">
      <c r="B50" s="568">
        <v>45496</v>
      </c>
      <c r="C50" s="600" t="s">
        <v>889</v>
      </c>
      <c r="D50" s="600"/>
      <c r="E50" s="668">
        <v>7</v>
      </c>
      <c r="F50" s="569" t="s">
        <v>107</v>
      </c>
      <c r="G50" s="569"/>
      <c r="H50" s="571"/>
      <c r="I50" s="686"/>
      <c r="J50" s="572"/>
      <c r="K50" s="637">
        <v>300</v>
      </c>
      <c r="L50" s="542" t="e">
        <f>'통장내역(환율표)'!#REF!</f>
        <v>#REF!</v>
      </c>
      <c r="M50" s="617" t="e">
        <f t="shared" si="10"/>
        <v>#REF!</v>
      </c>
      <c r="N50" s="687" t="e">
        <f t="shared" si="7"/>
        <v>#REF!</v>
      </c>
      <c r="O50" s="688" t="e">
        <f t="shared" si="8"/>
        <v>#REF!</v>
      </c>
      <c r="P50" s="689" t="s">
        <v>1319</v>
      </c>
      <c r="Q50" s="801"/>
      <c r="R50" s="809"/>
      <c r="S50" s="879" t="e">
        <f t="shared" si="11"/>
        <v>#REF!</v>
      </c>
    </row>
    <row r="51" spans="2:19" ht="11.25" customHeight="1">
      <c r="B51" s="568">
        <v>45496</v>
      </c>
      <c r="C51" s="600" t="s">
        <v>250</v>
      </c>
      <c r="D51" s="600"/>
      <c r="E51" s="668">
        <v>8</v>
      </c>
      <c r="F51" s="569" t="s">
        <v>107</v>
      </c>
      <c r="G51" s="569"/>
      <c r="H51" s="571"/>
      <c r="I51" s="686"/>
      <c r="J51" s="572"/>
      <c r="K51" s="637">
        <v>12</v>
      </c>
      <c r="L51" s="542" t="e">
        <f>'통장내역(환율표)'!#REF!</f>
        <v>#REF!</v>
      </c>
      <c r="M51" s="617" t="e">
        <f t="shared" si="10"/>
        <v>#REF!</v>
      </c>
      <c r="N51" s="687" t="e">
        <f t="shared" ref="N51:N82" si="12">N50+H51-K51</f>
        <v>#REF!</v>
      </c>
      <c r="O51" s="688" t="e">
        <f t="shared" si="8"/>
        <v>#REF!</v>
      </c>
      <c r="P51" s="689" t="s">
        <v>1319</v>
      </c>
      <c r="Q51" s="803"/>
      <c r="R51" s="809"/>
      <c r="S51" s="879" t="e">
        <f t="shared" si="11"/>
        <v>#REF!</v>
      </c>
    </row>
    <row r="52" spans="2:19" ht="11.25" customHeight="1">
      <c r="B52" s="568">
        <v>45496</v>
      </c>
      <c r="C52" s="600" t="s">
        <v>352</v>
      </c>
      <c r="D52" s="600"/>
      <c r="E52" s="668">
        <v>9</v>
      </c>
      <c r="F52" s="569" t="s">
        <v>107</v>
      </c>
      <c r="G52" s="569"/>
      <c r="H52" s="571"/>
      <c r="I52" s="686"/>
      <c r="J52" s="572"/>
      <c r="K52" s="637">
        <v>1010</v>
      </c>
      <c r="L52" s="542" t="e">
        <f>'통장내역(환율표)'!#REF!</f>
        <v>#REF!</v>
      </c>
      <c r="M52" s="617" t="e">
        <f t="shared" si="10"/>
        <v>#REF!</v>
      </c>
      <c r="N52" s="687" t="e">
        <f t="shared" si="12"/>
        <v>#REF!</v>
      </c>
      <c r="O52" s="688" t="e">
        <f t="shared" si="8"/>
        <v>#REF!</v>
      </c>
      <c r="P52" s="689" t="s">
        <v>1319</v>
      </c>
      <c r="Q52" s="803"/>
      <c r="R52" s="809"/>
      <c r="S52" s="879" t="e">
        <f t="shared" si="11"/>
        <v>#REF!</v>
      </c>
    </row>
    <row r="53" spans="2:19" ht="11.25" customHeight="1">
      <c r="B53" s="568">
        <v>45496</v>
      </c>
      <c r="C53" s="600" t="s">
        <v>250</v>
      </c>
      <c r="D53" s="600"/>
      <c r="E53" s="668">
        <v>10</v>
      </c>
      <c r="F53" s="569" t="s">
        <v>107</v>
      </c>
      <c r="G53" s="569"/>
      <c r="H53" s="571"/>
      <c r="I53" s="686"/>
      <c r="J53" s="572"/>
      <c r="K53" s="637">
        <v>3.6</v>
      </c>
      <c r="L53" s="542" t="e">
        <f>'통장내역(환율표)'!#REF!</f>
        <v>#REF!</v>
      </c>
      <c r="M53" s="617" t="e">
        <f t="shared" si="10"/>
        <v>#REF!</v>
      </c>
      <c r="N53" s="687" t="e">
        <f t="shared" si="12"/>
        <v>#REF!</v>
      </c>
      <c r="O53" s="688" t="e">
        <f t="shared" si="8"/>
        <v>#REF!</v>
      </c>
      <c r="P53" s="689" t="s">
        <v>1319</v>
      </c>
      <c r="Q53" s="803"/>
      <c r="R53" s="809"/>
      <c r="S53" s="879" t="e">
        <f t="shared" si="11"/>
        <v>#REF!</v>
      </c>
    </row>
    <row r="54" spans="2:19" ht="11.25" customHeight="1">
      <c r="B54" s="568">
        <v>45496</v>
      </c>
      <c r="C54" s="600" t="s">
        <v>305</v>
      </c>
      <c r="D54" s="600"/>
      <c r="E54" s="668">
        <v>11</v>
      </c>
      <c r="F54" s="569" t="s">
        <v>105</v>
      </c>
      <c r="G54" s="569" t="s">
        <v>227</v>
      </c>
      <c r="H54" s="571"/>
      <c r="I54" s="686"/>
      <c r="J54" s="572"/>
      <c r="K54" s="637">
        <v>10500</v>
      </c>
      <c r="L54" s="542" t="e">
        <f>'통장내역(환율표)'!#REF!</f>
        <v>#REF!</v>
      </c>
      <c r="M54" s="617" t="e">
        <f t="shared" si="10"/>
        <v>#REF!</v>
      </c>
      <c r="N54" s="687" t="e">
        <f t="shared" si="12"/>
        <v>#REF!</v>
      </c>
      <c r="O54" s="688" t="e">
        <f t="shared" si="8"/>
        <v>#REF!</v>
      </c>
      <c r="P54" s="689" t="s">
        <v>1319</v>
      </c>
      <c r="Q54" s="801"/>
      <c r="R54" s="809"/>
      <c r="S54" s="879" t="e">
        <f t="shared" si="11"/>
        <v>#REF!</v>
      </c>
    </row>
    <row r="55" spans="2:19" ht="11.25" customHeight="1">
      <c r="B55" s="568">
        <v>45496</v>
      </c>
      <c r="C55" s="600" t="s">
        <v>1107</v>
      </c>
      <c r="D55" s="600"/>
      <c r="E55" s="668">
        <v>12</v>
      </c>
      <c r="F55" s="569" t="s">
        <v>107</v>
      </c>
      <c r="G55" s="569"/>
      <c r="H55" s="571"/>
      <c r="I55" s="686"/>
      <c r="J55" s="572"/>
      <c r="K55" s="637">
        <v>6000</v>
      </c>
      <c r="L55" s="542" t="e">
        <f>'통장내역(환율표)'!#REF!</f>
        <v>#REF!</v>
      </c>
      <c r="M55" s="617" t="e">
        <f t="shared" si="10"/>
        <v>#REF!</v>
      </c>
      <c r="N55" s="687" t="e">
        <f t="shared" si="12"/>
        <v>#REF!</v>
      </c>
      <c r="O55" s="688" t="e">
        <f t="shared" si="8"/>
        <v>#REF!</v>
      </c>
      <c r="P55" s="689" t="s">
        <v>1319</v>
      </c>
      <c r="Q55" s="803"/>
      <c r="R55" s="809"/>
      <c r="S55" s="879" t="e">
        <f t="shared" si="11"/>
        <v>#REF!</v>
      </c>
    </row>
    <row r="56" spans="2:19" ht="11.25" customHeight="1">
      <c r="B56" s="568">
        <v>45496</v>
      </c>
      <c r="C56" s="600" t="s">
        <v>1108</v>
      </c>
      <c r="D56" s="600"/>
      <c r="E56" s="668">
        <v>13</v>
      </c>
      <c r="F56" s="569" t="s">
        <v>107</v>
      </c>
      <c r="G56" s="569"/>
      <c r="H56" s="571"/>
      <c r="I56" s="686"/>
      <c r="J56" s="572"/>
      <c r="K56" s="637">
        <v>120</v>
      </c>
      <c r="L56" s="542" t="e">
        <f>'통장내역(환율표)'!#REF!</f>
        <v>#REF!</v>
      </c>
      <c r="M56" s="617" t="e">
        <f t="shared" si="10"/>
        <v>#REF!</v>
      </c>
      <c r="N56" s="687" t="e">
        <f t="shared" si="12"/>
        <v>#REF!</v>
      </c>
      <c r="O56" s="688" t="e">
        <f t="shared" si="8"/>
        <v>#REF!</v>
      </c>
      <c r="P56" s="689" t="s">
        <v>1319</v>
      </c>
      <c r="Q56" s="803"/>
      <c r="R56" s="809"/>
      <c r="S56" s="879" t="e">
        <f t="shared" si="11"/>
        <v>#REF!</v>
      </c>
    </row>
    <row r="57" spans="2:19" ht="11.25" customHeight="1">
      <c r="B57" s="568">
        <v>45496</v>
      </c>
      <c r="C57" s="600" t="s">
        <v>305</v>
      </c>
      <c r="D57" s="600"/>
      <c r="E57" s="668">
        <v>14</v>
      </c>
      <c r="F57" s="569" t="s">
        <v>105</v>
      </c>
      <c r="G57" s="569" t="s">
        <v>227</v>
      </c>
      <c r="H57" s="571"/>
      <c r="I57" s="686"/>
      <c r="J57" s="572"/>
      <c r="K57" s="637">
        <v>7000</v>
      </c>
      <c r="L57" s="542" t="e">
        <f>'통장내역(환율표)'!#REF!</f>
        <v>#REF!</v>
      </c>
      <c r="M57" s="617" t="e">
        <f t="shared" si="10"/>
        <v>#REF!</v>
      </c>
      <c r="N57" s="687" t="e">
        <f t="shared" si="12"/>
        <v>#REF!</v>
      </c>
      <c r="O57" s="688" t="e">
        <f t="shared" si="8"/>
        <v>#REF!</v>
      </c>
      <c r="P57" s="689" t="s">
        <v>1319</v>
      </c>
      <c r="Q57" s="803"/>
      <c r="R57" s="809"/>
      <c r="S57" s="879" t="e">
        <f t="shared" si="11"/>
        <v>#REF!</v>
      </c>
    </row>
    <row r="58" spans="2:19" ht="11.25" customHeight="1">
      <c r="B58" s="568">
        <v>45496</v>
      </c>
      <c r="C58" s="600" t="s">
        <v>1107</v>
      </c>
      <c r="D58" s="600"/>
      <c r="E58" s="668">
        <v>15</v>
      </c>
      <c r="F58" s="569" t="s">
        <v>107</v>
      </c>
      <c r="G58" s="569"/>
      <c r="H58" s="571"/>
      <c r="I58" s="686"/>
      <c r="J58" s="572"/>
      <c r="K58" s="637">
        <v>6000</v>
      </c>
      <c r="L58" s="542" t="e">
        <f>'통장내역(환율표)'!#REF!</f>
        <v>#REF!</v>
      </c>
      <c r="M58" s="617" t="e">
        <f t="shared" si="10"/>
        <v>#REF!</v>
      </c>
      <c r="N58" s="687" t="e">
        <f t="shared" si="12"/>
        <v>#REF!</v>
      </c>
      <c r="O58" s="688" t="e">
        <f t="shared" si="8"/>
        <v>#REF!</v>
      </c>
      <c r="P58" s="689" t="s">
        <v>1319</v>
      </c>
      <c r="Q58" s="803"/>
      <c r="R58" s="809"/>
      <c r="S58" s="879" t="e">
        <f t="shared" si="11"/>
        <v>#REF!</v>
      </c>
    </row>
    <row r="59" spans="2:19" ht="11.25" customHeight="1">
      <c r="B59" s="568">
        <v>45496</v>
      </c>
      <c r="C59" s="600" t="s">
        <v>1108</v>
      </c>
      <c r="D59" s="600"/>
      <c r="E59" s="668">
        <v>16</v>
      </c>
      <c r="F59" s="569" t="s">
        <v>107</v>
      </c>
      <c r="G59" s="569"/>
      <c r="H59" s="571"/>
      <c r="I59" s="686"/>
      <c r="J59" s="572"/>
      <c r="K59" s="637">
        <v>540</v>
      </c>
      <c r="L59" s="542" t="e">
        <f>'통장내역(환율표)'!#REF!</f>
        <v>#REF!</v>
      </c>
      <c r="M59" s="617" t="e">
        <f t="shared" si="10"/>
        <v>#REF!</v>
      </c>
      <c r="N59" s="687" t="e">
        <f t="shared" si="12"/>
        <v>#REF!</v>
      </c>
      <c r="O59" s="688" t="e">
        <f t="shared" si="8"/>
        <v>#REF!</v>
      </c>
      <c r="P59" s="689" t="s">
        <v>1319</v>
      </c>
      <c r="Q59" s="803"/>
      <c r="R59" s="809"/>
      <c r="S59" s="879" t="e">
        <f t="shared" si="11"/>
        <v>#REF!</v>
      </c>
    </row>
    <row r="60" spans="2:19" ht="11.25" customHeight="1">
      <c r="B60" s="568">
        <v>45496</v>
      </c>
      <c r="C60" s="600" t="s">
        <v>445</v>
      </c>
      <c r="D60" s="600"/>
      <c r="E60" s="668">
        <v>17</v>
      </c>
      <c r="F60" s="569" t="s">
        <v>107</v>
      </c>
      <c r="G60" s="569"/>
      <c r="H60" s="571"/>
      <c r="I60" s="686"/>
      <c r="J60" s="572"/>
      <c r="K60" s="637">
        <v>7.2</v>
      </c>
      <c r="L60" s="542" t="e">
        <f>'통장내역(환율표)'!#REF!</f>
        <v>#REF!</v>
      </c>
      <c r="M60" s="617" t="e">
        <f t="shared" ref="M60:M89" si="13">K60/L60</f>
        <v>#REF!</v>
      </c>
      <c r="N60" s="687" t="e">
        <f t="shared" si="12"/>
        <v>#REF!</v>
      </c>
      <c r="O60" s="688" t="e">
        <f t="shared" si="8"/>
        <v>#REF!</v>
      </c>
      <c r="P60" s="689" t="s">
        <v>1319</v>
      </c>
      <c r="Q60" s="803"/>
      <c r="R60" s="809"/>
      <c r="S60" s="879" t="e">
        <f t="shared" si="11"/>
        <v>#REF!</v>
      </c>
    </row>
    <row r="61" spans="2:19" ht="11.25" customHeight="1">
      <c r="B61" s="568">
        <v>45496</v>
      </c>
      <c r="C61" s="600" t="s">
        <v>997</v>
      </c>
      <c r="D61" s="600"/>
      <c r="E61" s="668">
        <v>18</v>
      </c>
      <c r="F61" s="569" t="s">
        <v>146</v>
      </c>
      <c r="G61" s="569" t="s">
        <v>147</v>
      </c>
      <c r="H61" s="571"/>
      <c r="I61" s="686"/>
      <c r="J61" s="572"/>
      <c r="K61" s="637">
        <v>336.4</v>
      </c>
      <c r="L61" s="542" t="e">
        <f>'통장내역(환율표)'!#REF!</f>
        <v>#REF!</v>
      </c>
      <c r="M61" s="617" t="e">
        <f t="shared" si="13"/>
        <v>#REF!</v>
      </c>
      <c r="N61" s="687" t="e">
        <f t="shared" si="12"/>
        <v>#REF!</v>
      </c>
      <c r="O61" s="688" t="e">
        <f t="shared" si="8"/>
        <v>#REF!</v>
      </c>
      <c r="P61" s="689" t="s">
        <v>1319</v>
      </c>
      <c r="Q61" s="803"/>
      <c r="R61" s="809"/>
      <c r="S61" s="879" t="e">
        <f t="shared" si="11"/>
        <v>#REF!</v>
      </c>
    </row>
    <row r="62" spans="2:19" ht="11.25" customHeight="1">
      <c r="B62" s="568">
        <v>45496</v>
      </c>
      <c r="C62" s="600" t="s">
        <v>998</v>
      </c>
      <c r="D62" s="600"/>
      <c r="E62" s="668">
        <v>19</v>
      </c>
      <c r="F62" s="569" t="s">
        <v>146</v>
      </c>
      <c r="G62" s="569" t="s">
        <v>147</v>
      </c>
      <c r="H62" s="571"/>
      <c r="I62" s="686"/>
      <c r="J62" s="572"/>
      <c r="K62" s="637">
        <v>691</v>
      </c>
      <c r="L62" s="542" t="e">
        <f>'통장내역(환율표)'!#REF!</f>
        <v>#REF!</v>
      </c>
      <c r="M62" s="617" t="e">
        <f t="shared" si="13"/>
        <v>#REF!</v>
      </c>
      <c r="N62" s="687" t="e">
        <f t="shared" si="12"/>
        <v>#REF!</v>
      </c>
      <c r="O62" s="688" t="e">
        <f t="shared" si="8"/>
        <v>#REF!</v>
      </c>
      <c r="P62" s="689" t="s">
        <v>1319</v>
      </c>
      <c r="Q62" s="803"/>
      <c r="R62" s="809"/>
      <c r="S62" s="879" t="e">
        <f t="shared" si="11"/>
        <v>#REF!</v>
      </c>
    </row>
    <row r="63" spans="2:19" ht="11.25" customHeight="1">
      <c r="B63" s="568">
        <v>45496</v>
      </c>
      <c r="C63" s="600" t="s">
        <v>999</v>
      </c>
      <c r="D63" s="600"/>
      <c r="E63" s="668">
        <v>20</v>
      </c>
      <c r="F63" s="569" t="s">
        <v>146</v>
      </c>
      <c r="G63" s="569" t="s">
        <v>147</v>
      </c>
      <c r="H63" s="571"/>
      <c r="I63" s="686"/>
      <c r="J63" s="572"/>
      <c r="K63" s="637">
        <v>2983</v>
      </c>
      <c r="L63" s="542" t="e">
        <f>'통장내역(환율표)'!#REF!</f>
        <v>#REF!</v>
      </c>
      <c r="M63" s="617" t="e">
        <f t="shared" si="13"/>
        <v>#REF!</v>
      </c>
      <c r="N63" s="687" t="e">
        <f t="shared" si="12"/>
        <v>#REF!</v>
      </c>
      <c r="O63" s="688" t="e">
        <f t="shared" si="8"/>
        <v>#REF!</v>
      </c>
      <c r="P63" s="689" t="s">
        <v>1319</v>
      </c>
      <c r="Q63" s="803"/>
      <c r="R63" s="809"/>
      <c r="S63" s="879" t="e">
        <f t="shared" si="11"/>
        <v>#REF!</v>
      </c>
    </row>
    <row r="64" spans="2:19" ht="11.25" customHeight="1">
      <c r="B64" s="568">
        <v>45496</v>
      </c>
      <c r="C64" s="600" t="s">
        <v>250</v>
      </c>
      <c r="D64" s="600"/>
      <c r="E64" s="668">
        <v>21</v>
      </c>
      <c r="F64" s="569" t="s">
        <v>107</v>
      </c>
      <c r="G64" s="569"/>
      <c r="H64" s="571"/>
      <c r="I64" s="686"/>
      <c r="J64" s="572"/>
      <c r="K64" s="637">
        <v>3.6</v>
      </c>
      <c r="L64" s="542" t="e">
        <f>'통장내역(환율표)'!#REF!</f>
        <v>#REF!</v>
      </c>
      <c r="M64" s="617" t="e">
        <f t="shared" si="13"/>
        <v>#REF!</v>
      </c>
      <c r="N64" s="687" t="e">
        <f t="shared" si="12"/>
        <v>#REF!</v>
      </c>
      <c r="O64" s="688" t="e">
        <f t="shared" si="8"/>
        <v>#REF!</v>
      </c>
      <c r="P64" s="689" t="s">
        <v>1319</v>
      </c>
      <c r="Q64" s="803"/>
      <c r="R64" s="809"/>
      <c r="S64" s="879" t="e">
        <f t="shared" si="11"/>
        <v>#REF!</v>
      </c>
    </row>
    <row r="65" spans="2:19" ht="11.25" customHeight="1">
      <c r="B65" s="568">
        <v>45496</v>
      </c>
      <c r="C65" s="600" t="s">
        <v>994</v>
      </c>
      <c r="D65" s="600"/>
      <c r="E65" s="668">
        <v>22</v>
      </c>
      <c r="F65" s="569" t="s">
        <v>146</v>
      </c>
      <c r="G65" s="569" t="s">
        <v>147</v>
      </c>
      <c r="H65" s="571"/>
      <c r="I65" s="686"/>
      <c r="J65" s="572"/>
      <c r="K65" s="637">
        <v>41</v>
      </c>
      <c r="L65" s="542" t="e">
        <f>'통장내역(환율표)'!#REF!</f>
        <v>#REF!</v>
      </c>
      <c r="M65" s="617" t="e">
        <f t="shared" si="13"/>
        <v>#REF!</v>
      </c>
      <c r="N65" s="687" t="e">
        <f t="shared" si="12"/>
        <v>#REF!</v>
      </c>
      <c r="O65" s="688" t="e">
        <f t="shared" si="8"/>
        <v>#REF!</v>
      </c>
      <c r="P65" s="689" t="s">
        <v>1319</v>
      </c>
      <c r="Q65" s="803"/>
      <c r="R65" s="809"/>
      <c r="S65" s="879" t="e">
        <f t="shared" si="11"/>
        <v>#REF!</v>
      </c>
    </row>
    <row r="66" spans="2:19" ht="11.25" customHeight="1">
      <c r="B66" s="568">
        <v>45496</v>
      </c>
      <c r="C66" s="600" t="s">
        <v>995</v>
      </c>
      <c r="D66" s="600"/>
      <c r="E66" s="668">
        <v>23</v>
      </c>
      <c r="F66" s="569" t="s">
        <v>146</v>
      </c>
      <c r="G66" s="569" t="s">
        <v>147</v>
      </c>
      <c r="H66" s="571"/>
      <c r="I66" s="686"/>
      <c r="J66" s="572"/>
      <c r="K66" s="637">
        <v>70</v>
      </c>
      <c r="L66" s="542" t="e">
        <f>'통장내역(환율표)'!#REF!</f>
        <v>#REF!</v>
      </c>
      <c r="M66" s="617" t="e">
        <f t="shared" si="13"/>
        <v>#REF!</v>
      </c>
      <c r="N66" s="687" t="e">
        <f t="shared" si="12"/>
        <v>#REF!</v>
      </c>
      <c r="O66" s="688" t="e">
        <f t="shared" si="8"/>
        <v>#REF!</v>
      </c>
      <c r="P66" s="689" t="s">
        <v>1319</v>
      </c>
      <c r="Q66" s="803"/>
      <c r="R66" s="809"/>
      <c r="S66" s="879" t="e">
        <f t="shared" si="11"/>
        <v>#REF!</v>
      </c>
    </row>
    <row r="67" spans="2:19" ht="11.25" customHeight="1">
      <c r="B67" s="568">
        <v>45496</v>
      </c>
      <c r="C67" s="600" t="s">
        <v>996</v>
      </c>
      <c r="D67" s="600"/>
      <c r="E67" s="668">
        <v>24</v>
      </c>
      <c r="F67" s="569" t="s">
        <v>146</v>
      </c>
      <c r="G67" s="569" t="s">
        <v>147</v>
      </c>
      <c r="H67" s="571"/>
      <c r="I67" s="686"/>
      <c r="J67" s="572"/>
      <c r="K67" s="637">
        <v>1263.8900000000001</v>
      </c>
      <c r="L67" s="542" t="e">
        <f>'통장내역(환율표)'!#REF!</f>
        <v>#REF!</v>
      </c>
      <c r="M67" s="617" t="e">
        <f t="shared" si="13"/>
        <v>#REF!</v>
      </c>
      <c r="N67" s="687" t="e">
        <f t="shared" si="12"/>
        <v>#REF!</v>
      </c>
      <c r="O67" s="688" t="e">
        <f t="shared" si="8"/>
        <v>#REF!</v>
      </c>
      <c r="P67" s="689" t="s">
        <v>1319</v>
      </c>
      <c r="Q67" s="801"/>
      <c r="R67" s="809"/>
      <c r="S67" s="879" t="e">
        <f t="shared" si="11"/>
        <v>#REF!</v>
      </c>
    </row>
    <row r="68" spans="2:19" ht="11.25" customHeight="1">
      <c r="B68" s="568">
        <v>45496</v>
      </c>
      <c r="C68" s="573" t="s">
        <v>250</v>
      </c>
      <c r="D68" s="573"/>
      <c r="E68" s="668">
        <v>25</v>
      </c>
      <c r="F68" s="569" t="s">
        <v>107</v>
      </c>
      <c r="G68" s="569"/>
      <c r="H68" s="571"/>
      <c r="I68" s="686"/>
      <c r="J68" s="572"/>
      <c r="K68" s="637">
        <v>3.6</v>
      </c>
      <c r="L68" s="542" t="e">
        <f>'통장내역(환율표)'!#REF!</f>
        <v>#REF!</v>
      </c>
      <c r="M68" s="617" t="e">
        <f t="shared" si="13"/>
        <v>#REF!</v>
      </c>
      <c r="N68" s="687" t="e">
        <f t="shared" si="12"/>
        <v>#REF!</v>
      </c>
      <c r="O68" s="688" t="e">
        <f t="shared" si="8"/>
        <v>#REF!</v>
      </c>
      <c r="P68" s="689" t="s">
        <v>1319</v>
      </c>
      <c r="Q68" s="801"/>
      <c r="R68" s="809"/>
      <c r="S68" s="879" t="e">
        <f t="shared" si="11"/>
        <v>#REF!</v>
      </c>
    </row>
    <row r="69" spans="2:19" ht="11.25" customHeight="1">
      <c r="B69" s="568">
        <v>45496</v>
      </c>
      <c r="C69" s="573" t="s">
        <v>1313</v>
      </c>
      <c r="D69" s="573"/>
      <c r="E69" s="668">
        <v>26</v>
      </c>
      <c r="F69" s="569" t="s">
        <v>125</v>
      </c>
      <c r="G69" s="569" t="s">
        <v>145</v>
      </c>
      <c r="H69" s="571"/>
      <c r="I69" s="686"/>
      <c r="J69" s="572"/>
      <c r="K69" s="637">
        <v>167.3</v>
      </c>
      <c r="L69" s="542" t="e">
        <f>'통장내역(환율표)'!#REF!</f>
        <v>#REF!</v>
      </c>
      <c r="M69" s="617" t="e">
        <f t="shared" si="13"/>
        <v>#REF!</v>
      </c>
      <c r="N69" s="687" t="e">
        <f t="shared" si="12"/>
        <v>#REF!</v>
      </c>
      <c r="O69" s="688" t="e">
        <f t="shared" si="8"/>
        <v>#REF!</v>
      </c>
      <c r="P69" s="689" t="s">
        <v>1319</v>
      </c>
      <c r="Q69" s="801"/>
      <c r="R69" s="809"/>
      <c r="S69" s="879" t="e">
        <f t="shared" si="11"/>
        <v>#REF!</v>
      </c>
    </row>
    <row r="70" spans="2:19" ht="11.25" customHeight="1">
      <c r="B70" s="568">
        <v>45496</v>
      </c>
      <c r="C70" s="600" t="s">
        <v>1011</v>
      </c>
      <c r="D70" s="600"/>
      <c r="E70" s="668">
        <v>27</v>
      </c>
      <c r="F70" s="569" t="s">
        <v>116</v>
      </c>
      <c r="G70" s="569" t="s">
        <v>140</v>
      </c>
      <c r="H70" s="571"/>
      <c r="I70" s="686"/>
      <c r="J70" s="572"/>
      <c r="K70" s="637">
        <v>196.8</v>
      </c>
      <c r="L70" s="542" t="e">
        <f>'통장내역(환율표)'!#REF!</f>
        <v>#REF!</v>
      </c>
      <c r="M70" s="617" t="e">
        <f t="shared" si="13"/>
        <v>#REF!</v>
      </c>
      <c r="N70" s="687" t="e">
        <f t="shared" si="12"/>
        <v>#REF!</v>
      </c>
      <c r="O70" s="688" t="e">
        <f t="shared" si="8"/>
        <v>#REF!</v>
      </c>
      <c r="P70" s="689" t="s">
        <v>1319</v>
      </c>
      <c r="Q70" s="803"/>
      <c r="R70" s="809"/>
      <c r="S70" s="879" t="e">
        <f t="shared" si="11"/>
        <v>#REF!</v>
      </c>
    </row>
    <row r="71" spans="2:19" ht="11.25" customHeight="1">
      <c r="B71" s="568">
        <v>45496</v>
      </c>
      <c r="C71" s="600" t="s">
        <v>1007</v>
      </c>
      <c r="D71" s="600"/>
      <c r="E71" s="668">
        <v>28</v>
      </c>
      <c r="F71" s="569" t="s">
        <v>107</v>
      </c>
      <c r="G71" s="569"/>
      <c r="H71" s="571"/>
      <c r="I71" s="686"/>
      <c r="J71" s="572"/>
      <c r="K71" s="637">
        <v>888</v>
      </c>
      <c r="L71" s="542" t="e">
        <f>'통장내역(환율표)'!#REF!</f>
        <v>#REF!</v>
      </c>
      <c r="M71" s="617" t="e">
        <f t="shared" si="13"/>
        <v>#REF!</v>
      </c>
      <c r="N71" s="687" t="e">
        <f t="shared" si="12"/>
        <v>#REF!</v>
      </c>
      <c r="O71" s="688" t="e">
        <f t="shared" si="8"/>
        <v>#REF!</v>
      </c>
      <c r="P71" s="689" t="s">
        <v>1319</v>
      </c>
      <c r="Q71" s="803"/>
      <c r="R71" s="809"/>
      <c r="S71" s="879" t="e">
        <f t="shared" si="11"/>
        <v>#REF!</v>
      </c>
    </row>
    <row r="72" spans="2:19" ht="11.25" customHeight="1">
      <c r="B72" s="568">
        <v>45496</v>
      </c>
      <c r="C72" s="600" t="s">
        <v>1010</v>
      </c>
      <c r="D72" s="600"/>
      <c r="E72" s="668">
        <v>29</v>
      </c>
      <c r="F72" s="569" t="s">
        <v>146</v>
      </c>
      <c r="G72" s="569" t="s">
        <v>147</v>
      </c>
      <c r="H72" s="571"/>
      <c r="I72" s="686"/>
      <c r="J72" s="572"/>
      <c r="K72" s="637">
        <v>286</v>
      </c>
      <c r="L72" s="542" t="e">
        <f>'통장내역(환율표)'!#REF!</f>
        <v>#REF!</v>
      </c>
      <c r="M72" s="617" t="e">
        <f t="shared" si="13"/>
        <v>#REF!</v>
      </c>
      <c r="N72" s="687" t="e">
        <f t="shared" si="12"/>
        <v>#REF!</v>
      </c>
      <c r="O72" s="688" t="e">
        <f t="shared" si="8"/>
        <v>#REF!</v>
      </c>
      <c r="P72" s="689" t="s">
        <v>1319</v>
      </c>
      <c r="Q72" s="803"/>
      <c r="R72" s="809"/>
      <c r="S72" s="879" t="e">
        <f t="shared" si="11"/>
        <v>#REF!</v>
      </c>
    </row>
    <row r="73" spans="2:19" ht="11.25" customHeight="1">
      <c r="B73" s="568">
        <v>45496</v>
      </c>
      <c r="C73" s="600" t="s">
        <v>1314</v>
      </c>
      <c r="D73" s="600"/>
      <c r="E73" s="668">
        <v>30</v>
      </c>
      <c r="F73" s="569" t="s">
        <v>146</v>
      </c>
      <c r="G73" s="569" t="s">
        <v>147</v>
      </c>
      <c r="H73" s="571"/>
      <c r="I73" s="686"/>
      <c r="J73" s="572"/>
      <c r="K73" s="637">
        <v>799.05</v>
      </c>
      <c r="L73" s="542" t="e">
        <f>'통장내역(환율표)'!#REF!</f>
        <v>#REF!</v>
      </c>
      <c r="M73" s="617" t="e">
        <f t="shared" si="13"/>
        <v>#REF!</v>
      </c>
      <c r="N73" s="687" t="e">
        <f t="shared" si="12"/>
        <v>#REF!</v>
      </c>
      <c r="O73" s="688" t="e">
        <f t="shared" si="8"/>
        <v>#REF!</v>
      </c>
      <c r="P73" s="689" t="s">
        <v>1319</v>
      </c>
      <c r="Q73" s="803"/>
      <c r="R73" s="809"/>
      <c r="S73" s="879" t="e">
        <f t="shared" si="11"/>
        <v>#REF!</v>
      </c>
    </row>
    <row r="74" spans="2:19" ht="11.25" customHeight="1">
      <c r="B74" s="568">
        <v>45496</v>
      </c>
      <c r="C74" s="600" t="s">
        <v>250</v>
      </c>
      <c r="D74" s="600"/>
      <c r="E74" s="668">
        <v>31</v>
      </c>
      <c r="F74" s="569" t="s">
        <v>107</v>
      </c>
      <c r="G74" s="569"/>
      <c r="H74" s="857"/>
      <c r="I74" s="686"/>
      <c r="J74" s="572"/>
      <c r="K74" s="637">
        <v>3.6</v>
      </c>
      <c r="L74" s="542" t="e">
        <f>'통장내역(환율표)'!#REF!</f>
        <v>#REF!</v>
      </c>
      <c r="M74" s="617" t="e">
        <f t="shared" si="13"/>
        <v>#REF!</v>
      </c>
      <c r="N74" s="687" t="e">
        <f t="shared" si="12"/>
        <v>#REF!</v>
      </c>
      <c r="O74" s="688" t="e">
        <f t="shared" si="8"/>
        <v>#REF!</v>
      </c>
      <c r="P74" s="689" t="s">
        <v>1319</v>
      </c>
      <c r="Q74" s="803"/>
      <c r="R74" s="809"/>
      <c r="S74" s="879" t="e">
        <f t="shared" si="11"/>
        <v>#REF!</v>
      </c>
    </row>
    <row r="75" spans="2:19" ht="11.25" customHeight="1">
      <c r="B75" s="568">
        <v>45496</v>
      </c>
      <c r="C75" s="600" t="s">
        <v>1153</v>
      </c>
      <c r="D75" s="600"/>
      <c r="E75" s="668">
        <v>32</v>
      </c>
      <c r="F75" s="569" t="s">
        <v>146</v>
      </c>
      <c r="G75" s="569" t="s">
        <v>147</v>
      </c>
      <c r="H75" s="571"/>
      <c r="I75" s="686"/>
      <c r="J75" s="572"/>
      <c r="K75" s="637">
        <v>4999</v>
      </c>
      <c r="L75" s="542" t="e">
        <f>'통장내역(환율표)'!#REF!</f>
        <v>#REF!</v>
      </c>
      <c r="M75" s="617" t="e">
        <f t="shared" si="13"/>
        <v>#REF!</v>
      </c>
      <c r="N75" s="687" t="e">
        <f t="shared" si="12"/>
        <v>#REF!</v>
      </c>
      <c r="O75" s="688" t="e">
        <f t="shared" si="8"/>
        <v>#REF!</v>
      </c>
      <c r="P75" s="689" t="s">
        <v>1319</v>
      </c>
      <c r="Q75" s="803"/>
      <c r="R75" s="809"/>
      <c r="S75" s="879" t="e">
        <f t="shared" si="11"/>
        <v>#REF!</v>
      </c>
    </row>
    <row r="76" spans="2:19" ht="11.25" customHeight="1">
      <c r="B76" s="568">
        <v>45496</v>
      </c>
      <c r="C76" s="600" t="s">
        <v>852</v>
      </c>
      <c r="D76" s="600"/>
      <c r="E76" s="668">
        <v>33</v>
      </c>
      <c r="F76" s="569" t="s">
        <v>107</v>
      </c>
      <c r="G76" s="569"/>
      <c r="H76" s="571"/>
      <c r="I76" s="686"/>
      <c r="J76" s="572"/>
      <c r="K76" s="637">
        <v>242.55</v>
      </c>
      <c r="L76" s="542" t="e">
        <f>'통장내역(환율표)'!#REF!</f>
        <v>#REF!</v>
      </c>
      <c r="M76" s="617" t="e">
        <f t="shared" si="13"/>
        <v>#REF!</v>
      </c>
      <c r="N76" s="687" t="e">
        <f t="shared" si="12"/>
        <v>#REF!</v>
      </c>
      <c r="O76" s="688" t="e">
        <f t="shared" si="8"/>
        <v>#REF!</v>
      </c>
      <c r="P76" s="689" t="s">
        <v>1319</v>
      </c>
      <c r="Q76" s="803"/>
      <c r="R76" s="809"/>
      <c r="S76" s="879" t="e">
        <f t="shared" si="11"/>
        <v>#REF!</v>
      </c>
    </row>
    <row r="77" spans="2:19" ht="11.25" customHeight="1">
      <c r="B77" s="568">
        <v>45496</v>
      </c>
      <c r="C77" s="600" t="s">
        <v>851</v>
      </c>
      <c r="D77" s="600"/>
      <c r="E77" s="668">
        <v>34</v>
      </c>
      <c r="F77" s="569" t="s">
        <v>116</v>
      </c>
      <c r="G77" s="569" t="s">
        <v>140</v>
      </c>
      <c r="H77" s="571"/>
      <c r="I77" s="686"/>
      <c r="J77" s="572"/>
      <c r="K77" s="637">
        <v>144.19999999999999</v>
      </c>
      <c r="L77" s="542" t="e">
        <f>'통장내역(환율표)'!#REF!</f>
        <v>#REF!</v>
      </c>
      <c r="M77" s="617" t="e">
        <f t="shared" si="13"/>
        <v>#REF!</v>
      </c>
      <c r="N77" s="687" t="e">
        <f t="shared" si="12"/>
        <v>#REF!</v>
      </c>
      <c r="O77" s="688" t="e">
        <f t="shared" si="8"/>
        <v>#REF!</v>
      </c>
      <c r="P77" s="689" t="s">
        <v>1319</v>
      </c>
      <c r="Q77" s="803"/>
      <c r="R77" s="809"/>
      <c r="S77" s="879" t="e">
        <f t="shared" si="11"/>
        <v>#REF!</v>
      </c>
    </row>
    <row r="78" spans="2:19" ht="11.25" customHeight="1">
      <c r="B78" s="568">
        <v>45496</v>
      </c>
      <c r="C78" s="600" t="s">
        <v>1285</v>
      </c>
      <c r="D78" s="600"/>
      <c r="E78" s="668">
        <v>35</v>
      </c>
      <c r="F78" s="569" t="s">
        <v>146</v>
      </c>
      <c r="G78" s="569" t="s">
        <v>147</v>
      </c>
      <c r="H78" s="571"/>
      <c r="I78" s="686"/>
      <c r="J78" s="572"/>
      <c r="K78" s="637">
        <v>847.9</v>
      </c>
      <c r="L78" s="542" t="e">
        <f>'통장내역(환율표)'!#REF!</f>
        <v>#REF!</v>
      </c>
      <c r="M78" s="617" t="e">
        <f t="shared" si="13"/>
        <v>#REF!</v>
      </c>
      <c r="N78" s="687" t="e">
        <f t="shared" si="12"/>
        <v>#REF!</v>
      </c>
      <c r="O78" s="688" t="e">
        <f t="shared" si="8"/>
        <v>#REF!</v>
      </c>
      <c r="P78" s="689" t="s">
        <v>1319</v>
      </c>
      <c r="Q78" s="803"/>
      <c r="R78" s="809"/>
      <c r="S78" s="879" t="e">
        <f t="shared" si="11"/>
        <v>#REF!</v>
      </c>
    </row>
    <row r="79" spans="2:19" ht="11.25" customHeight="1">
      <c r="B79" s="568">
        <v>45496</v>
      </c>
      <c r="C79" s="600" t="s">
        <v>250</v>
      </c>
      <c r="D79" s="600"/>
      <c r="E79" s="668">
        <v>36</v>
      </c>
      <c r="F79" s="569" t="s">
        <v>107</v>
      </c>
      <c r="G79" s="569"/>
      <c r="H79" s="571"/>
      <c r="I79" s="686"/>
      <c r="J79" s="572"/>
      <c r="K79" s="637">
        <v>3.6</v>
      </c>
      <c r="L79" s="542" t="e">
        <f>'통장내역(환율표)'!#REF!</f>
        <v>#REF!</v>
      </c>
      <c r="M79" s="617" t="e">
        <f t="shared" si="13"/>
        <v>#REF!</v>
      </c>
      <c r="N79" s="687" t="e">
        <f t="shared" si="12"/>
        <v>#REF!</v>
      </c>
      <c r="O79" s="688" t="e">
        <f t="shared" si="8"/>
        <v>#REF!</v>
      </c>
      <c r="P79" s="689" t="s">
        <v>1319</v>
      </c>
      <c r="Q79" s="803"/>
      <c r="R79" s="809"/>
      <c r="S79" s="879" t="e">
        <f t="shared" si="11"/>
        <v>#REF!</v>
      </c>
    </row>
    <row r="80" spans="2:19" ht="11.25" customHeight="1">
      <c r="B80" s="568">
        <v>45496</v>
      </c>
      <c r="C80" s="600" t="s">
        <v>1252</v>
      </c>
      <c r="D80" s="600"/>
      <c r="E80" s="668">
        <v>37</v>
      </c>
      <c r="F80" s="569" t="s">
        <v>107</v>
      </c>
      <c r="G80" s="569"/>
      <c r="H80" s="571"/>
      <c r="I80" s="686"/>
      <c r="J80" s="572"/>
      <c r="K80" s="637">
        <v>644.22</v>
      </c>
      <c r="L80" s="542" t="e">
        <f>'통장내역(환율표)'!#REF!</f>
        <v>#REF!</v>
      </c>
      <c r="M80" s="617" t="e">
        <f t="shared" si="13"/>
        <v>#REF!</v>
      </c>
      <c r="N80" s="687" t="e">
        <f t="shared" si="12"/>
        <v>#REF!</v>
      </c>
      <c r="O80" s="688" t="e">
        <f t="shared" si="8"/>
        <v>#REF!</v>
      </c>
      <c r="P80" s="689" t="s">
        <v>1319</v>
      </c>
      <c r="Q80" s="803"/>
      <c r="R80" s="809"/>
      <c r="S80" s="879" t="e">
        <f t="shared" si="11"/>
        <v>#REF!</v>
      </c>
    </row>
    <row r="81" spans="2:19" ht="11.25" customHeight="1">
      <c r="B81" s="568">
        <v>45496</v>
      </c>
      <c r="C81" s="600" t="s">
        <v>1318</v>
      </c>
      <c r="D81" s="600"/>
      <c r="E81" s="668">
        <v>38</v>
      </c>
      <c r="F81" s="569" t="s">
        <v>116</v>
      </c>
      <c r="G81" s="569" t="s">
        <v>140</v>
      </c>
      <c r="H81" s="571"/>
      <c r="I81" s="686"/>
      <c r="J81" s="572"/>
      <c r="K81" s="637">
        <v>418</v>
      </c>
      <c r="L81" s="542" t="e">
        <f>'통장내역(환율표)'!#REF!</f>
        <v>#REF!</v>
      </c>
      <c r="M81" s="617" t="e">
        <f t="shared" si="13"/>
        <v>#REF!</v>
      </c>
      <c r="N81" s="687" t="e">
        <f t="shared" si="12"/>
        <v>#REF!</v>
      </c>
      <c r="O81" s="688" t="e">
        <f t="shared" si="8"/>
        <v>#REF!</v>
      </c>
      <c r="P81" s="689" t="s">
        <v>1319</v>
      </c>
      <c r="Q81" s="803"/>
      <c r="R81" s="809"/>
      <c r="S81" s="879" t="e">
        <f t="shared" si="11"/>
        <v>#REF!</v>
      </c>
    </row>
    <row r="82" spans="2:19" ht="11.25" customHeight="1">
      <c r="B82" s="568">
        <v>45496</v>
      </c>
      <c r="C82" s="600" t="s">
        <v>854</v>
      </c>
      <c r="D82" s="600"/>
      <c r="E82" s="668">
        <v>39</v>
      </c>
      <c r="F82" s="569" t="s">
        <v>116</v>
      </c>
      <c r="G82" s="569" t="s">
        <v>140</v>
      </c>
      <c r="H82" s="571"/>
      <c r="I82" s="686"/>
      <c r="J82" s="572"/>
      <c r="K82" s="637">
        <v>499</v>
      </c>
      <c r="L82" s="542" t="e">
        <f>'통장내역(환율표)'!#REF!</f>
        <v>#REF!</v>
      </c>
      <c r="M82" s="617" t="e">
        <f t="shared" si="13"/>
        <v>#REF!</v>
      </c>
      <c r="N82" s="687" t="e">
        <f t="shared" si="12"/>
        <v>#REF!</v>
      </c>
      <c r="O82" s="688" t="e">
        <f t="shared" si="8"/>
        <v>#REF!</v>
      </c>
      <c r="P82" s="689" t="s">
        <v>1319</v>
      </c>
      <c r="Q82" s="803"/>
      <c r="R82" s="809"/>
      <c r="S82" s="879" t="e">
        <f t="shared" si="11"/>
        <v>#REF!</v>
      </c>
    </row>
    <row r="83" spans="2:19" ht="11.25" customHeight="1">
      <c r="B83" s="568">
        <v>45496</v>
      </c>
      <c r="C83" s="600" t="s">
        <v>845</v>
      </c>
      <c r="D83" s="600"/>
      <c r="E83" s="668">
        <v>40</v>
      </c>
      <c r="F83" s="569" t="s">
        <v>125</v>
      </c>
      <c r="G83" s="569" t="s">
        <v>145</v>
      </c>
      <c r="H83" s="571"/>
      <c r="I83" s="686"/>
      <c r="J83" s="572"/>
      <c r="K83" s="637">
        <v>1846</v>
      </c>
      <c r="L83" s="542" t="e">
        <f>'통장내역(환율표)'!#REF!</f>
        <v>#REF!</v>
      </c>
      <c r="M83" s="617" t="e">
        <f t="shared" si="13"/>
        <v>#REF!</v>
      </c>
      <c r="N83" s="687" t="e">
        <f t="shared" ref="N83:N93" si="14">N82+H83-K83</f>
        <v>#REF!</v>
      </c>
      <c r="O83" s="688" t="e">
        <f t="shared" ref="O83:O93" si="15">O82+J83-M83</f>
        <v>#REF!</v>
      </c>
      <c r="P83" s="689" t="s">
        <v>1319</v>
      </c>
      <c r="Q83" s="803"/>
      <c r="R83" s="809"/>
      <c r="S83" s="879" t="e">
        <f t="shared" si="11"/>
        <v>#REF!</v>
      </c>
    </row>
    <row r="84" spans="2:19" ht="11.25" customHeight="1">
      <c r="B84" s="568">
        <v>45496</v>
      </c>
      <c r="C84" s="600" t="s">
        <v>250</v>
      </c>
      <c r="D84" s="600"/>
      <c r="E84" s="668">
        <v>41</v>
      </c>
      <c r="F84" s="569" t="s">
        <v>107</v>
      </c>
      <c r="G84" s="569"/>
      <c r="H84" s="571"/>
      <c r="I84" s="686"/>
      <c r="J84" s="572"/>
      <c r="K84" s="637">
        <v>3.6</v>
      </c>
      <c r="L84" s="542" t="e">
        <f>'통장내역(환율표)'!#REF!</f>
        <v>#REF!</v>
      </c>
      <c r="M84" s="617" t="e">
        <f t="shared" si="13"/>
        <v>#REF!</v>
      </c>
      <c r="N84" s="687" t="e">
        <f t="shared" si="14"/>
        <v>#REF!</v>
      </c>
      <c r="O84" s="688" t="e">
        <f t="shared" si="15"/>
        <v>#REF!</v>
      </c>
      <c r="P84" s="689" t="s">
        <v>1319</v>
      </c>
      <c r="Q84" s="803"/>
      <c r="R84" s="809"/>
      <c r="S84" s="879" t="e">
        <f t="shared" si="11"/>
        <v>#REF!</v>
      </c>
    </row>
    <row r="85" spans="2:19" ht="11.25" customHeight="1">
      <c r="B85" s="568">
        <v>45496</v>
      </c>
      <c r="C85" s="600" t="s">
        <v>1315</v>
      </c>
      <c r="D85" s="600"/>
      <c r="E85" s="668">
        <v>42</v>
      </c>
      <c r="F85" s="569" t="s">
        <v>146</v>
      </c>
      <c r="G85" s="569" t="s">
        <v>147</v>
      </c>
      <c r="H85" s="571"/>
      <c r="I85" s="686"/>
      <c r="J85" s="572"/>
      <c r="K85" s="637">
        <v>167.54</v>
      </c>
      <c r="L85" s="542" t="e">
        <f>'통장내역(환율표)'!#REF!</f>
        <v>#REF!</v>
      </c>
      <c r="M85" s="617" t="e">
        <f t="shared" si="13"/>
        <v>#REF!</v>
      </c>
      <c r="N85" s="687" t="e">
        <f t="shared" si="14"/>
        <v>#REF!</v>
      </c>
      <c r="O85" s="688" t="e">
        <f t="shared" si="15"/>
        <v>#REF!</v>
      </c>
      <c r="P85" s="689" t="s">
        <v>1319</v>
      </c>
      <c r="Q85" s="803"/>
      <c r="R85" s="809"/>
      <c r="S85" s="879" t="e">
        <f t="shared" si="11"/>
        <v>#REF!</v>
      </c>
    </row>
    <row r="86" spans="2:19" ht="11.25" customHeight="1">
      <c r="B86" s="568">
        <v>45496</v>
      </c>
      <c r="C86" s="600" t="s">
        <v>1292</v>
      </c>
      <c r="D86" s="600"/>
      <c r="E86" s="668">
        <v>43</v>
      </c>
      <c r="F86" s="569" t="s">
        <v>125</v>
      </c>
      <c r="G86" s="569" t="s">
        <v>145</v>
      </c>
      <c r="H86" s="571"/>
      <c r="I86" s="686"/>
      <c r="J86" s="572"/>
      <c r="K86" s="637">
        <v>3164.5</v>
      </c>
      <c r="L86" s="542" t="e">
        <f>'통장내역(환율표)'!#REF!</f>
        <v>#REF!</v>
      </c>
      <c r="M86" s="617" t="e">
        <f t="shared" si="13"/>
        <v>#REF!</v>
      </c>
      <c r="N86" s="687" t="e">
        <f t="shared" si="14"/>
        <v>#REF!</v>
      </c>
      <c r="O86" s="688" t="e">
        <f t="shared" si="15"/>
        <v>#REF!</v>
      </c>
      <c r="P86" s="689" t="s">
        <v>1319</v>
      </c>
      <c r="Q86" s="803"/>
      <c r="R86" s="809"/>
      <c r="S86" s="879" t="e">
        <f t="shared" si="11"/>
        <v>#REF!</v>
      </c>
    </row>
    <row r="87" spans="2:19" ht="11.25" customHeight="1">
      <c r="B87" s="568">
        <v>45496</v>
      </c>
      <c r="C87" s="600" t="s">
        <v>1248</v>
      </c>
      <c r="D87" s="600"/>
      <c r="E87" s="668">
        <v>44</v>
      </c>
      <c r="F87" s="569" t="s">
        <v>116</v>
      </c>
      <c r="G87" s="569" t="s">
        <v>140</v>
      </c>
      <c r="H87" s="571"/>
      <c r="I87" s="686"/>
      <c r="J87" s="572"/>
      <c r="K87" s="637">
        <v>299</v>
      </c>
      <c r="L87" s="542" t="e">
        <f>'통장내역(환율표)'!#REF!</f>
        <v>#REF!</v>
      </c>
      <c r="M87" s="617" t="e">
        <f t="shared" si="13"/>
        <v>#REF!</v>
      </c>
      <c r="N87" s="687" t="e">
        <f t="shared" si="14"/>
        <v>#REF!</v>
      </c>
      <c r="O87" s="688" t="e">
        <f t="shared" si="15"/>
        <v>#REF!</v>
      </c>
      <c r="P87" s="689" t="s">
        <v>1319</v>
      </c>
      <c r="Q87" s="803"/>
      <c r="R87" s="809"/>
      <c r="S87" s="879" t="e">
        <f t="shared" si="11"/>
        <v>#REF!</v>
      </c>
    </row>
    <row r="88" spans="2:19" ht="11.25" customHeight="1">
      <c r="B88" s="568">
        <v>45496</v>
      </c>
      <c r="C88" s="600" t="s">
        <v>250</v>
      </c>
      <c r="D88" s="600"/>
      <c r="E88" s="668">
        <v>45</v>
      </c>
      <c r="F88" s="569" t="s">
        <v>107</v>
      </c>
      <c r="G88" s="569"/>
      <c r="H88" s="571"/>
      <c r="I88" s="686"/>
      <c r="J88" s="572"/>
      <c r="K88" s="637">
        <v>3.6</v>
      </c>
      <c r="L88" s="542" t="e">
        <f>'통장내역(환율표)'!#REF!</f>
        <v>#REF!</v>
      </c>
      <c r="M88" s="617" t="e">
        <f t="shared" si="13"/>
        <v>#REF!</v>
      </c>
      <c r="N88" s="687" t="e">
        <f t="shared" si="14"/>
        <v>#REF!</v>
      </c>
      <c r="O88" s="688" t="e">
        <f t="shared" si="15"/>
        <v>#REF!</v>
      </c>
      <c r="P88" s="689" t="s">
        <v>1319</v>
      </c>
      <c r="Q88" s="803"/>
      <c r="R88" s="809"/>
      <c r="S88" s="879" t="e">
        <f t="shared" si="11"/>
        <v>#REF!</v>
      </c>
    </row>
    <row r="89" spans="2:19" ht="11.25" customHeight="1">
      <c r="B89" s="568">
        <v>45496</v>
      </c>
      <c r="C89" s="600" t="s">
        <v>1316</v>
      </c>
      <c r="D89" s="600"/>
      <c r="E89" s="668">
        <v>46</v>
      </c>
      <c r="F89" s="569" t="s">
        <v>146</v>
      </c>
      <c r="G89" s="569" t="s">
        <v>147</v>
      </c>
      <c r="H89" s="571"/>
      <c r="I89" s="686"/>
      <c r="J89" s="572"/>
      <c r="K89" s="637">
        <v>17193.54</v>
      </c>
      <c r="L89" s="542" t="e">
        <f>'통장내역(환율표)'!#REF!</f>
        <v>#REF!</v>
      </c>
      <c r="M89" s="617" t="e">
        <f t="shared" si="13"/>
        <v>#REF!</v>
      </c>
      <c r="N89" s="687" t="e">
        <f t="shared" si="14"/>
        <v>#REF!</v>
      </c>
      <c r="O89" s="688" t="e">
        <f t="shared" si="15"/>
        <v>#REF!</v>
      </c>
      <c r="P89" s="689" t="s">
        <v>1319</v>
      </c>
      <c r="Q89" s="803"/>
      <c r="R89" s="809"/>
      <c r="S89" s="879" t="e">
        <f t="shared" si="11"/>
        <v>#REF!</v>
      </c>
    </row>
    <row r="90" spans="2:19" ht="11.25" customHeight="1">
      <c r="B90" s="568">
        <v>45496</v>
      </c>
      <c r="C90" s="600" t="s">
        <v>1317</v>
      </c>
      <c r="D90" s="600"/>
      <c r="E90" s="668">
        <v>47</v>
      </c>
      <c r="F90" s="569" t="s">
        <v>146</v>
      </c>
      <c r="G90" s="569" t="s">
        <v>147</v>
      </c>
      <c r="H90" s="571"/>
      <c r="I90" s="686"/>
      <c r="J90" s="572"/>
      <c r="K90" s="637">
        <v>144.71</v>
      </c>
      <c r="L90" s="542" t="e">
        <f>'통장내역(환율표)'!#REF!</f>
        <v>#REF!</v>
      </c>
      <c r="M90" s="617" t="e">
        <f>K90/L90+0.004</f>
        <v>#REF!</v>
      </c>
      <c r="N90" s="687" t="e">
        <f t="shared" si="14"/>
        <v>#REF!</v>
      </c>
      <c r="O90" s="688" t="e">
        <f t="shared" si="15"/>
        <v>#REF!</v>
      </c>
      <c r="P90" s="689" t="s">
        <v>1319</v>
      </c>
      <c r="Q90" s="803"/>
      <c r="R90" s="809"/>
      <c r="S90" s="879" t="e">
        <f t="shared" si="11"/>
        <v>#REF!</v>
      </c>
    </row>
    <row r="91" spans="2:19" ht="11.25" customHeight="1">
      <c r="B91" s="568">
        <v>45496</v>
      </c>
      <c r="C91" s="600" t="s">
        <v>1286</v>
      </c>
      <c r="D91" s="600"/>
      <c r="E91" s="668">
        <v>48</v>
      </c>
      <c r="F91" s="569" t="s">
        <v>116</v>
      </c>
      <c r="G91" s="569" t="s">
        <v>140</v>
      </c>
      <c r="H91" s="571"/>
      <c r="I91" s="686"/>
      <c r="J91" s="572"/>
      <c r="K91" s="637">
        <v>500</v>
      </c>
      <c r="L91" s="542" t="e">
        <f>'통장내역(환율표)'!#REF!</f>
        <v>#REF!</v>
      </c>
      <c r="M91" s="617" t="e">
        <f>K91/L91</f>
        <v>#REF!</v>
      </c>
      <c r="N91" s="687" t="e">
        <f t="shared" si="14"/>
        <v>#REF!</v>
      </c>
      <c r="O91" s="688" t="e">
        <f t="shared" si="15"/>
        <v>#REF!</v>
      </c>
      <c r="P91" s="689" t="s">
        <v>1319</v>
      </c>
      <c r="Q91" s="803"/>
      <c r="R91" s="809"/>
      <c r="S91" s="879" t="e">
        <f t="shared" si="11"/>
        <v>#REF!</v>
      </c>
    </row>
    <row r="92" spans="2:19" ht="11.25" customHeight="1">
      <c r="B92" s="568">
        <v>45496</v>
      </c>
      <c r="C92" s="600" t="s">
        <v>1162</v>
      </c>
      <c r="D92" s="600"/>
      <c r="E92" s="668">
        <v>49</v>
      </c>
      <c r="F92" s="569" t="s">
        <v>125</v>
      </c>
      <c r="G92" s="569" t="s">
        <v>145</v>
      </c>
      <c r="H92" s="571"/>
      <c r="I92" s="686"/>
      <c r="J92" s="572"/>
      <c r="K92" s="637">
        <v>16826.91</v>
      </c>
      <c r="L92" s="542" t="e">
        <f>'통장내역(환율표)'!#REF!</f>
        <v>#REF!</v>
      </c>
      <c r="M92" s="617" t="e">
        <f>K92/L92+0.004</f>
        <v>#REF!</v>
      </c>
      <c r="N92" s="687" t="e">
        <f t="shared" si="14"/>
        <v>#REF!</v>
      </c>
      <c r="O92" s="688" t="e">
        <f t="shared" si="15"/>
        <v>#REF!</v>
      </c>
      <c r="P92" s="689" t="s">
        <v>1319</v>
      </c>
      <c r="Q92" s="803"/>
      <c r="R92" s="809"/>
      <c r="S92" s="879" t="e">
        <f t="shared" si="11"/>
        <v>#REF!</v>
      </c>
    </row>
    <row r="93" spans="2:19" ht="11.25" customHeight="1" thickBot="1">
      <c r="B93" s="568">
        <v>45496</v>
      </c>
      <c r="C93" s="600" t="s">
        <v>250</v>
      </c>
      <c r="D93" s="600"/>
      <c r="E93" s="668">
        <v>50</v>
      </c>
      <c r="F93" s="569" t="s">
        <v>107</v>
      </c>
      <c r="G93" s="569"/>
      <c r="H93" s="571"/>
      <c r="I93" s="686"/>
      <c r="J93" s="572"/>
      <c r="K93" s="637">
        <v>7.2</v>
      </c>
      <c r="L93" s="542" t="e">
        <f>'통장내역(환율표)'!#REF!</f>
        <v>#REF!</v>
      </c>
      <c r="M93" s="617" t="e">
        <f>K93/L93</f>
        <v>#REF!</v>
      </c>
      <c r="N93" s="894" t="e">
        <f t="shared" si="14"/>
        <v>#REF!</v>
      </c>
      <c r="O93" s="887" t="e">
        <f t="shared" si="15"/>
        <v>#REF!</v>
      </c>
      <c r="P93" s="689" t="s">
        <v>1319</v>
      </c>
      <c r="Q93" s="803"/>
      <c r="R93" s="809"/>
      <c r="S93" s="888" t="e">
        <f t="shared" si="11"/>
        <v>#REF!</v>
      </c>
    </row>
    <row r="94" spans="2:19" ht="11.25" customHeight="1">
      <c r="C94" s="892"/>
      <c r="D94" s="519"/>
      <c r="E94" s="519"/>
      <c r="F94" s="519"/>
      <c r="G94" s="519"/>
      <c r="H94" s="519"/>
      <c r="K94" s="461"/>
    </row>
    <row r="95" spans="2:19" ht="11.25" customHeight="1">
      <c r="C95" s="892"/>
      <c r="D95" s="519"/>
      <c r="E95" s="519"/>
      <c r="F95" s="519"/>
      <c r="G95" s="519"/>
      <c r="H95" s="519"/>
      <c r="K95" s="461"/>
    </row>
    <row r="96" spans="2:19" ht="11.25" customHeight="1">
      <c r="C96" s="892"/>
      <c r="D96" s="519"/>
      <c r="E96" s="519"/>
      <c r="F96" s="519"/>
      <c r="G96" s="890"/>
      <c r="H96" s="489"/>
      <c r="I96" s="489"/>
    </row>
    <row r="97" spans="3:9" ht="11.25" customHeight="1">
      <c r="C97" s="519"/>
      <c r="D97" s="519"/>
      <c r="E97" s="519"/>
      <c r="F97" s="519"/>
      <c r="G97" s="890"/>
      <c r="H97" s="489"/>
      <c r="I97" s="489"/>
    </row>
    <row r="98" spans="3:9" ht="11.25" customHeight="1">
      <c r="C98" s="519"/>
      <c r="D98" s="519"/>
      <c r="E98" s="519"/>
      <c r="F98" s="519"/>
      <c r="G98" s="890"/>
      <c r="H98" s="489"/>
      <c r="I98" s="489"/>
    </row>
    <row r="99" spans="3:9" ht="11.25" customHeight="1">
      <c r="C99" s="519"/>
      <c r="D99" s="519"/>
      <c r="E99" s="519"/>
      <c r="F99" s="519"/>
      <c r="G99" s="890"/>
      <c r="H99" s="489"/>
      <c r="I99" s="489"/>
    </row>
    <row r="100" spans="3:9" ht="11.25" customHeight="1">
      <c r="C100" s="519"/>
      <c r="D100" s="519"/>
      <c r="E100" s="519"/>
      <c r="F100" s="519"/>
      <c r="G100" s="890"/>
      <c r="H100" s="489"/>
      <c r="I100" s="489"/>
    </row>
    <row r="101" spans="3:9" ht="11.25" customHeight="1">
      <c r="C101" s="519"/>
      <c r="D101" s="519"/>
      <c r="E101" s="519"/>
      <c r="F101" s="519"/>
      <c r="H101" s="489"/>
      <c r="I101" s="489"/>
    </row>
    <row r="102" spans="3:9" ht="11.25" customHeight="1">
      <c r="C102" s="519"/>
      <c r="D102" s="519"/>
      <c r="E102" s="519"/>
      <c r="F102" s="519"/>
      <c r="H102" s="489"/>
      <c r="I102" s="489"/>
    </row>
    <row r="103" spans="3:9" ht="11.25" customHeight="1">
      <c r="C103" s="519"/>
      <c r="D103" s="519"/>
      <c r="E103" s="519"/>
      <c r="F103" s="519"/>
      <c r="H103" s="489"/>
      <c r="I103" s="489"/>
    </row>
    <row r="104" spans="3:9" ht="11.25" customHeight="1">
      <c r="C104" s="519"/>
      <c r="D104" s="519"/>
      <c r="E104" s="519"/>
      <c r="F104" s="519"/>
      <c r="H104" s="489"/>
      <c r="I104" s="489"/>
    </row>
    <row r="105" spans="3:9" ht="11.25" customHeight="1">
      <c r="C105" s="519"/>
      <c r="D105" s="519"/>
      <c r="E105" s="519"/>
      <c r="F105" s="519"/>
      <c r="H105" s="489"/>
      <c r="I105" s="489"/>
    </row>
    <row r="106" spans="3:9" ht="11.25" customHeight="1">
      <c r="C106" s="519"/>
      <c r="D106" s="519"/>
      <c r="E106" s="519"/>
      <c r="F106" s="519"/>
      <c r="G106" s="519"/>
      <c r="H106" s="519"/>
    </row>
    <row r="107" spans="3:9" ht="11.25" customHeight="1">
      <c r="C107" s="519"/>
      <c r="D107" s="519"/>
      <c r="E107" s="519"/>
      <c r="F107" s="519"/>
      <c r="G107" s="519"/>
      <c r="H107" s="519"/>
    </row>
  </sheetData>
  <autoFilter ref="B17:R93" xr:uid="{00000000-0009-0000-0000-000001000000}">
    <filterColumn colId="14" showButton="0"/>
    <sortState xmlns:xlrd2="http://schemas.microsoft.com/office/spreadsheetml/2017/richdata2" ref="B20:R53">
      <sortCondition sortBy="cellColor" ref="M17:M93" dxfId="22"/>
    </sortState>
  </autoFilter>
  <mergeCells count="5">
    <mergeCell ref="H16:J16"/>
    <mergeCell ref="K16:M16"/>
    <mergeCell ref="N16:O16"/>
    <mergeCell ref="P16:Q16"/>
    <mergeCell ref="P17:Q17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7186-6860-4D4A-9A78-E56FE7C552FF}">
  <sheetPr>
    <tabColor theme="7" tint="-0.249977111117893"/>
  </sheetPr>
  <dimension ref="A1:AC106"/>
  <sheetViews>
    <sheetView showGridLines="0" zoomScaleNormal="100" workbookViewId="0">
      <pane ySplit="19" topLeftCell="A20" activePane="bottomLeft" state="frozen"/>
      <selection activeCell="O20" sqref="O20"/>
      <selection pane="bottomLeft" activeCell="O20" sqref="O20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1330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1303</v>
      </c>
      <c r="C3" s="477"/>
      <c r="D3" s="477"/>
      <c r="E3" s="477"/>
      <c r="F3" s="715">
        <v>1383.4</v>
      </c>
      <c r="G3" s="480"/>
      <c r="H3" s="476" t="s">
        <v>1321</v>
      </c>
      <c r="I3" s="477"/>
      <c r="K3" s="478"/>
      <c r="L3" s="715">
        <v>1369.4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19576.400000000001</v>
      </c>
      <c r="K5" s="693">
        <v>2735.09</v>
      </c>
      <c r="L5" s="651">
        <f>ROUND(K5*$L$3,0)</f>
        <v>3745432</v>
      </c>
      <c r="M5" s="851">
        <f>L5+F5</f>
        <v>3745432</v>
      </c>
      <c r="N5" s="852"/>
      <c r="O5" s="900"/>
      <c r="P5" s="900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/>
      <c r="E6" s="500"/>
      <c r="F6" s="497">
        <f t="shared" ref="F6:F12" si="0">ROUND(E6*$F$3,0)</f>
        <v>0</v>
      </c>
      <c r="G6" s="502"/>
      <c r="H6" s="499" t="s">
        <v>13</v>
      </c>
      <c r="I6" s="499" t="s">
        <v>14</v>
      </c>
      <c r="J6" s="693">
        <v>43216.350000000006</v>
      </c>
      <c r="K6" s="693">
        <v>6037.91</v>
      </c>
      <c r="L6" s="651">
        <f t="shared" ref="L6:L11" si="1">ROUND(K6*$L$3,0)</f>
        <v>8268314</v>
      </c>
      <c r="M6" s="851">
        <f t="shared" ref="M6:M13" si="2">L6+F6</f>
        <v>8268314</v>
      </c>
      <c r="N6" s="852"/>
      <c r="O6" s="900"/>
      <c r="P6" s="900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23135.56</v>
      </c>
      <c r="E7" s="500">
        <v>3187.55</v>
      </c>
      <c r="F7" s="497">
        <f t="shared" si="0"/>
        <v>4409657</v>
      </c>
      <c r="G7" s="503"/>
      <c r="H7" s="499" t="s">
        <v>15</v>
      </c>
      <c r="I7" s="499" t="s">
        <v>1055</v>
      </c>
      <c r="J7" s="694">
        <v>1354.44</v>
      </c>
      <c r="K7" s="694">
        <v>189.23</v>
      </c>
      <c r="L7" s="651">
        <f t="shared" si="1"/>
        <v>259132</v>
      </c>
      <c r="M7" s="851">
        <f t="shared" si="2"/>
        <v>4668789</v>
      </c>
      <c r="N7" s="852"/>
      <c r="O7" s="900"/>
      <c r="P7" s="900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694">
        <v>2444.9899999999998</v>
      </c>
      <c r="L8" s="651">
        <f t="shared" si="1"/>
        <v>3348169</v>
      </c>
      <c r="M8" s="851">
        <f t="shared" si="2"/>
        <v>3348169</v>
      </c>
      <c r="N8" s="852"/>
      <c r="O8" s="900"/>
      <c r="P8" s="900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1323.67</v>
      </c>
      <c r="K9" s="693">
        <v>184.93</v>
      </c>
      <c r="L9" s="651">
        <f t="shared" si="1"/>
        <v>253243</v>
      </c>
      <c r="M9" s="851">
        <f t="shared" si="2"/>
        <v>253243</v>
      </c>
      <c r="N9" s="852"/>
      <c r="O9" s="900"/>
      <c r="P9" s="900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/>
      <c r="E10" s="500"/>
      <c r="F10" s="497">
        <f t="shared" si="0"/>
        <v>0</v>
      </c>
      <c r="G10" s="505"/>
      <c r="H10" s="499" t="s">
        <v>21</v>
      </c>
      <c r="I10" s="499"/>
      <c r="J10" s="693">
        <v>289473.83000000007</v>
      </c>
      <c r="K10" s="693">
        <v>40494.43</v>
      </c>
      <c r="L10" s="651">
        <f t="shared" si="1"/>
        <v>55453072</v>
      </c>
      <c r="M10" s="851">
        <f t="shared" si="2"/>
        <v>55453072</v>
      </c>
      <c r="N10" s="852"/>
      <c r="O10" s="900"/>
      <c r="P10" s="900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1383.4001035277877</v>
      </c>
      <c r="H11" s="506" t="s">
        <v>1057</v>
      </c>
      <c r="I11" s="507" t="s">
        <v>1279</v>
      </c>
      <c r="J11" s="511"/>
      <c r="K11" s="855"/>
      <c r="L11" s="854">
        <f t="shared" si="1"/>
        <v>0</v>
      </c>
      <c r="M11" s="851">
        <f t="shared" si="2"/>
        <v>0</v>
      </c>
      <c r="N11" s="853"/>
      <c r="O11" s="852"/>
      <c r="P11" s="901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500"/>
      <c r="E12" s="500"/>
      <c r="F12" s="497">
        <f t="shared" si="0"/>
        <v>0</v>
      </c>
      <c r="G12" s="512">
        <f>E13+Q13+AB13</f>
        <v>3187.55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51">
        <f t="shared" si="2"/>
        <v>0</v>
      </c>
      <c r="N12" s="852"/>
      <c r="O12" s="852"/>
      <c r="P12" s="901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23135.56</v>
      </c>
      <c r="E13" s="515">
        <f>SUM(E5:E11)-E12</f>
        <v>3187.55</v>
      </c>
      <c r="F13" s="870">
        <f>SUM(F5:F11)-F12</f>
        <v>4409657</v>
      </c>
      <c r="G13" s="518">
        <f>F13+R13+AC13</f>
        <v>4409657</v>
      </c>
      <c r="H13" s="868" t="s">
        <v>22</v>
      </c>
      <c r="I13" s="869"/>
      <c r="J13" s="515">
        <f>SUM(J5:J11)-J12</f>
        <v>372444.69000000006</v>
      </c>
      <c r="K13" s="515">
        <f>SUM(K5:K11)-K12</f>
        <v>52086.58</v>
      </c>
      <c r="L13" s="870">
        <f>SUM(L5:L11)-L12</f>
        <v>71327362</v>
      </c>
      <c r="M13" s="889">
        <f t="shared" si="2"/>
        <v>75737019</v>
      </c>
      <c r="N13" s="872"/>
      <c r="O13" s="873"/>
      <c r="P13" s="776"/>
      <c r="Q13" s="776"/>
      <c r="R13" s="776"/>
      <c r="S13" s="874"/>
      <c r="U13" s="850"/>
      <c r="X13" s="875">
        <f>F13+R13</f>
        <v>4409657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3">SUM(D7:D10)</f>
        <v>23135.56</v>
      </c>
      <c r="E14" s="739">
        <f t="shared" si="3"/>
        <v>3187.55</v>
      </c>
      <c r="F14" s="739">
        <f>SUM(F7:F10)</f>
        <v>4409657</v>
      </c>
      <c r="G14" s="524"/>
      <c r="J14" s="904">
        <f>J13+D13</f>
        <v>395580.25000000006</v>
      </c>
      <c r="K14" s="904">
        <f t="shared" ref="K14:L14" si="4">K13+E13</f>
        <v>55274.130000000005</v>
      </c>
      <c r="L14" s="904">
        <f t="shared" si="4"/>
        <v>75737019</v>
      </c>
      <c r="M14" s="865" t="e">
        <f>M16-E12</f>
        <v>#REF!</v>
      </c>
      <c r="O14" s="525"/>
      <c r="P14" s="844">
        <f>P13+D13+J13</f>
        <v>395580.25000000006</v>
      </c>
      <c r="Q14" s="844">
        <f>Q13+E13+K13</f>
        <v>55274.130000000005</v>
      </c>
      <c r="R14" s="845">
        <f>R13+F13+L13</f>
        <v>75737019</v>
      </c>
      <c r="X14" s="470"/>
      <c r="Y14" s="525"/>
      <c r="AB14" s="525"/>
      <c r="AC14" s="489"/>
    </row>
    <row r="15" spans="1:29" ht="14.25" customHeight="1">
      <c r="A15" s="449"/>
      <c r="C15" s="520"/>
      <c r="D15" s="739"/>
      <c r="E15" s="739"/>
      <c r="F15" s="739"/>
      <c r="G15" s="524"/>
      <c r="L15" s="489"/>
      <c r="M15" s="865"/>
      <c r="O15" s="525"/>
      <c r="P15" s="844"/>
      <c r="Q15" s="844"/>
      <c r="R15" s="845"/>
      <c r="X15" s="470"/>
      <c r="Y15" s="525"/>
      <c r="AB15" s="525"/>
      <c r="AC15" s="489"/>
    </row>
    <row r="16" spans="1:29" ht="18.75" customHeight="1" thickBot="1">
      <c r="A16" s="449"/>
      <c r="C16" s="520"/>
      <c r="D16" s="520"/>
      <c r="E16" s="523"/>
      <c r="F16" s="523"/>
      <c r="G16" s="524"/>
      <c r="I16" s="525"/>
      <c r="J16" s="526"/>
      <c r="K16" s="652" t="e">
        <f>SUBTOTAL(9,K19:K120)</f>
        <v>#REF!</v>
      </c>
      <c r="L16" s="137"/>
      <c r="M16" s="652" t="e">
        <f>SUBTOTAL(9,M19:M120)</f>
        <v>#REF!</v>
      </c>
      <c r="N16" s="525"/>
      <c r="Q16" s="525"/>
    </row>
    <row r="17" spans="1:29" ht="11.25" customHeight="1">
      <c r="A17" s="449"/>
      <c r="B17" s="527" t="s">
        <v>24</v>
      </c>
      <c r="C17" s="528" t="s">
        <v>25</v>
      </c>
      <c r="D17" s="528" t="s">
        <v>1061</v>
      </c>
      <c r="E17" s="530" t="s">
        <v>26</v>
      </c>
      <c r="F17" s="531" t="s">
        <v>1</v>
      </c>
      <c r="G17" s="532" t="s">
        <v>2</v>
      </c>
      <c r="H17" s="2072" t="s">
        <v>29</v>
      </c>
      <c r="I17" s="2073"/>
      <c r="J17" s="2073"/>
      <c r="K17" s="2072" t="s">
        <v>30</v>
      </c>
      <c r="L17" s="2073"/>
      <c r="M17" s="2074"/>
      <c r="N17" s="2075" t="s">
        <v>31</v>
      </c>
      <c r="O17" s="2076"/>
      <c r="P17" s="2077"/>
      <c r="Q17" s="2077"/>
      <c r="R17" s="533" t="s">
        <v>1062</v>
      </c>
    </row>
    <row r="18" spans="1:29" ht="11.25" customHeight="1">
      <c r="A18" s="449"/>
      <c r="B18" s="534" t="s">
        <v>1063</v>
      </c>
      <c r="C18" s="535" t="s">
        <v>1064</v>
      </c>
      <c r="D18" s="535" t="s">
        <v>1065</v>
      </c>
      <c r="E18" s="537" t="s">
        <v>1066</v>
      </c>
      <c r="F18" s="538" t="s">
        <v>1067</v>
      </c>
      <c r="G18" s="539" t="s">
        <v>1068</v>
      </c>
      <c r="H18" s="540" t="s">
        <v>1069</v>
      </c>
      <c r="I18" s="540" t="s">
        <v>1070</v>
      </c>
      <c r="J18" s="541" t="s">
        <v>34</v>
      </c>
      <c r="K18" s="541" t="s">
        <v>1069</v>
      </c>
      <c r="L18" s="540" t="s">
        <v>1070</v>
      </c>
      <c r="M18" s="606" t="s">
        <v>34</v>
      </c>
      <c r="N18" s="609" t="s">
        <v>1069</v>
      </c>
      <c r="O18" s="610" t="s">
        <v>34</v>
      </c>
      <c r="P18" s="2081" t="s">
        <v>32</v>
      </c>
      <c r="Q18" s="2081"/>
      <c r="R18" s="486" t="s">
        <v>1062</v>
      </c>
    </row>
    <row r="19" spans="1:29" ht="11.25" customHeight="1">
      <c r="B19" s="657">
        <v>45504</v>
      </c>
      <c r="C19" s="658"/>
      <c r="D19" s="658"/>
      <c r="E19" s="660"/>
      <c r="F19" s="863"/>
      <c r="G19" s="661"/>
      <c r="H19" s="662"/>
      <c r="I19" s="658"/>
      <c r="J19" s="661"/>
      <c r="K19" s="682"/>
      <c r="L19" s="663"/>
      <c r="M19" s="679"/>
      <c r="N19" s="902">
        <v>23059.200000000121</v>
      </c>
      <c r="O19" s="903">
        <v>3187.5533823585192</v>
      </c>
      <c r="P19" s="681"/>
      <c r="Q19" s="798"/>
      <c r="R19" s="805"/>
      <c r="S19" s="846">
        <v>3187.55</v>
      </c>
    </row>
    <row r="20" spans="1:29" s="574" customFormat="1" ht="11.25" customHeight="1">
      <c r="A20" s="544"/>
      <c r="B20" s="700">
        <v>45517</v>
      </c>
      <c r="C20" s="891" t="s">
        <v>1088</v>
      </c>
      <c r="D20" s="891"/>
      <c r="E20" s="702"/>
      <c r="F20" s="703"/>
      <c r="G20" s="703"/>
      <c r="H20" s="898">
        <v>409380.37</v>
      </c>
      <c r="I20" s="897"/>
      <c r="J20" s="898">
        <v>57247</v>
      </c>
      <c r="K20" s="821"/>
      <c r="L20" s="706"/>
      <c r="M20" s="884"/>
      <c r="N20" s="707">
        <f t="shared" ref="N20:N51" si="5">N19+H20-K20</f>
        <v>432439.57000000012</v>
      </c>
      <c r="O20" s="708">
        <f t="shared" ref="O20:O51" si="6">O19+J20-M20</f>
        <v>60434.553382358521</v>
      </c>
      <c r="P20" s="709"/>
      <c r="Q20" s="825"/>
      <c r="R20" s="878"/>
      <c r="S20" s="525"/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700">
        <v>45517</v>
      </c>
      <c r="C21" s="891" t="s">
        <v>445</v>
      </c>
      <c r="D21" s="891"/>
      <c r="E21" s="702">
        <v>1</v>
      </c>
      <c r="F21" s="703" t="s">
        <v>107</v>
      </c>
      <c r="G21" s="703"/>
      <c r="H21" s="712"/>
      <c r="I21" s="704"/>
      <c r="J21" s="704"/>
      <c r="K21" s="821"/>
      <c r="L21" s="706"/>
      <c r="M21" s="885">
        <v>51</v>
      </c>
      <c r="N21" s="707">
        <f t="shared" si="5"/>
        <v>432439.57000000012</v>
      </c>
      <c r="O21" s="708">
        <f t="shared" si="6"/>
        <v>60383.553382358521</v>
      </c>
      <c r="P21" s="709" t="s">
        <v>1332</v>
      </c>
      <c r="Q21" s="825"/>
      <c r="R21" s="878"/>
      <c r="S21" s="525"/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customHeight="1">
      <c r="A22" s="544"/>
      <c r="B22" s="568">
        <v>45518</v>
      </c>
      <c r="C22" s="895" t="s">
        <v>1322</v>
      </c>
      <c r="D22" s="600"/>
      <c r="E22" s="668">
        <v>2</v>
      </c>
      <c r="F22" s="569" t="s">
        <v>105</v>
      </c>
      <c r="G22" s="569" t="s">
        <v>1122</v>
      </c>
      <c r="H22" s="569"/>
      <c r="I22" s="569"/>
      <c r="J22" s="569"/>
      <c r="K22" s="637" t="e">
        <f>L22*M22</f>
        <v>#REF!</v>
      </c>
      <c r="L22" s="542" t="e">
        <f>'통장내역(환율표)'!#REF!</f>
        <v>#REF!</v>
      </c>
      <c r="M22" s="766">
        <v>3187.55</v>
      </c>
      <c r="N22" s="687" t="e">
        <f t="shared" si="5"/>
        <v>#REF!</v>
      </c>
      <c r="O22" s="688">
        <f t="shared" si="6"/>
        <v>57196.003382358518</v>
      </c>
      <c r="P22" s="689" t="s">
        <v>1319</v>
      </c>
      <c r="Q22" s="801"/>
      <c r="R22" s="808"/>
      <c r="S22" s="883">
        <f>S19-M22+J22</f>
        <v>0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customHeight="1">
      <c r="A23" s="544"/>
      <c r="B23" s="568">
        <v>45518</v>
      </c>
      <c r="C23" s="895" t="s">
        <v>1322</v>
      </c>
      <c r="D23" s="600"/>
      <c r="E23" s="668">
        <v>2</v>
      </c>
      <c r="F23" s="569" t="s">
        <v>105</v>
      </c>
      <c r="G23" s="569" t="s">
        <v>1122</v>
      </c>
      <c r="H23" s="569"/>
      <c r="I23" s="569"/>
      <c r="J23" s="569"/>
      <c r="K23" s="637" t="e">
        <f>24490-K22</f>
        <v>#REF!</v>
      </c>
      <c r="L23" s="542" t="e">
        <f>'통장내역(환율표)'!#REF!</f>
        <v>#REF!</v>
      </c>
      <c r="M23" s="617" t="e">
        <f t="shared" ref="M23:M54" si="7">K23/L23</f>
        <v>#REF!</v>
      </c>
      <c r="N23" s="687" t="e">
        <f t="shared" si="5"/>
        <v>#REF!</v>
      </c>
      <c r="O23" s="688" t="e">
        <f t="shared" si="6"/>
        <v>#REF!</v>
      </c>
      <c r="P23" s="689" t="s">
        <v>1332</v>
      </c>
      <c r="Q23" s="801"/>
      <c r="R23" s="808"/>
      <c r="S23" s="645" t="e">
        <f>57196-M23</f>
        <v>#REF!</v>
      </c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customHeight="1">
      <c r="A24" s="544"/>
      <c r="B24" s="568">
        <v>45518</v>
      </c>
      <c r="C24" s="895" t="s">
        <v>445</v>
      </c>
      <c r="D24" s="600"/>
      <c r="E24" s="668">
        <v>3</v>
      </c>
      <c r="F24" s="569" t="s">
        <v>107</v>
      </c>
      <c r="G24" s="569"/>
      <c r="H24" s="569"/>
      <c r="I24" s="569"/>
      <c r="J24" s="569"/>
      <c r="K24" s="637">
        <v>7.2</v>
      </c>
      <c r="L24" s="542" t="e">
        <f>'통장내역(환율표)'!#REF!</f>
        <v>#REF!</v>
      </c>
      <c r="M24" s="617" t="e">
        <f t="shared" si="7"/>
        <v>#REF!</v>
      </c>
      <c r="N24" s="687" t="e">
        <f t="shared" si="5"/>
        <v>#REF!</v>
      </c>
      <c r="O24" s="688" t="e">
        <f t="shared" si="6"/>
        <v>#REF!</v>
      </c>
      <c r="P24" s="689" t="s">
        <v>1331</v>
      </c>
      <c r="Q24" s="801"/>
      <c r="R24" s="808"/>
      <c r="S24" s="883" t="e">
        <f>S23-M24+J24</f>
        <v>#REF!</v>
      </c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1.25" customHeight="1">
      <c r="A25" s="544"/>
      <c r="B25" s="568">
        <v>45518</v>
      </c>
      <c r="C25" s="895" t="s">
        <v>1276</v>
      </c>
      <c r="D25" s="600"/>
      <c r="E25" s="668">
        <v>4</v>
      </c>
      <c r="F25" s="569" t="s">
        <v>146</v>
      </c>
      <c r="G25" s="569" t="s">
        <v>147</v>
      </c>
      <c r="H25" s="569"/>
      <c r="I25" s="569"/>
      <c r="J25" s="569"/>
      <c r="K25" s="637">
        <v>1600</v>
      </c>
      <c r="L25" s="542" t="e">
        <f>'통장내역(환율표)'!#REF!</f>
        <v>#REF!</v>
      </c>
      <c r="M25" s="617" t="e">
        <f t="shared" si="7"/>
        <v>#REF!</v>
      </c>
      <c r="N25" s="687" t="e">
        <f t="shared" si="5"/>
        <v>#REF!</v>
      </c>
      <c r="O25" s="688" t="e">
        <f t="shared" si="6"/>
        <v>#REF!</v>
      </c>
      <c r="P25" s="689" t="s">
        <v>1331</v>
      </c>
      <c r="Q25" s="801"/>
      <c r="R25" s="808"/>
      <c r="S25" s="883" t="e">
        <f t="shared" ref="S25:S88" si="8">S24-M25+J25</f>
        <v>#REF!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574" customFormat="1" ht="11.25" customHeight="1">
      <c r="A26" s="544"/>
      <c r="B26" s="568">
        <v>45518</v>
      </c>
      <c r="C26" s="895" t="s">
        <v>445</v>
      </c>
      <c r="D26" s="600"/>
      <c r="E26" s="668">
        <v>5</v>
      </c>
      <c r="F26" s="569" t="s">
        <v>107</v>
      </c>
      <c r="G26" s="569"/>
      <c r="H26" s="569"/>
      <c r="I26" s="569"/>
      <c r="J26" s="569"/>
      <c r="K26" s="637">
        <v>3.6</v>
      </c>
      <c r="L26" s="542" t="e">
        <f>'통장내역(환율표)'!#REF!</f>
        <v>#REF!</v>
      </c>
      <c r="M26" s="617" t="e">
        <f t="shared" si="7"/>
        <v>#REF!</v>
      </c>
      <c r="N26" s="687" t="e">
        <f t="shared" si="5"/>
        <v>#REF!</v>
      </c>
      <c r="O26" s="688" t="e">
        <f t="shared" si="6"/>
        <v>#REF!</v>
      </c>
      <c r="P26" s="689" t="s">
        <v>1331</v>
      </c>
      <c r="Q26" s="801"/>
      <c r="R26" s="808"/>
      <c r="S26" s="883" t="e">
        <f t="shared" si="8"/>
        <v>#REF!</v>
      </c>
      <c r="T26" s="461"/>
      <c r="V26" s="461"/>
      <c r="W26" s="461"/>
      <c r="X26" s="461"/>
      <c r="Y26" s="461"/>
      <c r="Z26" s="461"/>
      <c r="AA26" s="461"/>
      <c r="AB26" s="461"/>
      <c r="AC26" s="461"/>
    </row>
    <row r="27" spans="1:29" s="574" customFormat="1" ht="11.25" customHeight="1">
      <c r="A27" s="544"/>
      <c r="B27" s="568">
        <v>45526</v>
      </c>
      <c r="C27" s="895" t="s">
        <v>885</v>
      </c>
      <c r="D27" s="600"/>
      <c r="E27" s="668">
        <v>6</v>
      </c>
      <c r="F27" s="569" t="s">
        <v>107</v>
      </c>
      <c r="G27" s="569"/>
      <c r="H27" s="569"/>
      <c r="I27" s="569"/>
      <c r="J27" s="569"/>
      <c r="K27" s="637">
        <v>16000</v>
      </c>
      <c r="L27" s="542" t="e">
        <f>'통장내역(환율표)'!#REF!</f>
        <v>#REF!</v>
      </c>
      <c r="M27" s="617" t="e">
        <f t="shared" si="7"/>
        <v>#REF!</v>
      </c>
      <c r="N27" s="687" t="e">
        <f t="shared" si="5"/>
        <v>#REF!</v>
      </c>
      <c r="O27" s="688" t="e">
        <f t="shared" si="6"/>
        <v>#REF!</v>
      </c>
      <c r="P27" s="689" t="s">
        <v>1331</v>
      </c>
      <c r="Q27" s="801"/>
      <c r="R27" s="808"/>
      <c r="S27" s="883" t="e">
        <f t="shared" si="8"/>
        <v>#REF!</v>
      </c>
      <c r="T27" s="461"/>
      <c r="V27" s="461"/>
      <c r="W27" s="461"/>
      <c r="X27" s="461"/>
      <c r="Y27" s="461"/>
      <c r="Z27" s="461"/>
      <c r="AA27" s="461"/>
      <c r="AB27" s="461"/>
      <c r="AC27" s="461"/>
    </row>
    <row r="28" spans="1:29" s="574" customFormat="1" ht="11.25" customHeight="1">
      <c r="A28" s="544"/>
      <c r="B28" s="568">
        <v>45526</v>
      </c>
      <c r="C28" s="895" t="s">
        <v>938</v>
      </c>
      <c r="D28" s="600"/>
      <c r="E28" s="668">
        <v>6</v>
      </c>
      <c r="F28" s="569" t="s">
        <v>107</v>
      </c>
      <c r="G28" s="569"/>
      <c r="H28" s="569"/>
      <c r="I28" s="569"/>
      <c r="J28" s="569"/>
      <c r="K28" s="637">
        <v>24000</v>
      </c>
      <c r="L28" s="542" t="e">
        <f>'통장내역(환율표)'!#REF!</f>
        <v>#REF!</v>
      </c>
      <c r="M28" s="617" t="e">
        <f t="shared" si="7"/>
        <v>#REF!</v>
      </c>
      <c r="N28" s="687" t="e">
        <f t="shared" si="5"/>
        <v>#REF!</v>
      </c>
      <c r="O28" s="688" t="e">
        <f t="shared" si="6"/>
        <v>#REF!</v>
      </c>
      <c r="P28" s="689" t="s">
        <v>1331</v>
      </c>
      <c r="Q28" s="801"/>
      <c r="R28" s="808"/>
      <c r="S28" s="883" t="e">
        <f t="shared" si="8"/>
        <v>#REF!</v>
      </c>
      <c r="T28" s="461"/>
      <c r="V28" s="461"/>
      <c r="W28" s="461"/>
      <c r="X28" s="461"/>
      <c r="Y28" s="461"/>
      <c r="Z28" s="461"/>
      <c r="AA28" s="461"/>
      <c r="AB28" s="461"/>
      <c r="AC28" s="461"/>
    </row>
    <row r="29" spans="1:29" s="574" customFormat="1" ht="11.25" customHeight="1">
      <c r="A29" s="544"/>
      <c r="B29" s="568">
        <v>45526</v>
      </c>
      <c r="C29" s="895" t="s">
        <v>887</v>
      </c>
      <c r="D29" s="600"/>
      <c r="E29" s="668">
        <v>6</v>
      </c>
      <c r="F29" s="569" t="s">
        <v>107</v>
      </c>
      <c r="G29" s="569"/>
      <c r="H29" s="569"/>
      <c r="I29" s="569"/>
      <c r="J29" s="569"/>
      <c r="K29" s="637">
        <v>5145.1900000000005</v>
      </c>
      <c r="L29" s="542" t="e">
        <f>'통장내역(환율표)'!#REF!</f>
        <v>#REF!</v>
      </c>
      <c r="M29" s="617" t="e">
        <f t="shared" si="7"/>
        <v>#REF!</v>
      </c>
      <c r="N29" s="687" t="e">
        <f t="shared" si="5"/>
        <v>#REF!</v>
      </c>
      <c r="O29" s="688" t="e">
        <f t="shared" si="6"/>
        <v>#REF!</v>
      </c>
      <c r="P29" s="689" t="s">
        <v>1331</v>
      </c>
      <c r="Q29" s="801"/>
      <c r="R29" s="808"/>
      <c r="S29" s="883" t="e">
        <f t="shared" si="8"/>
        <v>#REF!</v>
      </c>
      <c r="T29" s="461"/>
      <c r="V29" s="461"/>
      <c r="W29" s="461"/>
      <c r="X29" s="461"/>
      <c r="Y29" s="461"/>
      <c r="Z29" s="461"/>
      <c r="AA29" s="461"/>
      <c r="AB29" s="461"/>
      <c r="AC29" s="461"/>
    </row>
    <row r="30" spans="1:29" s="574" customFormat="1" ht="11.25" customHeight="1">
      <c r="A30" s="544"/>
      <c r="B30" s="568">
        <v>45526</v>
      </c>
      <c r="C30" s="895" t="s">
        <v>888</v>
      </c>
      <c r="D30" s="600"/>
      <c r="E30" s="668">
        <v>6</v>
      </c>
      <c r="F30" s="569" t="s">
        <v>107</v>
      </c>
      <c r="G30" s="569"/>
      <c r="H30" s="569"/>
      <c r="I30" s="569"/>
      <c r="J30" s="569"/>
      <c r="K30" s="637">
        <v>6673.6000000000022</v>
      </c>
      <c r="L30" s="542" t="e">
        <f>'통장내역(환율표)'!#REF!</f>
        <v>#REF!</v>
      </c>
      <c r="M30" s="617" t="e">
        <f t="shared" si="7"/>
        <v>#REF!</v>
      </c>
      <c r="N30" s="687" t="e">
        <f t="shared" si="5"/>
        <v>#REF!</v>
      </c>
      <c r="O30" s="688" t="e">
        <f t="shared" si="6"/>
        <v>#REF!</v>
      </c>
      <c r="P30" s="689" t="s">
        <v>1331</v>
      </c>
      <c r="Q30" s="801"/>
      <c r="R30" s="808"/>
      <c r="S30" s="883" t="e">
        <f t="shared" si="8"/>
        <v>#REF!</v>
      </c>
      <c r="T30" s="461"/>
      <c r="V30" s="461"/>
      <c r="W30" s="461"/>
      <c r="X30" s="461"/>
      <c r="Y30" s="461"/>
      <c r="Z30" s="461"/>
      <c r="AA30" s="461"/>
      <c r="AB30" s="461"/>
      <c r="AC30" s="461"/>
    </row>
    <row r="31" spans="1:29" s="574" customFormat="1" ht="11.25" customHeight="1">
      <c r="A31" s="544"/>
      <c r="B31" s="568">
        <v>45526</v>
      </c>
      <c r="C31" s="895" t="s">
        <v>892</v>
      </c>
      <c r="D31" s="600"/>
      <c r="E31" s="668">
        <v>6</v>
      </c>
      <c r="F31" s="569" t="s">
        <v>107</v>
      </c>
      <c r="G31" s="569"/>
      <c r="H31" s="569"/>
      <c r="I31" s="569"/>
      <c r="J31" s="569"/>
      <c r="K31" s="637">
        <v>300</v>
      </c>
      <c r="L31" s="542" t="e">
        <f>'통장내역(환율표)'!#REF!</f>
        <v>#REF!</v>
      </c>
      <c r="M31" s="617" t="e">
        <f t="shared" si="7"/>
        <v>#REF!</v>
      </c>
      <c r="N31" s="687" t="e">
        <f t="shared" si="5"/>
        <v>#REF!</v>
      </c>
      <c r="O31" s="688" t="e">
        <f t="shared" si="6"/>
        <v>#REF!</v>
      </c>
      <c r="P31" s="689" t="s">
        <v>1331</v>
      </c>
      <c r="Q31" s="801"/>
      <c r="R31" s="808"/>
      <c r="S31" s="883" t="e">
        <f t="shared" si="8"/>
        <v>#REF!</v>
      </c>
      <c r="T31" s="461"/>
      <c r="V31" s="461"/>
      <c r="W31" s="461"/>
      <c r="X31" s="461"/>
      <c r="Y31" s="461"/>
      <c r="Z31" s="461"/>
      <c r="AA31" s="461"/>
      <c r="AB31" s="461"/>
      <c r="AC31" s="461"/>
    </row>
    <row r="32" spans="1:29" s="574" customFormat="1" ht="11.25" customHeight="1">
      <c r="A32" s="544"/>
      <c r="B32" s="568">
        <v>45526</v>
      </c>
      <c r="C32" s="895" t="s">
        <v>885</v>
      </c>
      <c r="D32" s="600"/>
      <c r="E32" s="668">
        <v>6</v>
      </c>
      <c r="F32" s="569" t="s">
        <v>107</v>
      </c>
      <c r="G32" s="569"/>
      <c r="H32" s="569"/>
      <c r="I32" s="569"/>
      <c r="J32" s="569"/>
      <c r="K32" s="637">
        <v>15000</v>
      </c>
      <c r="L32" s="542" t="e">
        <f>'통장내역(환율표)'!#REF!</f>
        <v>#REF!</v>
      </c>
      <c r="M32" s="617" t="e">
        <f t="shared" si="7"/>
        <v>#REF!</v>
      </c>
      <c r="N32" s="687" t="e">
        <f t="shared" si="5"/>
        <v>#REF!</v>
      </c>
      <c r="O32" s="688" t="e">
        <f t="shared" si="6"/>
        <v>#REF!</v>
      </c>
      <c r="P32" s="689" t="s">
        <v>1331</v>
      </c>
      <c r="Q32" s="801"/>
      <c r="R32" s="808"/>
      <c r="S32" s="883" t="e">
        <f t="shared" si="8"/>
        <v>#REF!</v>
      </c>
      <c r="T32" s="461"/>
      <c r="V32" s="461"/>
      <c r="W32" s="461"/>
      <c r="X32" s="461"/>
      <c r="Y32" s="461"/>
      <c r="Z32" s="461"/>
      <c r="AA32" s="461"/>
      <c r="AB32" s="461"/>
      <c r="AC32" s="461"/>
    </row>
    <row r="33" spans="1:29" s="574" customFormat="1" ht="11.25" customHeight="1">
      <c r="A33" s="544"/>
      <c r="B33" s="568">
        <v>45526</v>
      </c>
      <c r="C33" s="895" t="s">
        <v>938</v>
      </c>
      <c r="D33" s="600"/>
      <c r="E33" s="668">
        <v>6</v>
      </c>
      <c r="F33" s="569" t="s">
        <v>107</v>
      </c>
      <c r="G33" s="569"/>
      <c r="H33" s="569"/>
      <c r="I33" s="569"/>
      <c r="J33" s="569"/>
      <c r="K33" s="637">
        <v>22000</v>
      </c>
      <c r="L33" s="542" t="e">
        <f>'통장내역(환율표)'!#REF!</f>
        <v>#REF!</v>
      </c>
      <c r="M33" s="617" t="e">
        <f t="shared" si="7"/>
        <v>#REF!</v>
      </c>
      <c r="N33" s="687" t="e">
        <f t="shared" si="5"/>
        <v>#REF!</v>
      </c>
      <c r="O33" s="688" t="e">
        <f t="shared" si="6"/>
        <v>#REF!</v>
      </c>
      <c r="P33" s="689" t="s">
        <v>1331</v>
      </c>
      <c r="Q33" s="801"/>
      <c r="R33" s="808"/>
      <c r="S33" s="883" t="e">
        <f t="shared" si="8"/>
        <v>#REF!</v>
      </c>
      <c r="T33" s="461"/>
      <c r="V33" s="461"/>
      <c r="W33" s="461"/>
      <c r="X33" s="461"/>
      <c r="Y33" s="461"/>
      <c r="Z33" s="461"/>
      <c r="AA33" s="461"/>
      <c r="AB33" s="461"/>
      <c r="AC33" s="461"/>
    </row>
    <row r="34" spans="1:29" s="574" customFormat="1" ht="11.25" customHeight="1">
      <c r="A34" s="544"/>
      <c r="B34" s="568">
        <v>45526</v>
      </c>
      <c r="C34" s="895" t="s">
        <v>887</v>
      </c>
      <c r="D34" s="600"/>
      <c r="E34" s="668">
        <v>6</v>
      </c>
      <c r="F34" s="569" t="s">
        <v>107</v>
      </c>
      <c r="G34" s="569"/>
      <c r="H34" s="569"/>
      <c r="I34" s="569"/>
      <c r="J34" s="569"/>
      <c r="K34" s="637">
        <v>8576.1899999999987</v>
      </c>
      <c r="L34" s="542" t="e">
        <f>'통장내역(환율표)'!#REF!</f>
        <v>#REF!</v>
      </c>
      <c r="M34" s="617" t="e">
        <f t="shared" si="7"/>
        <v>#REF!</v>
      </c>
      <c r="N34" s="687" t="e">
        <f t="shared" si="5"/>
        <v>#REF!</v>
      </c>
      <c r="O34" s="688" t="e">
        <f t="shared" si="6"/>
        <v>#REF!</v>
      </c>
      <c r="P34" s="689" t="s">
        <v>1331</v>
      </c>
      <c r="Q34" s="801"/>
      <c r="R34" s="808"/>
      <c r="S34" s="883" t="e">
        <f t="shared" si="8"/>
        <v>#REF!</v>
      </c>
      <c r="T34" s="461"/>
      <c r="V34" s="461"/>
      <c r="W34" s="461"/>
      <c r="X34" s="461"/>
      <c r="Y34" s="461"/>
      <c r="Z34" s="461"/>
      <c r="AA34" s="461"/>
      <c r="AB34" s="461"/>
      <c r="AC34" s="461"/>
    </row>
    <row r="35" spans="1:29" s="574" customFormat="1" ht="11.25" customHeight="1">
      <c r="A35" s="544"/>
      <c r="B35" s="568">
        <v>45526</v>
      </c>
      <c r="C35" s="895" t="s">
        <v>888</v>
      </c>
      <c r="D35" s="600"/>
      <c r="E35" s="668">
        <v>6</v>
      </c>
      <c r="F35" s="569" t="s">
        <v>107</v>
      </c>
      <c r="G35" s="569"/>
      <c r="H35" s="569"/>
      <c r="I35" s="569"/>
      <c r="J35" s="569"/>
      <c r="K35" s="637">
        <v>5734</v>
      </c>
      <c r="L35" s="542" t="e">
        <f>'통장내역(환율표)'!#REF!</f>
        <v>#REF!</v>
      </c>
      <c r="M35" s="617" t="e">
        <f t="shared" si="7"/>
        <v>#REF!</v>
      </c>
      <c r="N35" s="687" t="e">
        <f t="shared" si="5"/>
        <v>#REF!</v>
      </c>
      <c r="O35" s="688" t="e">
        <f t="shared" si="6"/>
        <v>#REF!</v>
      </c>
      <c r="P35" s="689" t="s">
        <v>1331</v>
      </c>
      <c r="Q35" s="801"/>
      <c r="R35" s="808"/>
      <c r="S35" s="883" t="e">
        <f t="shared" si="8"/>
        <v>#REF!</v>
      </c>
      <c r="T35" s="461"/>
      <c r="V35" s="461"/>
      <c r="W35" s="461"/>
      <c r="X35" s="461"/>
      <c r="Y35" s="461"/>
      <c r="Z35" s="461"/>
      <c r="AA35" s="461"/>
      <c r="AB35" s="461"/>
      <c r="AC35" s="461"/>
    </row>
    <row r="36" spans="1:29" s="574" customFormat="1" ht="11.25" customHeight="1">
      <c r="A36" s="544"/>
      <c r="B36" s="568">
        <v>45526</v>
      </c>
      <c r="C36" s="895" t="s">
        <v>892</v>
      </c>
      <c r="D36" s="600"/>
      <c r="E36" s="668">
        <v>6</v>
      </c>
      <c r="F36" s="569" t="s">
        <v>107</v>
      </c>
      <c r="G36" s="569"/>
      <c r="H36" s="569"/>
      <c r="I36" s="569"/>
      <c r="J36" s="569"/>
      <c r="K36" s="637">
        <v>300</v>
      </c>
      <c r="L36" s="542" t="e">
        <f>'통장내역(환율표)'!#REF!</f>
        <v>#REF!</v>
      </c>
      <c r="M36" s="617" t="e">
        <f t="shared" si="7"/>
        <v>#REF!</v>
      </c>
      <c r="N36" s="687" t="e">
        <f t="shared" si="5"/>
        <v>#REF!</v>
      </c>
      <c r="O36" s="688" t="e">
        <f t="shared" si="6"/>
        <v>#REF!</v>
      </c>
      <c r="P36" s="689" t="s">
        <v>1331</v>
      </c>
      <c r="Q36" s="801"/>
      <c r="R36" s="808"/>
      <c r="S36" s="883" t="e">
        <f t="shared" si="8"/>
        <v>#REF!</v>
      </c>
      <c r="T36" s="461"/>
      <c r="V36" s="461"/>
      <c r="W36" s="461"/>
      <c r="X36" s="461"/>
      <c r="Y36" s="461"/>
      <c r="Z36" s="461"/>
      <c r="AA36" s="461"/>
      <c r="AB36" s="461"/>
      <c r="AC36" s="461"/>
    </row>
    <row r="37" spans="1:29" s="574" customFormat="1" ht="11.25" customHeight="1">
      <c r="A37" s="544"/>
      <c r="B37" s="568">
        <v>45526</v>
      </c>
      <c r="C37" s="895" t="s">
        <v>891</v>
      </c>
      <c r="D37" s="600"/>
      <c r="E37" s="668">
        <v>6</v>
      </c>
      <c r="F37" s="569" t="s">
        <v>107</v>
      </c>
      <c r="G37" s="569"/>
      <c r="H37" s="569"/>
      <c r="I37" s="569"/>
      <c r="J37" s="569"/>
      <c r="K37" s="637">
        <v>25750</v>
      </c>
      <c r="L37" s="542" t="e">
        <f>'통장내역(환율표)'!#REF!</f>
        <v>#REF!</v>
      </c>
      <c r="M37" s="617" t="e">
        <f t="shared" si="7"/>
        <v>#REF!</v>
      </c>
      <c r="N37" s="687" t="e">
        <f t="shared" si="5"/>
        <v>#REF!</v>
      </c>
      <c r="O37" s="688" t="e">
        <f t="shared" si="6"/>
        <v>#REF!</v>
      </c>
      <c r="P37" s="689" t="s">
        <v>1331</v>
      </c>
      <c r="Q37" s="801"/>
      <c r="R37" s="808"/>
      <c r="S37" s="883" t="e">
        <f t="shared" si="8"/>
        <v>#REF!</v>
      </c>
      <c r="T37" s="461"/>
      <c r="V37" s="461"/>
      <c r="W37" s="461"/>
      <c r="X37" s="461"/>
      <c r="Y37" s="461"/>
      <c r="Z37" s="461"/>
      <c r="AA37" s="461"/>
      <c r="AB37" s="461"/>
      <c r="AC37" s="461"/>
    </row>
    <row r="38" spans="1:29" s="574" customFormat="1" ht="11.25" customHeight="1">
      <c r="A38" s="544"/>
      <c r="B38" s="568">
        <v>45526</v>
      </c>
      <c r="C38" s="895" t="s">
        <v>939</v>
      </c>
      <c r="D38" s="600"/>
      <c r="E38" s="668">
        <v>6</v>
      </c>
      <c r="F38" s="569" t="s">
        <v>107</v>
      </c>
      <c r="G38" s="569"/>
      <c r="H38" s="569"/>
      <c r="I38" s="569"/>
      <c r="J38" s="569"/>
      <c r="K38" s="637">
        <v>7173.94</v>
      </c>
      <c r="L38" s="542" t="e">
        <f>'통장내역(환율표)'!#REF!</f>
        <v>#REF!</v>
      </c>
      <c r="M38" s="617" t="e">
        <f t="shared" si="7"/>
        <v>#REF!</v>
      </c>
      <c r="N38" s="687" t="e">
        <f t="shared" si="5"/>
        <v>#REF!</v>
      </c>
      <c r="O38" s="688" t="e">
        <f t="shared" si="6"/>
        <v>#REF!</v>
      </c>
      <c r="P38" s="689" t="s">
        <v>1331</v>
      </c>
      <c r="Q38" s="801"/>
      <c r="R38" s="808"/>
      <c r="S38" s="883" t="e">
        <f t="shared" si="8"/>
        <v>#REF!</v>
      </c>
      <c r="T38" s="461"/>
      <c r="V38" s="461"/>
      <c r="W38" s="461"/>
      <c r="X38" s="461"/>
      <c r="Y38" s="461"/>
      <c r="Z38" s="461"/>
      <c r="AA38" s="461"/>
      <c r="AB38" s="461"/>
      <c r="AC38" s="461"/>
    </row>
    <row r="39" spans="1:29" s="574" customFormat="1" ht="11.25" customHeight="1">
      <c r="A39" s="544"/>
      <c r="B39" s="568">
        <v>45526</v>
      </c>
      <c r="C39" s="895" t="s">
        <v>892</v>
      </c>
      <c r="D39" s="600"/>
      <c r="E39" s="668">
        <v>6</v>
      </c>
      <c r="F39" s="569" t="s">
        <v>107</v>
      </c>
      <c r="G39" s="569"/>
      <c r="H39" s="569"/>
      <c r="I39" s="569"/>
      <c r="J39" s="569"/>
      <c r="K39" s="637">
        <v>300</v>
      </c>
      <c r="L39" s="542" t="e">
        <f>'통장내역(환율표)'!#REF!</f>
        <v>#REF!</v>
      </c>
      <c r="M39" s="617" t="e">
        <f t="shared" si="7"/>
        <v>#REF!</v>
      </c>
      <c r="N39" s="687" t="e">
        <f t="shared" si="5"/>
        <v>#REF!</v>
      </c>
      <c r="O39" s="688" t="e">
        <f t="shared" si="6"/>
        <v>#REF!</v>
      </c>
      <c r="P39" s="689" t="s">
        <v>1331</v>
      </c>
      <c r="Q39" s="801"/>
      <c r="R39" s="808"/>
      <c r="S39" s="883" t="e">
        <f t="shared" si="8"/>
        <v>#REF!</v>
      </c>
      <c r="T39" s="461"/>
      <c r="V39" s="461"/>
      <c r="W39" s="461"/>
      <c r="X39" s="461"/>
      <c r="Y39" s="461"/>
      <c r="Z39" s="461"/>
      <c r="AA39" s="461"/>
      <c r="AB39" s="461"/>
      <c r="AC39" s="461"/>
    </row>
    <row r="40" spans="1:29" s="574" customFormat="1" ht="11.25" customHeight="1">
      <c r="A40" s="544"/>
      <c r="B40" s="568">
        <v>45526</v>
      </c>
      <c r="C40" s="895" t="s">
        <v>983</v>
      </c>
      <c r="D40" s="600"/>
      <c r="E40" s="668">
        <v>6</v>
      </c>
      <c r="F40" s="569" t="s">
        <v>107</v>
      </c>
      <c r="G40" s="569"/>
      <c r="H40" s="569"/>
      <c r="I40" s="569"/>
      <c r="J40" s="569"/>
      <c r="K40" s="637">
        <v>700</v>
      </c>
      <c r="L40" s="542" t="e">
        <f>'통장내역(환율표)'!#REF!</f>
        <v>#REF!</v>
      </c>
      <c r="M40" s="617" t="e">
        <f t="shared" si="7"/>
        <v>#REF!</v>
      </c>
      <c r="N40" s="687" t="e">
        <f t="shared" si="5"/>
        <v>#REF!</v>
      </c>
      <c r="O40" s="688" t="e">
        <f t="shared" si="6"/>
        <v>#REF!</v>
      </c>
      <c r="P40" s="689" t="s">
        <v>1331</v>
      </c>
      <c r="Q40" s="801"/>
      <c r="R40" s="808"/>
      <c r="S40" s="883" t="e">
        <f t="shared" si="8"/>
        <v>#REF!</v>
      </c>
      <c r="T40" s="461"/>
      <c r="V40" s="461"/>
      <c r="W40" s="461"/>
      <c r="X40" s="461"/>
      <c r="Y40" s="461"/>
      <c r="Z40" s="461"/>
      <c r="AA40" s="461"/>
      <c r="AB40" s="461"/>
      <c r="AC40" s="461"/>
    </row>
    <row r="41" spans="1:29" s="574" customFormat="1" ht="11.25" customHeight="1">
      <c r="A41" s="544"/>
      <c r="B41" s="568">
        <v>45526</v>
      </c>
      <c r="C41" s="895" t="s">
        <v>891</v>
      </c>
      <c r="D41" s="600"/>
      <c r="E41" s="668">
        <v>6</v>
      </c>
      <c r="F41" s="569" t="s">
        <v>107</v>
      </c>
      <c r="G41" s="569"/>
      <c r="H41" s="569"/>
      <c r="I41" s="569"/>
      <c r="J41" s="569"/>
      <c r="K41" s="637">
        <v>13390</v>
      </c>
      <c r="L41" s="542" t="e">
        <f>'통장내역(환율표)'!#REF!</f>
        <v>#REF!</v>
      </c>
      <c r="M41" s="617" t="e">
        <f t="shared" si="7"/>
        <v>#REF!</v>
      </c>
      <c r="N41" s="687" t="e">
        <f t="shared" si="5"/>
        <v>#REF!</v>
      </c>
      <c r="O41" s="688" t="e">
        <f t="shared" si="6"/>
        <v>#REF!</v>
      </c>
      <c r="P41" s="689" t="s">
        <v>1331</v>
      </c>
      <c r="Q41" s="801"/>
      <c r="R41" s="808"/>
      <c r="S41" s="883" t="e">
        <f t="shared" si="8"/>
        <v>#REF!</v>
      </c>
      <c r="T41" s="461"/>
      <c r="V41" s="461"/>
      <c r="W41" s="461"/>
      <c r="X41" s="461"/>
      <c r="Y41" s="461"/>
      <c r="Z41" s="461"/>
      <c r="AA41" s="461"/>
      <c r="AB41" s="461"/>
      <c r="AC41" s="461"/>
    </row>
    <row r="42" spans="1:29" s="574" customFormat="1" ht="11.25" customHeight="1">
      <c r="A42" s="544"/>
      <c r="B42" s="568">
        <v>45526</v>
      </c>
      <c r="C42" s="895" t="s">
        <v>939</v>
      </c>
      <c r="D42" s="600"/>
      <c r="E42" s="668">
        <v>6</v>
      </c>
      <c r="F42" s="569" t="s">
        <v>107</v>
      </c>
      <c r="G42" s="569"/>
      <c r="H42" s="569"/>
      <c r="I42" s="569"/>
      <c r="J42" s="569"/>
      <c r="K42" s="637">
        <v>3147.67</v>
      </c>
      <c r="L42" s="542" t="e">
        <f>'통장내역(환율표)'!#REF!</f>
        <v>#REF!</v>
      </c>
      <c r="M42" s="617" t="e">
        <f t="shared" si="7"/>
        <v>#REF!</v>
      </c>
      <c r="N42" s="687" t="e">
        <f t="shared" si="5"/>
        <v>#REF!</v>
      </c>
      <c r="O42" s="688" t="e">
        <f t="shared" si="6"/>
        <v>#REF!</v>
      </c>
      <c r="P42" s="689" t="s">
        <v>1331</v>
      </c>
      <c r="Q42" s="801"/>
      <c r="R42" s="808"/>
      <c r="S42" s="883" t="e">
        <f t="shared" si="8"/>
        <v>#REF!</v>
      </c>
      <c r="T42" s="461"/>
      <c r="V42" s="461"/>
      <c r="W42" s="461"/>
      <c r="X42" s="461"/>
      <c r="Y42" s="461"/>
      <c r="Z42" s="461"/>
      <c r="AA42" s="461"/>
      <c r="AB42" s="461"/>
      <c r="AC42" s="461"/>
    </row>
    <row r="43" spans="1:29" s="574" customFormat="1" ht="11.25" customHeight="1">
      <c r="A43" s="544"/>
      <c r="B43" s="568">
        <v>45526</v>
      </c>
      <c r="C43" s="895" t="s">
        <v>892</v>
      </c>
      <c r="D43" s="600"/>
      <c r="E43" s="668">
        <v>6</v>
      </c>
      <c r="F43" s="569" t="s">
        <v>107</v>
      </c>
      <c r="G43" s="569"/>
      <c r="H43" s="569"/>
      <c r="I43" s="569"/>
      <c r="J43" s="569"/>
      <c r="K43" s="637">
        <v>300</v>
      </c>
      <c r="L43" s="542" t="e">
        <f>'통장내역(환율표)'!#REF!</f>
        <v>#REF!</v>
      </c>
      <c r="M43" s="617" t="e">
        <f t="shared" si="7"/>
        <v>#REF!</v>
      </c>
      <c r="N43" s="687" t="e">
        <f t="shared" si="5"/>
        <v>#REF!</v>
      </c>
      <c r="O43" s="688" t="e">
        <f t="shared" si="6"/>
        <v>#REF!</v>
      </c>
      <c r="P43" s="689" t="s">
        <v>1331</v>
      </c>
      <c r="Q43" s="801"/>
      <c r="R43" s="808"/>
      <c r="S43" s="883" t="e">
        <f t="shared" si="8"/>
        <v>#REF!</v>
      </c>
      <c r="T43" s="461"/>
      <c r="V43" s="461"/>
      <c r="W43" s="461"/>
      <c r="X43" s="461"/>
      <c r="Y43" s="461"/>
      <c r="Z43" s="461"/>
      <c r="AA43" s="461"/>
      <c r="AB43" s="461"/>
      <c r="AC43" s="461"/>
    </row>
    <row r="44" spans="1:29" s="574" customFormat="1" ht="11.25" customHeight="1">
      <c r="A44" s="544"/>
      <c r="B44" s="568">
        <v>45526</v>
      </c>
      <c r="C44" s="895" t="s">
        <v>983</v>
      </c>
      <c r="D44" s="600"/>
      <c r="E44" s="668">
        <v>6</v>
      </c>
      <c r="F44" s="569" t="s">
        <v>107</v>
      </c>
      <c r="G44" s="569"/>
      <c r="H44" s="569"/>
      <c r="I44" s="569"/>
      <c r="J44" s="569"/>
      <c r="K44" s="637">
        <v>1200</v>
      </c>
      <c r="L44" s="542" t="e">
        <f>'통장내역(환율표)'!#REF!</f>
        <v>#REF!</v>
      </c>
      <c r="M44" s="617" t="e">
        <f t="shared" si="7"/>
        <v>#REF!</v>
      </c>
      <c r="N44" s="687" t="e">
        <f t="shared" si="5"/>
        <v>#REF!</v>
      </c>
      <c r="O44" s="688" t="e">
        <f t="shared" si="6"/>
        <v>#REF!</v>
      </c>
      <c r="P44" s="689" t="s">
        <v>1331</v>
      </c>
      <c r="Q44" s="801"/>
      <c r="R44" s="808"/>
      <c r="S44" s="883" t="e">
        <f t="shared" si="8"/>
        <v>#REF!</v>
      </c>
      <c r="T44" s="461"/>
      <c r="V44" s="461"/>
      <c r="W44" s="461"/>
      <c r="X44" s="461"/>
      <c r="Y44" s="461"/>
      <c r="Z44" s="461"/>
      <c r="AA44" s="461"/>
      <c r="AB44" s="461"/>
      <c r="AC44" s="461"/>
    </row>
    <row r="45" spans="1:29" s="574" customFormat="1" ht="11.25" customHeight="1">
      <c r="A45" s="544"/>
      <c r="B45" s="568">
        <v>45526</v>
      </c>
      <c r="C45" s="895" t="s">
        <v>891</v>
      </c>
      <c r="D45" s="600"/>
      <c r="E45" s="668">
        <v>6</v>
      </c>
      <c r="F45" s="569" t="s">
        <v>107</v>
      </c>
      <c r="G45" s="569"/>
      <c r="H45" s="569"/>
      <c r="I45" s="569"/>
      <c r="J45" s="569"/>
      <c r="K45" s="637">
        <v>25750</v>
      </c>
      <c r="L45" s="542" t="e">
        <f>'통장내역(환율표)'!#REF!</f>
        <v>#REF!</v>
      </c>
      <c r="M45" s="617" t="e">
        <f t="shared" si="7"/>
        <v>#REF!</v>
      </c>
      <c r="N45" s="687" t="e">
        <f t="shared" si="5"/>
        <v>#REF!</v>
      </c>
      <c r="O45" s="688" t="e">
        <f t="shared" si="6"/>
        <v>#REF!</v>
      </c>
      <c r="P45" s="689" t="s">
        <v>1331</v>
      </c>
      <c r="Q45" s="801"/>
      <c r="R45" s="808"/>
      <c r="S45" s="883" t="e">
        <f t="shared" si="8"/>
        <v>#REF!</v>
      </c>
      <c r="T45" s="461"/>
      <c r="V45" s="461"/>
      <c r="W45" s="461"/>
      <c r="X45" s="461"/>
      <c r="Y45" s="461"/>
      <c r="Z45" s="461"/>
      <c r="AA45" s="461"/>
      <c r="AB45" s="461"/>
      <c r="AC45" s="461"/>
    </row>
    <row r="46" spans="1:29" s="574" customFormat="1" ht="11.25" customHeight="1">
      <c r="A46" s="544"/>
      <c r="B46" s="568">
        <v>45526</v>
      </c>
      <c r="C46" s="895" t="s">
        <v>939</v>
      </c>
      <c r="D46" s="600"/>
      <c r="E46" s="668">
        <v>6</v>
      </c>
      <c r="F46" s="569" t="s">
        <v>107</v>
      </c>
      <c r="G46" s="569"/>
      <c r="H46" s="569"/>
      <c r="I46" s="569"/>
      <c r="J46" s="569"/>
      <c r="K46" s="637">
        <v>7173.94</v>
      </c>
      <c r="L46" s="542" t="e">
        <f>'통장내역(환율표)'!#REF!</f>
        <v>#REF!</v>
      </c>
      <c r="M46" s="617" t="e">
        <f t="shared" si="7"/>
        <v>#REF!</v>
      </c>
      <c r="N46" s="687" t="e">
        <f t="shared" si="5"/>
        <v>#REF!</v>
      </c>
      <c r="O46" s="688" t="e">
        <f t="shared" si="6"/>
        <v>#REF!</v>
      </c>
      <c r="P46" s="689" t="s">
        <v>1331</v>
      </c>
      <c r="Q46" s="801"/>
      <c r="R46" s="808"/>
      <c r="S46" s="883" t="e">
        <f t="shared" si="8"/>
        <v>#REF!</v>
      </c>
      <c r="T46" s="461"/>
      <c r="V46" s="461"/>
      <c r="W46" s="461"/>
      <c r="X46" s="461"/>
      <c r="Y46" s="461"/>
      <c r="Z46" s="461"/>
      <c r="AA46" s="461"/>
      <c r="AB46" s="461"/>
      <c r="AC46" s="461"/>
    </row>
    <row r="47" spans="1:29" s="574" customFormat="1" ht="11.25" customHeight="1">
      <c r="A47" s="544"/>
      <c r="B47" s="568">
        <v>45526</v>
      </c>
      <c r="C47" s="895" t="s">
        <v>892</v>
      </c>
      <c r="D47" s="600"/>
      <c r="E47" s="668">
        <v>6</v>
      </c>
      <c r="F47" s="569" t="s">
        <v>107</v>
      </c>
      <c r="G47" s="569"/>
      <c r="H47" s="569"/>
      <c r="I47" s="569"/>
      <c r="J47" s="569"/>
      <c r="K47" s="637">
        <v>300</v>
      </c>
      <c r="L47" s="542" t="e">
        <f>'통장내역(환율표)'!#REF!</f>
        <v>#REF!</v>
      </c>
      <c r="M47" s="617" t="e">
        <f t="shared" si="7"/>
        <v>#REF!</v>
      </c>
      <c r="N47" s="687" t="e">
        <f t="shared" si="5"/>
        <v>#REF!</v>
      </c>
      <c r="O47" s="688" t="e">
        <f t="shared" si="6"/>
        <v>#REF!</v>
      </c>
      <c r="P47" s="689" t="s">
        <v>1331</v>
      </c>
      <c r="Q47" s="801"/>
      <c r="R47" s="808"/>
      <c r="S47" s="883" t="e">
        <f t="shared" si="8"/>
        <v>#REF!</v>
      </c>
      <c r="T47" s="461"/>
      <c r="V47" s="461"/>
      <c r="W47" s="461"/>
      <c r="X47" s="461"/>
      <c r="Y47" s="461"/>
      <c r="Z47" s="461"/>
      <c r="AA47" s="461"/>
      <c r="AB47" s="461"/>
      <c r="AC47" s="461"/>
    </row>
    <row r="48" spans="1:29" s="574" customFormat="1" ht="11.25" customHeight="1">
      <c r="A48" s="544"/>
      <c r="B48" s="568">
        <v>45526</v>
      </c>
      <c r="C48" s="895" t="s">
        <v>445</v>
      </c>
      <c r="D48" s="600"/>
      <c r="E48" s="668">
        <v>7</v>
      </c>
      <c r="F48" s="569" t="s">
        <v>107</v>
      </c>
      <c r="G48" s="569"/>
      <c r="H48" s="569"/>
      <c r="I48" s="569"/>
      <c r="J48" s="569"/>
      <c r="K48" s="637">
        <v>12</v>
      </c>
      <c r="L48" s="542" t="e">
        <f>'통장내역(환율표)'!#REF!</f>
        <v>#REF!</v>
      </c>
      <c r="M48" s="617" t="e">
        <f t="shared" si="7"/>
        <v>#REF!</v>
      </c>
      <c r="N48" s="687" t="e">
        <f t="shared" si="5"/>
        <v>#REF!</v>
      </c>
      <c r="O48" s="688" t="e">
        <f t="shared" si="6"/>
        <v>#REF!</v>
      </c>
      <c r="P48" s="689" t="s">
        <v>1331</v>
      </c>
      <c r="Q48" s="801"/>
      <c r="R48" s="808"/>
      <c r="S48" s="883" t="e">
        <f t="shared" si="8"/>
        <v>#REF!</v>
      </c>
      <c r="T48" s="461"/>
      <c r="V48" s="461"/>
      <c r="W48" s="461"/>
      <c r="X48" s="461"/>
      <c r="Y48" s="461"/>
      <c r="Z48" s="461"/>
      <c r="AA48" s="461"/>
      <c r="AB48" s="461"/>
      <c r="AC48" s="461"/>
    </row>
    <row r="49" spans="1:29" s="574" customFormat="1" ht="11.25" customHeight="1">
      <c r="A49" s="544"/>
      <c r="B49" s="568">
        <v>45526</v>
      </c>
      <c r="C49" s="895" t="s">
        <v>306</v>
      </c>
      <c r="D49" s="600"/>
      <c r="E49" s="668">
        <v>8</v>
      </c>
      <c r="F49" s="569" t="s">
        <v>107</v>
      </c>
      <c r="G49" s="569"/>
      <c r="H49" s="569"/>
      <c r="I49" s="569"/>
      <c r="J49" s="569"/>
      <c r="K49" s="637">
        <v>1010</v>
      </c>
      <c r="L49" s="542" t="e">
        <f>'통장내역(환율표)'!#REF!</f>
        <v>#REF!</v>
      </c>
      <c r="M49" s="617" t="e">
        <f t="shared" si="7"/>
        <v>#REF!</v>
      </c>
      <c r="N49" s="687" t="e">
        <f t="shared" si="5"/>
        <v>#REF!</v>
      </c>
      <c r="O49" s="688" t="e">
        <f t="shared" si="6"/>
        <v>#REF!</v>
      </c>
      <c r="P49" s="689" t="s">
        <v>1331</v>
      </c>
      <c r="Q49" s="801"/>
      <c r="R49" s="808"/>
      <c r="S49" s="883" t="e">
        <f t="shared" si="8"/>
        <v>#REF!</v>
      </c>
      <c r="T49" s="461"/>
      <c r="V49" s="461"/>
      <c r="W49" s="461"/>
      <c r="X49" s="461"/>
      <c r="Y49" s="461"/>
      <c r="Z49" s="461"/>
      <c r="AA49" s="461"/>
      <c r="AB49" s="461"/>
      <c r="AC49" s="461"/>
    </row>
    <row r="50" spans="1:29" s="574" customFormat="1" ht="11.25" customHeight="1">
      <c r="A50" s="544"/>
      <c r="B50" s="568">
        <v>45526</v>
      </c>
      <c r="C50" s="895" t="s">
        <v>445</v>
      </c>
      <c r="D50" s="600"/>
      <c r="E50" s="668">
        <v>9</v>
      </c>
      <c r="F50" s="569" t="s">
        <v>107</v>
      </c>
      <c r="G50" s="569"/>
      <c r="H50" s="569"/>
      <c r="I50" s="569"/>
      <c r="J50" s="569"/>
      <c r="K50" s="637">
        <v>3.6</v>
      </c>
      <c r="L50" s="542" t="e">
        <f>'통장내역(환율표)'!#REF!</f>
        <v>#REF!</v>
      </c>
      <c r="M50" s="617" t="e">
        <f t="shared" si="7"/>
        <v>#REF!</v>
      </c>
      <c r="N50" s="687" t="e">
        <f t="shared" si="5"/>
        <v>#REF!</v>
      </c>
      <c r="O50" s="688" t="e">
        <f t="shared" si="6"/>
        <v>#REF!</v>
      </c>
      <c r="P50" s="689" t="s">
        <v>1331</v>
      </c>
      <c r="Q50" s="801"/>
      <c r="R50" s="808"/>
      <c r="S50" s="883" t="e">
        <f t="shared" si="8"/>
        <v>#REF!</v>
      </c>
      <c r="T50" s="461"/>
      <c r="V50" s="461"/>
      <c r="W50" s="461"/>
      <c r="X50" s="461"/>
      <c r="Y50" s="461"/>
      <c r="Z50" s="461"/>
      <c r="AA50" s="461"/>
      <c r="AB50" s="461"/>
      <c r="AC50" s="461"/>
    </row>
    <row r="51" spans="1:29" s="574" customFormat="1" ht="11.25" customHeight="1">
      <c r="A51" s="544"/>
      <c r="B51" s="568">
        <v>45527</v>
      </c>
      <c r="C51" s="600" t="s">
        <v>305</v>
      </c>
      <c r="D51" s="600"/>
      <c r="E51" s="668">
        <v>10</v>
      </c>
      <c r="F51" s="569" t="s">
        <v>105</v>
      </c>
      <c r="G51" s="569" t="s">
        <v>227</v>
      </c>
      <c r="H51" s="571"/>
      <c r="I51" s="686"/>
      <c r="J51" s="572"/>
      <c r="K51" s="637">
        <v>10500</v>
      </c>
      <c r="L51" s="542" t="e">
        <f>'통장내역(환율표)'!#REF!</f>
        <v>#REF!</v>
      </c>
      <c r="M51" s="617" t="e">
        <f t="shared" si="7"/>
        <v>#REF!</v>
      </c>
      <c r="N51" s="687" t="e">
        <f t="shared" si="5"/>
        <v>#REF!</v>
      </c>
      <c r="O51" s="688" t="e">
        <f t="shared" si="6"/>
        <v>#REF!</v>
      </c>
      <c r="P51" s="689" t="s">
        <v>1331</v>
      </c>
      <c r="Q51" s="801"/>
      <c r="R51" s="808"/>
      <c r="S51" s="883" t="e">
        <f t="shared" si="8"/>
        <v>#REF!</v>
      </c>
      <c r="T51" s="461"/>
      <c r="V51" s="461"/>
      <c r="W51" s="461"/>
      <c r="X51" s="461"/>
      <c r="Y51" s="461"/>
      <c r="Z51" s="461"/>
      <c r="AA51" s="461"/>
      <c r="AB51" s="461"/>
      <c r="AC51" s="461"/>
    </row>
    <row r="52" spans="1:29" s="574" customFormat="1" ht="11.25" customHeight="1">
      <c r="A52" s="544"/>
      <c r="B52" s="568">
        <v>45527</v>
      </c>
      <c r="C52" s="600" t="s">
        <v>1107</v>
      </c>
      <c r="D52" s="600"/>
      <c r="E52" s="668">
        <v>11</v>
      </c>
      <c r="F52" s="569" t="s">
        <v>107</v>
      </c>
      <c r="G52" s="569"/>
      <c r="H52" s="571"/>
      <c r="I52" s="686"/>
      <c r="J52" s="572"/>
      <c r="K52" s="637">
        <v>6000</v>
      </c>
      <c r="L52" s="542" t="e">
        <f>'통장내역(환율표)'!#REF!</f>
        <v>#REF!</v>
      </c>
      <c r="M52" s="617" t="e">
        <f t="shared" si="7"/>
        <v>#REF!</v>
      </c>
      <c r="N52" s="687" t="e">
        <f t="shared" ref="N52:N83" si="9">N51+H52-K52</f>
        <v>#REF!</v>
      </c>
      <c r="O52" s="688" t="e">
        <f t="shared" ref="O52:O83" si="10">O51+J52-M52</f>
        <v>#REF!</v>
      </c>
      <c r="P52" s="689" t="s">
        <v>1331</v>
      </c>
      <c r="Q52" s="801"/>
      <c r="R52" s="808"/>
      <c r="S52" s="883" t="e">
        <f t="shared" si="8"/>
        <v>#REF!</v>
      </c>
      <c r="T52" s="461"/>
      <c r="V52" s="461"/>
      <c r="W52" s="461"/>
      <c r="X52" s="461"/>
      <c r="Y52" s="461"/>
      <c r="Z52" s="461"/>
      <c r="AA52" s="461"/>
      <c r="AB52" s="461"/>
      <c r="AC52" s="461"/>
    </row>
    <row r="53" spans="1:29" s="574" customFormat="1" ht="11.25" customHeight="1">
      <c r="A53" s="544"/>
      <c r="B53" s="568">
        <v>45527</v>
      </c>
      <c r="C53" s="600" t="s">
        <v>1108</v>
      </c>
      <c r="D53" s="600"/>
      <c r="E53" s="668">
        <v>12</v>
      </c>
      <c r="F53" s="569" t="s">
        <v>107</v>
      </c>
      <c r="G53" s="569"/>
      <c r="H53" s="571"/>
      <c r="I53" s="686"/>
      <c r="J53" s="572"/>
      <c r="K53" s="637">
        <v>200</v>
      </c>
      <c r="L53" s="542" t="e">
        <f>'통장내역(환율표)'!#REF!</f>
        <v>#REF!</v>
      </c>
      <c r="M53" s="617" t="e">
        <f t="shared" si="7"/>
        <v>#REF!</v>
      </c>
      <c r="N53" s="687" t="e">
        <f t="shared" si="9"/>
        <v>#REF!</v>
      </c>
      <c r="O53" s="688" t="e">
        <f t="shared" si="10"/>
        <v>#REF!</v>
      </c>
      <c r="P53" s="689" t="s">
        <v>1331</v>
      </c>
      <c r="Q53" s="801"/>
      <c r="R53" s="808"/>
      <c r="S53" s="883" t="e">
        <f t="shared" si="8"/>
        <v>#REF!</v>
      </c>
      <c r="T53" s="461"/>
      <c r="V53" s="461"/>
      <c r="W53" s="461"/>
      <c r="X53" s="461"/>
      <c r="Y53" s="461"/>
      <c r="Z53" s="461"/>
      <c r="AA53" s="461"/>
      <c r="AB53" s="461"/>
      <c r="AC53" s="461"/>
    </row>
    <row r="54" spans="1:29" s="574" customFormat="1" ht="11.25" customHeight="1">
      <c r="A54" s="544"/>
      <c r="B54" s="568">
        <v>45527</v>
      </c>
      <c r="C54" s="600" t="s">
        <v>305</v>
      </c>
      <c r="D54" s="600"/>
      <c r="E54" s="668">
        <v>13</v>
      </c>
      <c r="F54" s="569" t="s">
        <v>105</v>
      </c>
      <c r="G54" s="569" t="s">
        <v>227</v>
      </c>
      <c r="H54" s="571"/>
      <c r="I54" s="686"/>
      <c r="J54" s="572"/>
      <c r="K54" s="637">
        <v>7000</v>
      </c>
      <c r="L54" s="542" t="e">
        <f>'통장내역(환율표)'!#REF!</f>
        <v>#REF!</v>
      </c>
      <c r="M54" s="617" t="e">
        <f t="shared" si="7"/>
        <v>#REF!</v>
      </c>
      <c r="N54" s="687" t="e">
        <f t="shared" si="9"/>
        <v>#REF!</v>
      </c>
      <c r="O54" s="688" t="e">
        <f t="shared" si="10"/>
        <v>#REF!</v>
      </c>
      <c r="P54" s="689" t="s">
        <v>1331</v>
      </c>
      <c r="Q54" s="801"/>
      <c r="R54" s="808"/>
      <c r="S54" s="883" t="e">
        <f t="shared" si="8"/>
        <v>#REF!</v>
      </c>
      <c r="T54" s="461"/>
      <c r="V54" s="461"/>
      <c r="W54" s="461"/>
      <c r="X54" s="461"/>
      <c r="Y54" s="461"/>
      <c r="Z54" s="461"/>
      <c r="AA54" s="461"/>
      <c r="AB54" s="461"/>
      <c r="AC54" s="461"/>
    </row>
    <row r="55" spans="1:29" s="574" customFormat="1" ht="11.25" customHeight="1">
      <c r="A55" s="544"/>
      <c r="B55" s="568">
        <v>45527</v>
      </c>
      <c r="C55" s="600" t="s">
        <v>1107</v>
      </c>
      <c r="D55" s="600"/>
      <c r="E55" s="668">
        <v>14</v>
      </c>
      <c r="F55" s="569" t="s">
        <v>107</v>
      </c>
      <c r="G55" s="569"/>
      <c r="H55" s="571"/>
      <c r="I55" s="686"/>
      <c r="J55" s="572"/>
      <c r="K55" s="637">
        <v>6000</v>
      </c>
      <c r="L55" s="542" t="e">
        <f>'통장내역(환율표)'!#REF!</f>
        <v>#REF!</v>
      </c>
      <c r="M55" s="617" t="e">
        <f t="shared" ref="M55:M86" si="11">K55/L55</f>
        <v>#REF!</v>
      </c>
      <c r="N55" s="687" t="e">
        <f t="shared" si="9"/>
        <v>#REF!</v>
      </c>
      <c r="O55" s="688" t="e">
        <f t="shared" si="10"/>
        <v>#REF!</v>
      </c>
      <c r="P55" s="689" t="s">
        <v>1331</v>
      </c>
      <c r="Q55" s="801"/>
      <c r="R55" s="808"/>
      <c r="S55" s="883" t="e">
        <f t="shared" si="8"/>
        <v>#REF!</v>
      </c>
      <c r="T55" s="461"/>
      <c r="V55" s="461"/>
      <c r="W55" s="461"/>
      <c r="X55" s="461"/>
      <c r="Y55" s="461"/>
      <c r="Z55" s="461"/>
      <c r="AA55" s="461"/>
      <c r="AB55" s="461"/>
      <c r="AC55" s="461"/>
    </row>
    <row r="56" spans="1:29" s="574" customFormat="1" ht="11.25" customHeight="1">
      <c r="A56" s="544"/>
      <c r="B56" s="568">
        <v>45527</v>
      </c>
      <c r="C56" s="600" t="s">
        <v>1108</v>
      </c>
      <c r="D56" s="600"/>
      <c r="E56" s="668">
        <v>15</v>
      </c>
      <c r="F56" s="569" t="s">
        <v>107</v>
      </c>
      <c r="G56" s="569"/>
      <c r="H56" s="571"/>
      <c r="I56" s="686"/>
      <c r="J56" s="572"/>
      <c r="K56" s="637">
        <v>1000</v>
      </c>
      <c r="L56" s="542" t="e">
        <f>'통장내역(환율표)'!#REF!</f>
        <v>#REF!</v>
      </c>
      <c r="M56" s="617" t="e">
        <f t="shared" si="11"/>
        <v>#REF!</v>
      </c>
      <c r="N56" s="687" t="e">
        <f t="shared" si="9"/>
        <v>#REF!</v>
      </c>
      <c r="O56" s="688" t="e">
        <f t="shared" si="10"/>
        <v>#REF!</v>
      </c>
      <c r="P56" s="689" t="s">
        <v>1331</v>
      </c>
      <c r="Q56" s="801"/>
      <c r="R56" s="808"/>
      <c r="S56" s="883" t="e">
        <f t="shared" si="8"/>
        <v>#REF!</v>
      </c>
      <c r="T56" s="461"/>
      <c r="V56" s="461"/>
      <c r="W56" s="461"/>
      <c r="X56" s="461"/>
      <c r="Y56" s="461"/>
      <c r="Z56" s="461"/>
      <c r="AA56" s="461"/>
      <c r="AB56" s="461"/>
      <c r="AC56" s="461"/>
    </row>
    <row r="57" spans="1:29" s="574" customFormat="1" ht="11.25" customHeight="1">
      <c r="A57" s="544"/>
      <c r="B57" s="568">
        <v>45527</v>
      </c>
      <c r="C57" s="600" t="s">
        <v>445</v>
      </c>
      <c r="D57" s="600"/>
      <c r="E57" s="668">
        <v>16</v>
      </c>
      <c r="F57" s="569" t="s">
        <v>107</v>
      </c>
      <c r="G57" s="569"/>
      <c r="H57" s="571"/>
      <c r="I57" s="686"/>
      <c r="J57" s="572"/>
      <c r="K57" s="637">
        <v>10.8</v>
      </c>
      <c r="L57" s="542" t="e">
        <f>'통장내역(환율표)'!#REF!</f>
        <v>#REF!</v>
      </c>
      <c r="M57" s="617" t="e">
        <f t="shared" si="11"/>
        <v>#REF!</v>
      </c>
      <c r="N57" s="687" t="e">
        <f t="shared" si="9"/>
        <v>#REF!</v>
      </c>
      <c r="O57" s="688" t="e">
        <f t="shared" si="10"/>
        <v>#REF!</v>
      </c>
      <c r="P57" s="689" t="s">
        <v>1331</v>
      </c>
      <c r="Q57" s="801"/>
      <c r="R57" s="808"/>
      <c r="S57" s="883" t="e">
        <f t="shared" si="8"/>
        <v>#REF!</v>
      </c>
      <c r="T57" s="461"/>
      <c r="V57" s="461"/>
      <c r="W57" s="461"/>
      <c r="X57" s="461"/>
      <c r="Y57" s="461"/>
      <c r="Z57" s="461"/>
      <c r="AA57" s="461"/>
      <c r="AB57" s="461"/>
      <c r="AC57" s="461"/>
    </row>
    <row r="58" spans="1:29" s="574" customFormat="1" ht="11.25" customHeight="1">
      <c r="A58" s="544"/>
      <c r="B58" s="568">
        <v>45527</v>
      </c>
      <c r="C58" s="896" t="s">
        <v>998</v>
      </c>
      <c r="D58" s="600"/>
      <c r="E58" s="668">
        <v>17</v>
      </c>
      <c r="F58" s="569" t="s">
        <v>146</v>
      </c>
      <c r="G58" s="569" t="s">
        <v>147</v>
      </c>
      <c r="H58" s="569"/>
      <c r="I58" s="569"/>
      <c r="J58" s="569"/>
      <c r="K58" s="637">
        <v>243</v>
      </c>
      <c r="L58" s="542" t="e">
        <f>'통장내역(환율표)'!#REF!</f>
        <v>#REF!</v>
      </c>
      <c r="M58" s="617" t="e">
        <f t="shared" si="11"/>
        <v>#REF!</v>
      </c>
      <c r="N58" s="687" t="e">
        <f t="shared" si="9"/>
        <v>#REF!</v>
      </c>
      <c r="O58" s="688" t="e">
        <f t="shared" si="10"/>
        <v>#REF!</v>
      </c>
      <c r="P58" s="689" t="s">
        <v>1331</v>
      </c>
      <c r="Q58" s="801"/>
      <c r="R58" s="808"/>
      <c r="S58" s="883" t="e">
        <f t="shared" si="8"/>
        <v>#REF!</v>
      </c>
      <c r="T58" s="461"/>
      <c r="V58" s="461"/>
      <c r="W58" s="461"/>
      <c r="X58" s="461"/>
      <c r="Y58" s="461"/>
      <c r="Z58" s="461"/>
      <c r="AA58" s="461"/>
      <c r="AB58" s="461"/>
      <c r="AC58" s="461"/>
    </row>
    <row r="59" spans="1:29" s="574" customFormat="1" ht="11.25" customHeight="1">
      <c r="A59" s="544"/>
      <c r="B59" s="568">
        <v>45527</v>
      </c>
      <c r="C59" s="896" t="s">
        <v>999</v>
      </c>
      <c r="D59" s="600"/>
      <c r="E59" s="668">
        <v>18</v>
      </c>
      <c r="F59" s="569" t="s">
        <v>146</v>
      </c>
      <c r="G59" s="569" t="s">
        <v>147</v>
      </c>
      <c r="H59" s="569"/>
      <c r="I59" s="569"/>
      <c r="J59" s="569"/>
      <c r="K59" s="637">
        <v>3833.94</v>
      </c>
      <c r="L59" s="542" t="e">
        <f>'통장내역(환율표)'!#REF!</f>
        <v>#REF!</v>
      </c>
      <c r="M59" s="617" t="e">
        <f t="shared" si="11"/>
        <v>#REF!</v>
      </c>
      <c r="N59" s="687" t="e">
        <f t="shared" si="9"/>
        <v>#REF!</v>
      </c>
      <c r="O59" s="688" t="e">
        <f t="shared" si="10"/>
        <v>#REF!</v>
      </c>
      <c r="P59" s="689" t="s">
        <v>1331</v>
      </c>
      <c r="Q59" s="801"/>
      <c r="R59" s="808"/>
      <c r="S59" s="883" t="e">
        <f t="shared" si="8"/>
        <v>#REF!</v>
      </c>
      <c r="T59" s="461"/>
      <c r="V59" s="461"/>
      <c r="W59" s="461"/>
      <c r="X59" s="461"/>
      <c r="Y59" s="461"/>
      <c r="Z59" s="461"/>
      <c r="AA59" s="461"/>
      <c r="AB59" s="461"/>
      <c r="AC59" s="461"/>
    </row>
    <row r="60" spans="1:29" s="574" customFormat="1" ht="11.25" customHeight="1">
      <c r="A60" s="544"/>
      <c r="B60" s="568">
        <v>45527</v>
      </c>
      <c r="C60" s="896" t="s">
        <v>997</v>
      </c>
      <c r="D60" s="600"/>
      <c r="E60" s="668">
        <v>19</v>
      </c>
      <c r="F60" s="569" t="s">
        <v>146</v>
      </c>
      <c r="G60" s="569" t="s">
        <v>147</v>
      </c>
      <c r="H60" s="569"/>
      <c r="I60" s="569"/>
      <c r="J60" s="569"/>
      <c r="K60" s="637">
        <v>447</v>
      </c>
      <c r="L60" s="542" t="e">
        <f>'통장내역(환율표)'!#REF!</f>
        <v>#REF!</v>
      </c>
      <c r="M60" s="617" t="e">
        <f t="shared" si="11"/>
        <v>#REF!</v>
      </c>
      <c r="N60" s="687" t="e">
        <f t="shared" si="9"/>
        <v>#REF!</v>
      </c>
      <c r="O60" s="688" t="e">
        <f t="shared" si="10"/>
        <v>#REF!</v>
      </c>
      <c r="P60" s="689" t="s">
        <v>1331</v>
      </c>
      <c r="Q60" s="801"/>
      <c r="R60" s="808"/>
      <c r="S60" s="883" t="e">
        <f t="shared" si="8"/>
        <v>#REF!</v>
      </c>
      <c r="T60" s="461"/>
      <c r="V60" s="461"/>
      <c r="W60" s="461"/>
      <c r="X60" s="461"/>
      <c r="Y60" s="461"/>
      <c r="Z60" s="461"/>
      <c r="AA60" s="461"/>
      <c r="AB60" s="461"/>
      <c r="AC60" s="461"/>
    </row>
    <row r="61" spans="1:29" s="574" customFormat="1" ht="11.25" customHeight="1">
      <c r="A61" s="544"/>
      <c r="B61" s="568">
        <v>45527</v>
      </c>
      <c r="C61" s="896" t="s">
        <v>250</v>
      </c>
      <c r="D61" s="600"/>
      <c r="E61" s="668">
        <v>20</v>
      </c>
      <c r="F61" s="569" t="s">
        <v>107</v>
      </c>
      <c r="G61" s="569"/>
      <c r="H61" s="569"/>
      <c r="I61" s="569"/>
      <c r="J61" s="569"/>
      <c r="K61" s="637">
        <v>3.6</v>
      </c>
      <c r="L61" s="542" t="e">
        <f>'통장내역(환율표)'!#REF!</f>
        <v>#REF!</v>
      </c>
      <c r="M61" s="617" t="e">
        <f t="shared" si="11"/>
        <v>#REF!</v>
      </c>
      <c r="N61" s="687" t="e">
        <f t="shared" si="9"/>
        <v>#REF!</v>
      </c>
      <c r="O61" s="688" t="e">
        <f t="shared" si="10"/>
        <v>#REF!</v>
      </c>
      <c r="P61" s="689" t="s">
        <v>1331</v>
      </c>
      <c r="Q61" s="801"/>
      <c r="R61" s="808"/>
      <c r="S61" s="883" t="e">
        <f t="shared" si="8"/>
        <v>#REF!</v>
      </c>
      <c r="T61" s="461"/>
      <c r="V61" s="461"/>
      <c r="W61" s="461"/>
      <c r="X61" s="461"/>
      <c r="Y61" s="461"/>
      <c r="Z61" s="461"/>
      <c r="AA61" s="461"/>
      <c r="AB61" s="461"/>
      <c r="AC61" s="461"/>
    </row>
    <row r="62" spans="1:29" s="574" customFormat="1" ht="11.25" customHeight="1">
      <c r="A62" s="544"/>
      <c r="B62" s="568">
        <v>45527</v>
      </c>
      <c r="C62" s="896" t="s">
        <v>995</v>
      </c>
      <c r="D62" s="600"/>
      <c r="E62" s="668">
        <v>21</v>
      </c>
      <c r="F62" s="569" t="s">
        <v>146</v>
      </c>
      <c r="G62" s="569" t="s">
        <v>147</v>
      </c>
      <c r="H62" s="569"/>
      <c r="I62" s="569"/>
      <c r="J62" s="569"/>
      <c r="K62" s="637">
        <v>434</v>
      </c>
      <c r="L62" s="542" t="e">
        <f>'통장내역(환율표)'!#REF!</f>
        <v>#REF!</v>
      </c>
      <c r="M62" s="617" t="e">
        <f t="shared" si="11"/>
        <v>#REF!</v>
      </c>
      <c r="N62" s="687" t="e">
        <f t="shared" si="9"/>
        <v>#REF!</v>
      </c>
      <c r="O62" s="688" t="e">
        <f t="shared" si="10"/>
        <v>#REF!</v>
      </c>
      <c r="P62" s="689" t="s">
        <v>1331</v>
      </c>
      <c r="Q62" s="801"/>
      <c r="R62" s="808"/>
      <c r="S62" s="883" t="e">
        <f t="shared" si="8"/>
        <v>#REF!</v>
      </c>
      <c r="T62" s="461"/>
      <c r="V62" s="461"/>
      <c r="W62" s="461"/>
      <c r="X62" s="461"/>
      <c r="Y62" s="461"/>
      <c r="Z62" s="461"/>
      <c r="AA62" s="461"/>
      <c r="AB62" s="461"/>
      <c r="AC62" s="461"/>
    </row>
    <row r="63" spans="1:29" s="574" customFormat="1" ht="11.25" customHeight="1">
      <c r="A63" s="544"/>
      <c r="B63" s="568">
        <v>45527</v>
      </c>
      <c r="C63" s="896" t="s">
        <v>996</v>
      </c>
      <c r="D63" s="600"/>
      <c r="E63" s="668">
        <v>22</v>
      </c>
      <c r="F63" s="569" t="s">
        <v>146</v>
      </c>
      <c r="G63" s="569" t="s">
        <v>147</v>
      </c>
      <c r="H63" s="569"/>
      <c r="I63" s="569"/>
      <c r="J63" s="569"/>
      <c r="K63" s="637">
        <v>2372</v>
      </c>
      <c r="L63" s="542" t="e">
        <f>'통장내역(환율표)'!#REF!</f>
        <v>#REF!</v>
      </c>
      <c r="M63" s="617" t="e">
        <f t="shared" si="11"/>
        <v>#REF!</v>
      </c>
      <c r="N63" s="687" t="e">
        <f t="shared" si="9"/>
        <v>#REF!</v>
      </c>
      <c r="O63" s="688" t="e">
        <f t="shared" si="10"/>
        <v>#REF!</v>
      </c>
      <c r="P63" s="689" t="s">
        <v>1331</v>
      </c>
      <c r="Q63" s="801"/>
      <c r="R63" s="808"/>
      <c r="S63" s="883" t="e">
        <f t="shared" si="8"/>
        <v>#REF!</v>
      </c>
      <c r="T63" s="461"/>
      <c r="V63" s="461"/>
      <c r="W63" s="461"/>
      <c r="X63" s="461"/>
      <c r="Y63" s="461"/>
      <c r="Z63" s="461"/>
      <c r="AA63" s="461"/>
      <c r="AB63" s="461"/>
      <c r="AC63" s="461"/>
    </row>
    <row r="64" spans="1:29" s="574" customFormat="1" ht="11.25" customHeight="1">
      <c r="A64" s="544"/>
      <c r="B64" s="568">
        <v>45527</v>
      </c>
      <c r="C64" s="896" t="s">
        <v>994</v>
      </c>
      <c r="D64" s="600"/>
      <c r="E64" s="668">
        <v>23</v>
      </c>
      <c r="F64" s="569" t="s">
        <v>146</v>
      </c>
      <c r="G64" s="569" t="s">
        <v>147</v>
      </c>
      <c r="H64" s="569"/>
      <c r="I64" s="569"/>
      <c r="J64" s="569"/>
      <c r="K64" s="637">
        <v>143</v>
      </c>
      <c r="L64" s="542" t="e">
        <f>'통장내역(환율표)'!#REF!</f>
        <v>#REF!</v>
      </c>
      <c r="M64" s="617" t="e">
        <f t="shared" si="11"/>
        <v>#REF!</v>
      </c>
      <c r="N64" s="687" t="e">
        <f t="shared" si="9"/>
        <v>#REF!</v>
      </c>
      <c r="O64" s="688" t="e">
        <f t="shared" si="10"/>
        <v>#REF!</v>
      </c>
      <c r="P64" s="689" t="s">
        <v>1331</v>
      </c>
      <c r="Q64" s="801"/>
      <c r="R64" s="808"/>
      <c r="S64" s="883" t="e">
        <f t="shared" si="8"/>
        <v>#REF!</v>
      </c>
      <c r="T64" s="461"/>
      <c r="V64" s="461"/>
      <c r="W64" s="461"/>
      <c r="X64" s="461"/>
      <c r="Y64" s="461"/>
      <c r="Z64" s="461"/>
      <c r="AA64" s="461"/>
      <c r="AB64" s="461"/>
      <c r="AC64" s="461"/>
    </row>
    <row r="65" spans="1:29" s="574" customFormat="1" ht="11.25" customHeight="1">
      <c r="A65" s="544"/>
      <c r="B65" s="568">
        <v>45527</v>
      </c>
      <c r="C65" s="896" t="s">
        <v>250</v>
      </c>
      <c r="D65" s="600"/>
      <c r="E65" s="668">
        <v>24</v>
      </c>
      <c r="F65" s="569" t="s">
        <v>107</v>
      </c>
      <c r="G65" s="569"/>
      <c r="H65" s="569"/>
      <c r="I65" s="569"/>
      <c r="J65" s="569"/>
      <c r="K65" s="637">
        <v>3.6</v>
      </c>
      <c r="L65" s="542" t="e">
        <f>'통장내역(환율표)'!#REF!</f>
        <v>#REF!</v>
      </c>
      <c r="M65" s="617" t="e">
        <f t="shared" si="11"/>
        <v>#REF!</v>
      </c>
      <c r="N65" s="687" t="e">
        <f t="shared" si="9"/>
        <v>#REF!</v>
      </c>
      <c r="O65" s="688" t="e">
        <f t="shared" si="10"/>
        <v>#REF!</v>
      </c>
      <c r="P65" s="689" t="s">
        <v>1331</v>
      </c>
      <c r="Q65" s="801"/>
      <c r="R65" s="809"/>
      <c r="S65" s="883" t="e">
        <f t="shared" si="8"/>
        <v>#REF!</v>
      </c>
      <c r="T65" s="461"/>
      <c r="V65" s="461"/>
      <c r="W65" s="461"/>
      <c r="X65" s="461"/>
      <c r="Y65" s="461"/>
      <c r="Z65" s="461"/>
      <c r="AA65" s="461"/>
      <c r="AB65" s="461"/>
      <c r="AC65" s="461"/>
    </row>
    <row r="66" spans="1:29" s="574" customFormat="1" ht="11.25" customHeight="1">
      <c r="A66" s="544"/>
      <c r="B66" s="568">
        <v>45527</v>
      </c>
      <c r="C66" s="600" t="s">
        <v>1313</v>
      </c>
      <c r="D66" s="600"/>
      <c r="E66" s="668">
        <v>25</v>
      </c>
      <c r="F66" s="569" t="s">
        <v>125</v>
      </c>
      <c r="G66" s="569" t="s">
        <v>145</v>
      </c>
      <c r="H66" s="571"/>
      <c r="I66" s="686"/>
      <c r="J66" s="572"/>
      <c r="K66" s="637">
        <v>70</v>
      </c>
      <c r="L66" s="542" t="e">
        <f>'통장내역(환율표)'!#REF!</f>
        <v>#REF!</v>
      </c>
      <c r="M66" s="617" t="e">
        <f t="shared" si="11"/>
        <v>#REF!</v>
      </c>
      <c r="N66" s="687" t="e">
        <f t="shared" si="9"/>
        <v>#REF!</v>
      </c>
      <c r="O66" s="688" t="e">
        <f t="shared" si="10"/>
        <v>#REF!</v>
      </c>
      <c r="P66" s="689" t="s">
        <v>1331</v>
      </c>
      <c r="Q66" s="801"/>
      <c r="R66" s="809"/>
      <c r="S66" s="883" t="e">
        <f t="shared" si="8"/>
        <v>#REF!</v>
      </c>
      <c r="T66" s="461"/>
      <c r="V66" s="461"/>
      <c r="W66" s="461"/>
      <c r="X66" s="461"/>
      <c r="Y66" s="461"/>
      <c r="Z66" s="461"/>
      <c r="AA66" s="461"/>
      <c r="AB66" s="461"/>
      <c r="AC66" s="461"/>
    </row>
    <row r="67" spans="1:29" s="574" customFormat="1" ht="11.25" customHeight="1">
      <c r="A67" s="544"/>
      <c r="B67" s="568">
        <v>45527</v>
      </c>
      <c r="C67" s="600" t="s">
        <v>1010</v>
      </c>
      <c r="D67" s="600"/>
      <c r="E67" s="668">
        <v>26</v>
      </c>
      <c r="F67" s="569" t="s">
        <v>146</v>
      </c>
      <c r="G67" s="569" t="s">
        <v>147</v>
      </c>
      <c r="H67" s="571"/>
      <c r="I67" s="686"/>
      <c r="J67" s="572"/>
      <c r="K67" s="697">
        <v>6599</v>
      </c>
      <c r="L67" s="542" t="e">
        <f>'통장내역(환율표)'!#REF!</f>
        <v>#REF!</v>
      </c>
      <c r="M67" s="617" t="e">
        <f t="shared" si="11"/>
        <v>#REF!</v>
      </c>
      <c r="N67" s="687" t="e">
        <f t="shared" si="9"/>
        <v>#REF!</v>
      </c>
      <c r="O67" s="688" t="e">
        <f t="shared" si="10"/>
        <v>#REF!</v>
      </c>
      <c r="P67" s="689" t="s">
        <v>1331</v>
      </c>
      <c r="Q67" s="801"/>
      <c r="R67" s="809"/>
      <c r="S67" s="883" t="e">
        <f t="shared" si="8"/>
        <v>#REF!</v>
      </c>
      <c r="T67" s="461"/>
      <c r="V67" s="461"/>
      <c r="W67" s="461"/>
      <c r="X67" s="461"/>
      <c r="Y67" s="461"/>
      <c r="Z67" s="461"/>
      <c r="AA67" s="461"/>
      <c r="AB67" s="461"/>
      <c r="AC67" s="461"/>
    </row>
    <row r="68" spans="1:29" s="574" customFormat="1" ht="11.25" customHeight="1">
      <c r="A68" s="544"/>
      <c r="B68" s="568">
        <v>45527</v>
      </c>
      <c r="C68" s="600" t="s">
        <v>1007</v>
      </c>
      <c r="D68" s="600"/>
      <c r="E68" s="668">
        <v>27</v>
      </c>
      <c r="F68" s="569" t="s">
        <v>107</v>
      </c>
      <c r="G68" s="569"/>
      <c r="H68" s="571"/>
      <c r="I68" s="686"/>
      <c r="J68" s="572"/>
      <c r="K68" s="697">
        <v>174.4</v>
      </c>
      <c r="L68" s="542" t="e">
        <f>'통장내역(환율표)'!#REF!</f>
        <v>#REF!</v>
      </c>
      <c r="M68" s="617" t="e">
        <f t="shared" si="11"/>
        <v>#REF!</v>
      </c>
      <c r="N68" s="687" t="e">
        <f t="shared" si="9"/>
        <v>#REF!</v>
      </c>
      <c r="O68" s="688" t="e">
        <f t="shared" si="10"/>
        <v>#REF!</v>
      </c>
      <c r="P68" s="689" t="s">
        <v>1331</v>
      </c>
      <c r="Q68" s="801"/>
      <c r="R68" s="809"/>
      <c r="S68" s="883" t="e">
        <f t="shared" si="8"/>
        <v>#REF!</v>
      </c>
      <c r="T68" s="461"/>
      <c r="V68" s="461"/>
      <c r="W68" s="461"/>
      <c r="X68" s="461"/>
      <c r="Y68" s="461"/>
      <c r="Z68" s="461"/>
      <c r="AA68" s="461"/>
      <c r="AB68" s="461"/>
      <c r="AC68" s="461"/>
    </row>
    <row r="69" spans="1:29" s="574" customFormat="1" ht="11.25" customHeight="1">
      <c r="A69" s="544"/>
      <c r="B69" s="568">
        <v>45527</v>
      </c>
      <c r="C69" s="600" t="s">
        <v>1011</v>
      </c>
      <c r="D69" s="600"/>
      <c r="E69" s="668">
        <v>28</v>
      </c>
      <c r="F69" s="569" t="s">
        <v>116</v>
      </c>
      <c r="G69" s="569" t="s">
        <v>140</v>
      </c>
      <c r="H69" s="571"/>
      <c r="I69" s="686"/>
      <c r="J69" s="572"/>
      <c r="K69" s="697">
        <v>206.57</v>
      </c>
      <c r="L69" s="542" t="e">
        <f>'통장내역(환율표)'!#REF!</f>
        <v>#REF!</v>
      </c>
      <c r="M69" s="617" t="e">
        <f t="shared" si="11"/>
        <v>#REF!</v>
      </c>
      <c r="N69" s="687" t="e">
        <f t="shared" si="9"/>
        <v>#REF!</v>
      </c>
      <c r="O69" s="688" t="e">
        <f t="shared" si="10"/>
        <v>#REF!</v>
      </c>
      <c r="P69" s="689" t="s">
        <v>1331</v>
      </c>
      <c r="Q69" s="801"/>
      <c r="R69" s="809"/>
      <c r="S69" s="883" t="e">
        <f t="shared" si="8"/>
        <v>#REF!</v>
      </c>
      <c r="T69" s="461"/>
      <c r="V69" s="461"/>
      <c r="W69" s="461"/>
      <c r="X69" s="461"/>
      <c r="Y69" s="461"/>
      <c r="Z69" s="461"/>
      <c r="AA69" s="461"/>
      <c r="AB69" s="461"/>
      <c r="AC69" s="461"/>
    </row>
    <row r="70" spans="1:29" s="574" customFormat="1" ht="11.25" customHeight="1">
      <c r="A70" s="544"/>
      <c r="B70" s="568">
        <v>45527</v>
      </c>
      <c r="C70" s="600" t="s">
        <v>1090</v>
      </c>
      <c r="D70" s="600"/>
      <c r="E70" s="668">
        <v>29</v>
      </c>
      <c r="F70" s="569" t="s">
        <v>146</v>
      </c>
      <c r="G70" s="569" t="s">
        <v>147</v>
      </c>
      <c r="H70" s="571"/>
      <c r="I70" s="686"/>
      <c r="J70" s="572"/>
      <c r="K70" s="697">
        <v>616.86</v>
      </c>
      <c r="L70" s="542" t="e">
        <f>'통장내역(환율표)'!#REF!</f>
        <v>#REF!</v>
      </c>
      <c r="M70" s="617" t="e">
        <f t="shared" si="11"/>
        <v>#REF!</v>
      </c>
      <c r="N70" s="687" t="e">
        <f t="shared" si="9"/>
        <v>#REF!</v>
      </c>
      <c r="O70" s="688" t="e">
        <f t="shared" si="10"/>
        <v>#REF!</v>
      </c>
      <c r="P70" s="689" t="s">
        <v>1331</v>
      </c>
      <c r="Q70" s="801"/>
      <c r="R70" s="809"/>
      <c r="S70" s="883" t="e">
        <f t="shared" si="8"/>
        <v>#REF!</v>
      </c>
      <c r="T70" s="461"/>
      <c r="V70" s="461"/>
      <c r="W70" s="461"/>
      <c r="X70" s="461"/>
      <c r="Y70" s="461"/>
      <c r="Z70" s="461"/>
      <c r="AA70" s="461"/>
      <c r="AB70" s="461"/>
      <c r="AC70" s="461"/>
    </row>
    <row r="71" spans="1:29" s="574" customFormat="1" ht="11.25" customHeight="1">
      <c r="A71" s="544"/>
      <c r="B71" s="568">
        <v>45527</v>
      </c>
      <c r="C71" s="896" t="s">
        <v>250</v>
      </c>
      <c r="D71" s="600"/>
      <c r="E71" s="668">
        <v>30</v>
      </c>
      <c r="F71" s="569" t="s">
        <v>107</v>
      </c>
      <c r="G71" s="569"/>
      <c r="H71" s="571"/>
      <c r="I71" s="686"/>
      <c r="J71" s="572"/>
      <c r="K71" s="697">
        <v>3.6</v>
      </c>
      <c r="L71" s="542" t="e">
        <f>'통장내역(환율표)'!#REF!</f>
        <v>#REF!</v>
      </c>
      <c r="M71" s="617" t="e">
        <f t="shared" si="11"/>
        <v>#REF!</v>
      </c>
      <c r="N71" s="687" t="e">
        <f t="shared" si="9"/>
        <v>#REF!</v>
      </c>
      <c r="O71" s="688" t="e">
        <f t="shared" si="10"/>
        <v>#REF!</v>
      </c>
      <c r="P71" s="689" t="s">
        <v>1331</v>
      </c>
      <c r="Q71" s="801"/>
      <c r="R71" s="809"/>
      <c r="S71" s="883" t="e">
        <f t="shared" si="8"/>
        <v>#REF!</v>
      </c>
      <c r="T71" s="461"/>
      <c r="V71" s="461"/>
      <c r="W71" s="461"/>
      <c r="X71" s="461"/>
      <c r="Y71" s="461"/>
      <c r="Z71" s="461"/>
      <c r="AA71" s="461"/>
      <c r="AB71" s="461"/>
      <c r="AC71" s="461"/>
    </row>
    <row r="72" spans="1:29" s="574" customFormat="1" ht="11.25" customHeight="1">
      <c r="A72" s="544"/>
      <c r="B72" s="568">
        <v>45527</v>
      </c>
      <c r="C72" s="600" t="s">
        <v>1153</v>
      </c>
      <c r="D72" s="600"/>
      <c r="E72" s="668">
        <v>31</v>
      </c>
      <c r="F72" s="569" t="s">
        <v>146</v>
      </c>
      <c r="G72" s="569" t="s">
        <v>147</v>
      </c>
      <c r="H72" s="571"/>
      <c r="I72" s="686"/>
      <c r="J72" s="572"/>
      <c r="K72" s="697">
        <v>7342</v>
      </c>
      <c r="L72" s="542" t="e">
        <f>'통장내역(환율표)'!#REF!</f>
        <v>#REF!</v>
      </c>
      <c r="M72" s="617" t="e">
        <f t="shared" si="11"/>
        <v>#REF!</v>
      </c>
      <c r="N72" s="687" t="e">
        <f t="shared" si="9"/>
        <v>#REF!</v>
      </c>
      <c r="O72" s="688" t="e">
        <f t="shared" si="10"/>
        <v>#REF!</v>
      </c>
      <c r="P72" s="689" t="s">
        <v>1331</v>
      </c>
      <c r="Q72" s="801"/>
      <c r="R72" s="809"/>
      <c r="S72" s="883" t="e">
        <f t="shared" si="8"/>
        <v>#REF!</v>
      </c>
      <c r="T72" s="461"/>
      <c r="V72" s="461"/>
      <c r="W72" s="461"/>
      <c r="X72" s="461"/>
      <c r="Y72" s="461"/>
      <c r="Z72" s="461"/>
      <c r="AA72" s="461"/>
      <c r="AB72" s="461"/>
      <c r="AC72" s="461"/>
    </row>
    <row r="73" spans="1:29" s="574" customFormat="1" ht="11.25" customHeight="1">
      <c r="A73" s="544"/>
      <c r="B73" s="568">
        <v>45527</v>
      </c>
      <c r="C73" s="600" t="s">
        <v>852</v>
      </c>
      <c r="D73" s="600"/>
      <c r="E73" s="668">
        <v>32</v>
      </c>
      <c r="F73" s="569" t="s">
        <v>107</v>
      </c>
      <c r="G73" s="569"/>
      <c r="H73" s="571"/>
      <c r="I73" s="686"/>
      <c r="J73" s="572"/>
      <c r="K73" s="697">
        <v>362.75</v>
      </c>
      <c r="L73" s="542" t="e">
        <f>'통장내역(환율표)'!#REF!</f>
        <v>#REF!</v>
      </c>
      <c r="M73" s="617" t="e">
        <f t="shared" si="11"/>
        <v>#REF!</v>
      </c>
      <c r="N73" s="687" t="e">
        <f t="shared" si="9"/>
        <v>#REF!</v>
      </c>
      <c r="O73" s="688" t="e">
        <f t="shared" si="10"/>
        <v>#REF!</v>
      </c>
      <c r="P73" s="689" t="s">
        <v>1331</v>
      </c>
      <c r="Q73" s="801"/>
      <c r="R73" s="809"/>
      <c r="S73" s="883" t="e">
        <f t="shared" si="8"/>
        <v>#REF!</v>
      </c>
      <c r="T73" s="461"/>
      <c r="V73" s="461"/>
      <c r="W73" s="461"/>
      <c r="X73" s="461"/>
      <c r="Y73" s="461"/>
      <c r="Z73" s="461"/>
      <c r="AA73" s="461"/>
      <c r="AB73" s="461"/>
      <c r="AC73" s="461"/>
    </row>
    <row r="74" spans="1:29" s="574" customFormat="1" ht="11.25" customHeight="1">
      <c r="A74" s="544"/>
      <c r="B74" s="568">
        <v>45527</v>
      </c>
      <c r="C74" s="600" t="s">
        <v>851</v>
      </c>
      <c r="D74" s="600"/>
      <c r="E74" s="668">
        <v>33</v>
      </c>
      <c r="F74" s="569" t="s">
        <v>116</v>
      </c>
      <c r="G74" s="569" t="s">
        <v>140</v>
      </c>
      <c r="H74" s="571"/>
      <c r="I74" s="686"/>
      <c r="J74" s="572"/>
      <c r="K74" s="697">
        <v>99.1</v>
      </c>
      <c r="L74" s="542" t="e">
        <f>'통장내역(환율표)'!#REF!</f>
        <v>#REF!</v>
      </c>
      <c r="M74" s="617" t="e">
        <f t="shared" si="11"/>
        <v>#REF!</v>
      </c>
      <c r="N74" s="687" t="e">
        <f t="shared" si="9"/>
        <v>#REF!</v>
      </c>
      <c r="O74" s="688" t="e">
        <f t="shared" si="10"/>
        <v>#REF!</v>
      </c>
      <c r="P74" s="689" t="s">
        <v>1331</v>
      </c>
      <c r="Q74" s="801"/>
      <c r="R74" s="809"/>
      <c r="S74" s="883" t="e">
        <f t="shared" si="8"/>
        <v>#REF!</v>
      </c>
      <c r="T74" s="461"/>
      <c r="V74" s="461"/>
      <c r="W74" s="461"/>
      <c r="X74" s="461"/>
      <c r="Y74" s="461"/>
      <c r="Z74" s="461"/>
      <c r="AA74" s="461"/>
      <c r="AB74" s="461"/>
      <c r="AC74" s="461"/>
    </row>
    <row r="75" spans="1:29" s="574" customFormat="1" ht="11.25" customHeight="1">
      <c r="A75" s="544"/>
      <c r="B75" s="568">
        <v>45527</v>
      </c>
      <c r="C75" s="600" t="s">
        <v>1323</v>
      </c>
      <c r="D75" s="600"/>
      <c r="E75" s="668">
        <v>34</v>
      </c>
      <c r="F75" s="569" t="s">
        <v>146</v>
      </c>
      <c r="G75" s="569" t="s">
        <v>147</v>
      </c>
      <c r="H75" s="571"/>
      <c r="I75" s="686"/>
      <c r="J75" s="572"/>
      <c r="K75" s="697">
        <v>852.97</v>
      </c>
      <c r="L75" s="542" t="e">
        <f>'통장내역(환율표)'!#REF!</f>
        <v>#REF!</v>
      </c>
      <c r="M75" s="617" t="e">
        <f t="shared" si="11"/>
        <v>#REF!</v>
      </c>
      <c r="N75" s="687" t="e">
        <f t="shared" si="9"/>
        <v>#REF!</v>
      </c>
      <c r="O75" s="688" t="e">
        <f t="shared" si="10"/>
        <v>#REF!</v>
      </c>
      <c r="P75" s="689" t="s">
        <v>1331</v>
      </c>
      <c r="Q75" s="801"/>
      <c r="R75" s="809"/>
      <c r="S75" s="883" t="e">
        <f t="shared" si="8"/>
        <v>#REF!</v>
      </c>
      <c r="T75" s="461"/>
      <c r="V75" s="461"/>
      <c r="W75" s="461"/>
      <c r="X75" s="461"/>
      <c r="Y75" s="461"/>
      <c r="Z75" s="461"/>
      <c r="AA75" s="461"/>
      <c r="AB75" s="461"/>
      <c r="AC75" s="461"/>
    </row>
    <row r="76" spans="1:29" s="574" customFormat="1" ht="11.25" customHeight="1">
      <c r="A76" s="544"/>
      <c r="B76" s="568">
        <v>45527</v>
      </c>
      <c r="C76" s="896" t="s">
        <v>250</v>
      </c>
      <c r="D76" s="600"/>
      <c r="E76" s="668">
        <v>35</v>
      </c>
      <c r="F76" s="569" t="s">
        <v>107</v>
      </c>
      <c r="G76" s="569"/>
      <c r="H76" s="571"/>
      <c r="I76" s="686"/>
      <c r="J76" s="572"/>
      <c r="K76" s="697">
        <v>3.6</v>
      </c>
      <c r="L76" s="542" t="e">
        <f>'통장내역(환율표)'!#REF!</f>
        <v>#REF!</v>
      </c>
      <c r="M76" s="617" t="e">
        <f t="shared" si="11"/>
        <v>#REF!</v>
      </c>
      <c r="N76" s="687" t="e">
        <f t="shared" si="9"/>
        <v>#REF!</v>
      </c>
      <c r="O76" s="688" t="e">
        <f t="shared" si="10"/>
        <v>#REF!</v>
      </c>
      <c r="P76" s="689" t="s">
        <v>1331</v>
      </c>
      <c r="Q76" s="801"/>
      <c r="R76" s="809"/>
      <c r="S76" s="883" t="e">
        <f t="shared" si="8"/>
        <v>#REF!</v>
      </c>
      <c r="T76" s="461"/>
      <c r="V76" s="461"/>
      <c r="W76" s="461"/>
      <c r="X76" s="461"/>
      <c r="Y76" s="461"/>
      <c r="Z76" s="461"/>
      <c r="AA76" s="461"/>
      <c r="AB76" s="461"/>
      <c r="AC76" s="461"/>
    </row>
    <row r="77" spans="1:29" s="574" customFormat="1" ht="11.25" customHeight="1">
      <c r="A77" s="544"/>
      <c r="B77" s="568">
        <v>45527</v>
      </c>
      <c r="C77" s="600" t="s">
        <v>1098</v>
      </c>
      <c r="D77" s="600"/>
      <c r="E77" s="668">
        <v>36</v>
      </c>
      <c r="F77" s="569" t="s">
        <v>146</v>
      </c>
      <c r="G77" s="569" t="s">
        <v>147</v>
      </c>
      <c r="H77" s="571"/>
      <c r="I77" s="686"/>
      <c r="J77" s="572"/>
      <c r="K77" s="697">
        <v>12622.43</v>
      </c>
      <c r="L77" s="542" t="e">
        <f>'통장내역(환율표)'!#REF!</f>
        <v>#REF!</v>
      </c>
      <c r="M77" s="617" t="e">
        <f t="shared" si="11"/>
        <v>#REF!</v>
      </c>
      <c r="N77" s="687" t="e">
        <f t="shared" si="9"/>
        <v>#REF!</v>
      </c>
      <c r="O77" s="688" t="e">
        <f t="shared" si="10"/>
        <v>#REF!</v>
      </c>
      <c r="P77" s="689" t="s">
        <v>1331</v>
      </c>
      <c r="Q77" s="801"/>
      <c r="R77" s="809"/>
      <c r="S77" s="883" t="e">
        <f t="shared" si="8"/>
        <v>#REF!</v>
      </c>
      <c r="T77" s="461"/>
      <c r="V77" s="461"/>
      <c r="W77" s="461"/>
      <c r="X77" s="461"/>
      <c r="Y77" s="461"/>
      <c r="Z77" s="461"/>
      <c r="AA77" s="461"/>
      <c r="AB77" s="461"/>
      <c r="AC77" s="461"/>
    </row>
    <row r="78" spans="1:29" s="574" customFormat="1" ht="11.25" customHeight="1">
      <c r="A78" s="544"/>
      <c r="B78" s="568">
        <v>45527</v>
      </c>
      <c r="C78" s="600" t="s">
        <v>1252</v>
      </c>
      <c r="D78" s="600"/>
      <c r="E78" s="668">
        <v>37</v>
      </c>
      <c r="F78" s="569" t="s">
        <v>107</v>
      </c>
      <c r="G78" s="569"/>
      <c r="H78" s="571"/>
      <c r="I78" s="686"/>
      <c r="J78" s="572"/>
      <c r="K78" s="697">
        <v>1019.75</v>
      </c>
      <c r="L78" s="542" t="e">
        <f>'통장내역(환율표)'!#REF!</f>
        <v>#REF!</v>
      </c>
      <c r="M78" s="617" t="e">
        <f t="shared" si="11"/>
        <v>#REF!</v>
      </c>
      <c r="N78" s="687" t="e">
        <f t="shared" si="9"/>
        <v>#REF!</v>
      </c>
      <c r="O78" s="688" t="e">
        <f t="shared" si="10"/>
        <v>#REF!</v>
      </c>
      <c r="P78" s="689" t="s">
        <v>1331</v>
      </c>
      <c r="Q78" s="801"/>
      <c r="R78" s="809"/>
      <c r="S78" s="883" t="e">
        <f t="shared" si="8"/>
        <v>#REF!</v>
      </c>
      <c r="T78" s="461"/>
      <c r="V78" s="461"/>
      <c r="W78" s="461"/>
      <c r="X78" s="461"/>
      <c r="Y78" s="461"/>
      <c r="Z78" s="461"/>
      <c r="AA78" s="461"/>
      <c r="AB78" s="461"/>
      <c r="AC78" s="461"/>
    </row>
    <row r="79" spans="1:29" ht="11.25" customHeight="1">
      <c r="B79" s="568">
        <v>45527</v>
      </c>
      <c r="C79" s="600" t="s">
        <v>1324</v>
      </c>
      <c r="D79" s="600"/>
      <c r="E79" s="668">
        <v>38</v>
      </c>
      <c r="F79" s="569" t="s">
        <v>116</v>
      </c>
      <c r="G79" s="569" t="s">
        <v>140</v>
      </c>
      <c r="H79" s="571"/>
      <c r="I79" s="686"/>
      <c r="J79" s="572"/>
      <c r="K79" s="697">
        <v>419</v>
      </c>
      <c r="L79" s="542" t="e">
        <f>'통장내역(환율표)'!#REF!</f>
        <v>#REF!</v>
      </c>
      <c r="M79" s="617" t="e">
        <f t="shared" si="11"/>
        <v>#REF!</v>
      </c>
      <c r="N79" s="687" t="e">
        <f t="shared" si="9"/>
        <v>#REF!</v>
      </c>
      <c r="O79" s="688" t="e">
        <f t="shared" si="10"/>
        <v>#REF!</v>
      </c>
      <c r="P79" s="689" t="s">
        <v>1331</v>
      </c>
      <c r="Q79" s="801"/>
      <c r="R79" s="809"/>
      <c r="S79" s="883" t="e">
        <f t="shared" si="8"/>
        <v>#REF!</v>
      </c>
    </row>
    <row r="80" spans="1:29" ht="11.25" customHeight="1">
      <c r="B80" s="568">
        <v>45527</v>
      </c>
      <c r="C80" s="600" t="s">
        <v>1325</v>
      </c>
      <c r="D80" s="600"/>
      <c r="E80" s="668">
        <v>39</v>
      </c>
      <c r="F80" s="569" t="s">
        <v>146</v>
      </c>
      <c r="G80" s="569" t="s">
        <v>147</v>
      </c>
      <c r="H80" s="571"/>
      <c r="I80" s="686"/>
      <c r="J80" s="572"/>
      <c r="K80" s="697">
        <v>257.89999999999998</v>
      </c>
      <c r="L80" s="542" t="e">
        <f>'통장내역(환율표)'!#REF!</f>
        <v>#REF!</v>
      </c>
      <c r="M80" s="617" t="e">
        <f t="shared" si="11"/>
        <v>#REF!</v>
      </c>
      <c r="N80" s="687" t="e">
        <f t="shared" si="9"/>
        <v>#REF!</v>
      </c>
      <c r="O80" s="688" t="e">
        <f t="shared" si="10"/>
        <v>#REF!</v>
      </c>
      <c r="P80" s="689" t="s">
        <v>1331</v>
      </c>
      <c r="Q80" s="801"/>
      <c r="R80" s="809"/>
      <c r="S80" s="883" t="e">
        <f t="shared" si="8"/>
        <v>#REF!</v>
      </c>
    </row>
    <row r="81" spans="1:29" ht="11.25" customHeight="1">
      <c r="B81" s="568">
        <v>45527</v>
      </c>
      <c r="C81" s="600" t="s">
        <v>845</v>
      </c>
      <c r="D81" s="600"/>
      <c r="E81" s="668">
        <v>40</v>
      </c>
      <c r="F81" s="569" t="s">
        <v>125</v>
      </c>
      <c r="G81" s="569" t="s">
        <v>145</v>
      </c>
      <c r="H81" s="571"/>
      <c r="I81" s="686"/>
      <c r="J81" s="572"/>
      <c r="K81" s="697">
        <v>2043.5</v>
      </c>
      <c r="L81" s="542" t="e">
        <f>'통장내역(환율표)'!#REF!</f>
        <v>#REF!</v>
      </c>
      <c r="M81" s="617" t="e">
        <f t="shared" si="11"/>
        <v>#REF!</v>
      </c>
      <c r="N81" s="687" t="e">
        <f t="shared" si="9"/>
        <v>#REF!</v>
      </c>
      <c r="O81" s="688" t="e">
        <f t="shared" si="10"/>
        <v>#REF!</v>
      </c>
      <c r="P81" s="689" t="s">
        <v>1331</v>
      </c>
      <c r="Q81" s="803"/>
      <c r="R81" s="809"/>
      <c r="S81" s="883" t="e">
        <f t="shared" si="8"/>
        <v>#REF!</v>
      </c>
    </row>
    <row r="82" spans="1:29" ht="11.25" customHeight="1">
      <c r="B82" s="568">
        <v>45527</v>
      </c>
      <c r="C82" s="896" t="s">
        <v>250</v>
      </c>
      <c r="D82" s="600"/>
      <c r="E82" s="668">
        <v>41</v>
      </c>
      <c r="F82" s="569" t="s">
        <v>107</v>
      </c>
      <c r="G82" s="569"/>
      <c r="H82" s="571"/>
      <c r="I82" s="686"/>
      <c r="J82" s="572"/>
      <c r="K82" s="697">
        <v>7.2</v>
      </c>
      <c r="L82" s="542" t="e">
        <f>'통장내역(환율표)'!#REF!</f>
        <v>#REF!</v>
      </c>
      <c r="M82" s="617" t="e">
        <f t="shared" si="11"/>
        <v>#REF!</v>
      </c>
      <c r="N82" s="687" t="e">
        <f t="shared" si="9"/>
        <v>#REF!</v>
      </c>
      <c r="O82" s="688" t="e">
        <f t="shared" si="10"/>
        <v>#REF!</v>
      </c>
      <c r="P82" s="689" t="s">
        <v>1331</v>
      </c>
      <c r="Q82" s="803"/>
      <c r="R82" s="809"/>
      <c r="S82" s="883" t="e">
        <f t="shared" si="8"/>
        <v>#REF!</v>
      </c>
    </row>
    <row r="83" spans="1:29" ht="11.25" customHeight="1">
      <c r="B83" s="568">
        <v>45527</v>
      </c>
      <c r="C83" s="600" t="s">
        <v>1292</v>
      </c>
      <c r="D83" s="600"/>
      <c r="E83" s="668">
        <v>42</v>
      </c>
      <c r="F83" s="569" t="s">
        <v>125</v>
      </c>
      <c r="G83" s="569" t="s">
        <v>145</v>
      </c>
      <c r="H83" s="571"/>
      <c r="I83" s="686"/>
      <c r="J83" s="572"/>
      <c r="K83" s="697">
        <v>3900.9</v>
      </c>
      <c r="L83" s="542" t="e">
        <f>'통장내역(환율표)'!#REF!</f>
        <v>#REF!</v>
      </c>
      <c r="M83" s="617" t="e">
        <f t="shared" si="11"/>
        <v>#REF!</v>
      </c>
      <c r="N83" s="687" t="e">
        <f t="shared" si="9"/>
        <v>#REF!</v>
      </c>
      <c r="O83" s="688" t="e">
        <f t="shared" si="10"/>
        <v>#REF!</v>
      </c>
      <c r="P83" s="689" t="s">
        <v>1331</v>
      </c>
      <c r="Q83" s="803"/>
      <c r="R83" s="809" t="s">
        <v>1329</v>
      </c>
      <c r="S83" s="883" t="e">
        <f t="shared" si="8"/>
        <v>#REF!</v>
      </c>
    </row>
    <row r="84" spans="1:29" ht="11.25" customHeight="1">
      <c r="B84" s="568">
        <v>45527</v>
      </c>
      <c r="C84" s="600" t="s">
        <v>1293</v>
      </c>
      <c r="D84" s="600"/>
      <c r="E84" s="668">
        <v>43</v>
      </c>
      <c r="F84" s="569" t="s">
        <v>146</v>
      </c>
      <c r="G84" s="569" t="s">
        <v>147</v>
      </c>
      <c r="H84" s="571"/>
      <c r="I84" s="686"/>
      <c r="J84" s="572"/>
      <c r="K84" s="697">
        <v>149.01</v>
      </c>
      <c r="L84" s="542" t="e">
        <f>'통장내역(환율표)'!#REF!</f>
        <v>#REF!</v>
      </c>
      <c r="M84" s="617" t="e">
        <f t="shared" si="11"/>
        <v>#REF!</v>
      </c>
      <c r="N84" s="687" t="e">
        <f t="shared" ref="N84:N92" si="12">N83+H84-K84</f>
        <v>#REF!</v>
      </c>
      <c r="O84" s="688" t="e">
        <f t="shared" ref="O84:O92" si="13">O83+J84-M84</f>
        <v>#REF!</v>
      </c>
      <c r="P84" s="689" t="s">
        <v>1331</v>
      </c>
      <c r="Q84" s="801"/>
      <c r="R84" s="809"/>
      <c r="S84" s="883" t="e">
        <f t="shared" si="8"/>
        <v>#REF!</v>
      </c>
    </row>
    <row r="85" spans="1:29" ht="11.25" customHeight="1">
      <c r="B85" s="568">
        <v>45527</v>
      </c>
      <c r="C85" s="600" t="s">
        <v>1248</v>
      </c>
      <c r="D85" s="600"/>
      <c r="E85" s="668">
        <v>44</v>
      </c>
      <c r="F85" s="569" t="s">
        <v>116</v>
      </c>
      <c r="G85" s="569" t="s">
        <v>140</v>
      </c>
      <c r="H85" s="571"/>
      <c r="I85" s="686"/>
      <c r="J85" s="572"/>
      <c r="K85" s="697">
        <v>299</v>
      </c>
      <c r="L85" s="542" t="e">
        <f>'통장내역(환율표)'!#REF!</f>
        <v>#REF!</v>
      </c>
      <c r="M85" s="617" t="e">
        <f t="shared" si="11"/>
        <v>#REF!</v>
      </c>
      <c r="N85" s="687" t="e">
        <f t="shared" si="12"/>
        <v>#REF!</v>
      </c>
      <c r="O85" s="688" t="e">
        <f t="shared" si="13"/>
        <v>#REF!</v>
      </c>
      <c r="P85" s="689" t="s">
        <v>1331</v>
      </c>
      <c r="Q85" s="803"/>
      <c r="R85" s="809"/>
      <c r="S85" s="883" t="e">
        <f t="shared" si="8"/>
        <v>#REF!</v>
      </c>
    </row>
    <row r="86" spans="1:29" ht="11.25" customHeight="1">
      <c r="B86" s="568">
        <v>45527</v>
      </c>
      <c r="C86" s="600" t="s">
        <v>1249</v>
      </c>
      <c r="D86" s="600"/>
      <c r="E86" s="668">
        <v>45</v>
      </c>
      <c r="F86" s="569" t="s">
        <v>107</v>
      </c>
      <c r="G86" s="569"/>
      <c r="H86" s="571"/>
      <c r="I86" s="686"/>
      <c r="J86" s="572"/>
      <c r="K86" s="697">
        <v>12</v>
      </c>
      <c r="L86" s="542" t="e">
        <f>'통장내역(환율표)'!#REF!</f>
        <v>#REF!</v>
      </c>
      <c r="M86" s="617" t="e">
        <f t="shared" si="11"/>
        <v>#REF!</v>
      </c>
      <c r="N86" s="687" t="e">
        <f t="shared" si="12"/>
        <v>#REF!</v>
      </c>
      <c r="O86" s="688" t="e">
        <f t="shared" si="13"/>
        <v>#REF!</v>
      </c>
      <c r="P86" s="689" t="s">
        <v>1331</v>
      </c>
      <c r="Q86" s="803"/>
      <c r="R86" s="809"/>
      <c r="S86" s="883" t="e">
        <f t="shared" si="8"/>
        <v>#REF!</v>
      </c>
    </row>
    <row r="87" spans="1:29" ht="11.25" customHeight="1">
      <c r="B87" s="568">
        <v>45527</v>
      </c>
      <c r="C87" s="896" t="s">
        <v>250</v>
      </c>
      <c r="D87" s="600"/>
      <c r="E87" s="668">
        <v>46</v>
      </c>
      <c r="F87" s="569" t="s">
        <v>107</v>
      </c>
      <c r="G87" s="569"/>
      <c r="H87" s="571"/>
      <c r="I87" s="686"/>
      <c r="J87" s="572"/>
      <c r="K87" s="697">
        <v>3.6</v>
      </c>
      <c r="L87" s="542" t="e">
        <f>'통장내역(환율표)'!#REF!</f>
        <v>#REF!</v>
      </c>
      <c r="M87" s="617" t="e">
        <f t="shared" ref="M87:M92" si="14">K87/L87</f>
        <v>#REF!</v>
      </c>
      <c r="N87" s="687" t="e">
        <f t="shared" si="12"/>
        <v>#REF!</v>
      </c>
      <c r="O87" s="688" t="e">
        <f t="shared" si="13"/>
        <v>#REF!</v>
      </c>
      <c r="P87" s="689" t="s">
        <v>1331</v>
      </c>
      <c r="Q87" s="803"/>
      <c r="R87" s="809"/>
      <c r="S87" s="883" t="e">
        <f t="shared" si="8"/>
        <v>#REF!</v>
      </c>
    </row>
    <row r="88" spans="1:29" ht="11.25" customHeight="1">
      <c r="B88" s="568">
        <v>45527</v>
      </c>
      <c r="C88" s="600" t="s">
        <v>1326</v>
      </c>
      <c r="D88" s="600"/>
      <c r="E88" s="668">
        <v>47</v>
      </c>
      <c r="F88" s="569" t="s">
        <v>107</v>
      </c>
      <c r="G88" s="569"/>
      <c r="H88" s="571"/>
      <c r="I88" s="686"/>
      <c r="J88" s="572"/>
      <c r="K88" s="697">
        <v>84700</v>
      </c>
      <c r="L88" s="542" t="e">
        <f>'통장내역(환율표)'!#REF!</f>
        <v>#REF!</v>
      </c>
      <c r="M88" s="617" t="e">
        <f t="shared" si="14"/>
        <v>#REF!</v>
      </c>
      <c r="N88" s="687" t="e">
        <f t="shared" si="12"/>
        <v>#REF!</v>
      </c>
      <c r="O88" s="688" t="e">
        <f t="shared" si="13"/>
        <v>#REF!</v>
      </c>
      <c r="P88" s="689" t="s">
        <v>1331</v>
      </c>
      <c r="Q88" s="803"/>
      <c r="R88" s="809"/>
      <c r="S88" s="883" t="e">
        <f t="shared" si="8"/>
        <v>#REF!</v>
      </c>
    </row>
    <row r="89" spans="1:29" ht="11.25" customHeight="1">
      <c r="B89" s="568">
        <v>45527</v>
      </c>
      <c r="C89" s="600" t="s">
        <v>1327</v>
      </c>
      <c r="D89" s="600"/>
      <c r="E89" s="668">
        <v>48</v>
      </c>
      <c r="F89" s="569" t="s">
        <v>116</v>
      </c>
      <c r="G89" s="569" t="s">
        <v>140</v>
      </c>
      <c r="H89" s="571"/>
      <c r="I89" s="686"/>
      <c r="J89" s="572"/>
      <c r="K89" s="697">
        <v>300</v>
      </c>
      <c r="L89" s="542" t="e">
        <f>'통장내역(환율표)'!#REF!</f>
        <v>#REF!</v>
      </c>
      <c r="M89" s="617" t="e">
        <f t="shared" si="14"/>
        <v>#REF!</v>
      </c>
      <c r="N89" s="687" t="e">
        <f t="shared" si="12"/>
        <v>#REF!</v>
      </c>
      <c r="O89" s="688" t="e">
        <f t="shared" si="13"/>
        <v>#REF!</v>
      </c>
      <c r="P89" s="689" t="s">
        <v>1331</v>
      </c>
      <c r="Q89" s="803"/>
      <c r="R89" s="809"/>
      <c r="S89" s="883" t="e">
        <f t="shared" ref="S89:S92" si="15">S88-M89+J89</f>
        <v>#REF!</v>
      </c>
    </row>
    <row r="90" spans="1:29" ht="11.25" customHeight="1">
      <c r="B90" s="568">
        <v>45527</v>
      </c>
      <c r="C90" s="600" t="s">
        <v>1328</v>
      </c>
      <c r="D90" s="600"/>
      <c r="E90" s="668">
        <v>49</v>
      </c>
      <c r="F90" s="569" t="s">
        <v>146</v>
      </c>
      <c r="G90" s="569" t="s">
        <v>147</v>
      </c>
      <c r="H90" s="571"/>
      <c r="I90" s="686"/>
      <c r="J90" s="572"/>
      <c r="K90" s="697">
        <v>5703.24</v>
      </c>
      <c r="L90" s="542" t="e">
        <f>'통장내역(환율표)'!#REF!</f>
        <v>#REF!</v>
      </c>
      <c r="M90" s="617" t="e">
        <f t="shared" si="14"/>
        <v>#REF!</v>
      </c>
      <c r="N90" s="687" t="e">
        <f t="shared" si="12"/>
        <v>#REF!</v>
      </c>
      <c r="O90" s="688" t="e">
        <f t="shared" si="13"/>
        <v>#REF!</v>
      </c>
      <c r="P90" s="689" t="s">
        <v>1331</v>
      </c>
      <c r="Q90" s="803"/>
      <c r="R90" s="809"/>
      <c r="S90" s="883" t="e">
        <f t="shared" si="15"/>
        <v>#REF!</v>
      </c>
    </row>
    <row r="91" spans="1:29" ht="11.25" customHeight="1">
      <c r="B91" s="568">
        <v>45527</v>
      </c>
      <c r="C91" s="600" t="s">
        <v>839</v>
      </c>
      <c r="D91" s="600"/>
      <c r="E91" s="668">
        <v>50</v>
      </c>
      <c r="F91" s="569" t="s">
        <v>125</v>
      </c>
      <c r="G91" s="569" t="s">
        <v>145</v>
      </c>
      <c r="H91" s="571"/>
      <c r="I91" s="686"/>
      <c r="J91" s="572"/>
      <c r="K91" s="697">
        <v>13562</v>
      </c>
      <c r="L91" s="542" t="e">
        <f>'통장내역(환율표)'!#REF!</f>
        <v>#REF!</v>
      </c>
      <c r="M91" s="617" t="e">
        <f t="shared" si="14"/>
        <v>#REF!</v>
      </c>
      <c r="N91" s="687" t="e">
        <f t="shared" si="12"/>
        <v>#REF!</v>
      </c>
      <c r="O91" s="688" t="e">
        <f t="shared" si="13"/>
        <v>#REF!</v>
      </c>
      <c r="P91" s="689" t="s">
        <v>1331</v>
      </c>
      <c r="Q91" s="803"/>
      <c r="R91" s="809"/>
      <c r="S91" s="883" t="e">
        <f t="shared" si="15"/>
        <v>#REF!</v>
      </c>
    </row>
    <row r="92" spans="1:29" ht="11.25" customHeight="1">
      <c r="B92" s="568">
        <v>45527</v>
      </c>
      <c r="C92" s="896" t="s">
        <v>250</v>
      </c>
      <c r="D92" s="600"/>
      <c r="E92" s="668">
        <v>51</v>
      </c>
      <c r="F92" s="569" t="s">
        <v>107</v>
      </c>
      <c r="G92" s="569"/>
      <c r="H92" s="571"/>
      <c r="I92" s="686"/>
      <c r="J92" s="572"/>
      <c r="K92" s="637">
        <v>18</v>
      </c>
      <c r="L92" s="542" t="e">
        <f>'통장내역(환율표)'!#REF!</f>
        <v>#REF!</v>
      </c>
      <c r="M92" s="617" t="e">
        <f t="shared" si="14"/>
        <v>#REF!</v>
      </c>
      <c r="N92" s="848" t="e">
        <f t="shared" si="12"/>
        <v>#REF!</v>
      </c>
      <c r="O92" s="847" t="e">
        <f t="shared" si="13"/>
        <v>#REF!</v>
      </c>
      <c r="P92" s="689" t="s">
        <v>1331</v>
      </c>
      <c r="Q92" s="803"/>
      <c r="R92" s="809"/>
      <c r="S92" s="899" t="e">
        <f t="shared" si="15"/>
        <v>#REF!</v>
      </c>
    </row>
    <row r="93" spans="1:29" ht="11.25" customHeight="1">
      <c r="C93" s="892"/>
      <c r="D93" s="519"/>
      <c r="E93" s="519"/>
      <c r="F93" s="519"/>
      <c r="G93" s="519"/>
      <c r="H93" s="519"/>
      <c r="K93" s="461"/>
    </row>
    <row r="94" spans="1:29" ht="11.25" customHeight="1">
      <c r="C94" s="892"/>
      <c r="D94" s="519"/>
      <c r="E94" s="519"/>
      <c r="F94" s="519"/>
      <c r="G94" s="519"/>
      <c r="H94" s="519"/>
      <c r="K94" s="461"/>
    </row>
    <row r="95" spans="1:29" ht="11.25" customHeight="1">
      <c r="C95" s="892"/>
      <c r="D95" s="519"/>
      <c r="E95" s="519"/>
      <c r="F95" s="519"/>
      <c r="G95" s="890"/>
      <c r="H95" s="489"/>
      <c r="I95" s="489"/>
    </row>
    <row r="96" spans="1:29" s="489" customFormat="1" ht="11.25" customHeight="1">
      <c r="A96" s="544"/>
      <c r="B96" s="519"/>
      <c r="C96" s="519"/>
      <c r="D96" s="519"/>
      <c r="E96" s="519"/>
      <c r="F96" s="519"/>
      <c r="G96" s="890"/>
      <c r="L96" s="461"/>
      <c r="M96" s="461"/>
      <c r="N96" s="461"/>
      <c r="O96" s="461"/>
      <c r="P96" s="461"/>
      <c r="Q96" s="461"/>
      <c r="S96" s="492"/>
      <c r="T96" s="461"/>
      <c r="U96" s="574"/>
      <c r="V96" s="461"/>
      <c r="W96" s="461"/>
      <c r="X96" s="461"/>
      <c r="Y96" s="461"/>
      <c r="Z96" s="461"/>
      <c r="AA96" s="461"/>
      <c r="AB96" s="461"/>
      <c r="AC96" s="461"/>
    </row>
    <row r="97" spans="1:29" s="489" customFormat="1" ht="11.25" customHeight="1">
      <c r="A97" s="544"/>
      <c r="B97" s="519"/>
      <c r="C97" s="519"/>
      <c r="D97" s="519"/>
      <c r="E97" s="519"/>
      <c r="F97" s="519"/>
      <c r="G97" s="890"/>
      <c r="L97" s="461"/>
      <c r="M97" s="461"/>
      <c r="N97" s="461"/>
      <c r="O97" s="461"/>
      <c r="P97" s="461"/>
      <c r="Q97" s="461"/>
      <c r="S97" s="492"/>
      <c r="T97" s="461"/>
      <c r="U97" s="574"/>
      <c r="V97" s="461"/>
      <c r="W97" s="461"/>
      <c r="X97" s="461"/>
      <c r="Y97" s="461"/>
      <c r="Z97" s="461"/>
      <c r="AA97" s="461"/>
      <c r="AB97" s="461"/>
      <c r="AC97" s="461"/>
    </row>
    <row r="98" spans="1:29" s="489" customFormat="1" ht="11.25" customHeight="1">
      <c r="A98" s="544"/>
      <c r="B98" s="519"/>
      <c r="C98" s="519"/>
      <c r="D98" s="519"/>
      <c r="E98" s="519"/>
      <c r="F98" s="519"/>
      <c r="G98" s="890"/>
      <c r="L98" s="461"/>
      <c r="M98" s="461"/>
      <c r="N98" s="461"/>
      <c r="O98" s="461"/>
      <c r="P98" s="461"/>
      <c r="Q98" s="461"/>
      <c r="S98" s="492"/>
      <c r="T98" s="461"/>
      <c r="U98" s="574"/>
      <c r="V98" s="461"/>
      <c r="W98" s="461"/>
      <c r="X98" s="461"/>
      <c r="Y98" s="461"/>
      <c r="Z98" s="461"/>
      <c r="AA98" s="461"/>
      <c r="AB98" s="461"/>
      <c r="AC98" s="461"/>
    </row>
    <row r="99" spans="1:29" s="489" customFormat="1" ht="11.25" customHeight="1">
      <c r="A99" s="544"/>
      <c r="B99" s="519"/>
      <c r="C99" s="519"/>
      <c r="D99" s="519"/>
      <c r="E99" s="519"/>
      <c r="F99" s="519"/>
      <c r="G99" s="890"/>
      <c r="L99" s="461"/>
      <c r="M99" s="461"/>
      <c r="N99" s="461"/>
      <c r="O99" s="461"/>
      <c r="P99" s="461"/>
      <c r="Q99" s="461"/>
      <c r="S99" s="492"/>
      <c r="T99" s="461"/>
      <c r="U99" s="574"/>
      <c r="V99" s="461"/>
      <c r="W99" s="461"/>
      <c r="X99" s="461"/>
      <c r="Y99" s="461"/>
      <c r="Z99" s="461"/>
      <c r="AA99" s="461"/>
      <c r="AB99" s="461"/>
      <c r="AC99" s="461"/>
    </row>
    <row r="100" spans="1:29" s="489" customFormat="1" ht="11.25" customHeight="1">
      <c r="A100" s="544"/>
      <c r="B100" s="519"/>
      <c r="C100" s="519"/>
      <c r="D100" s="519"/>
      <c r="E100" s="519"/>
      <c r="F100" s="519"/>
      <c r="L100" s="461"/>
      <c r="M100" s="461"/>
      <c r="N100" s="461"/>
      <c r="O100" s="461"/>
      <c r="P100" s="461"/>
      <c r="Q100" s="461"/>
      <c r="S100" s="492"/>
      <c r="T100" s="461"/>
      <c r="U100" s="574"/>
      <c r="V100" s="461"/>
      <c r="W100" s="461"/>
      <c r="X100" s="461"/>
      <c r="Y100" s="461"/>
      <c r="Z100" s="461"/>
      <c r="AA100" s="461"/>
      <c r="AB100" s="461"/>
      <c r="AC100" s="461"/>
    </row>
    <row r="101" spans="1:29" s="489" customFormat="1" ht="11.25" customHeight="1">
      <c r="A101" s="544"/>
      <c r="B101" s="519"/>
      <c r="C101" s="519"/>
      <c r="D101" s="519"/>
      <c r="E101" s="519"/>
      <c r="F101" s="519"/>
      <c r="L101" s="461"/>
      <c r="M101" s="461"/>
      <c r="N101" s="461"/>
      <c r="O101" s="461"/>
      <c r="P101" s="461"/>
      <c r="Q101" s="461"/>
      <c r="S101" s="492"/>
      <c r="T101" s="461"/>
      <c r="U101" s="574"/>
      <c r="V101" s="461"/>
      <c r="W101" s="461"/>
      <c r="X101" s="461"/>
      <c r="Y101" s="461"/>
      <c r="Z101" s="461"/>
      <c r="AA101" s="461"/>
      <c r="AB101" s="461"/>
      <c r="AC101" s="461"/>
    </row>
    <row r="102" spans="1:29" s="489" customFormat="1" ht="11.25" customHeight="1">
      <c r="A102" s="544"/>
      <c r="B102" s="519"/>
      <c r="C102" s="519"/>
      <c r="D102" s="519"/>
      <c r="E102" s="519"/>
      <c r="F102" s="519"/>
      <c r="L102" s="461"/>
      <c r="M102" s="461"/>
      <c r="N102" s="461"/>
      <c r="O102" s="461"/>
      <c r="P102" s="461"/>
      <c r="Q102" s="461"/>
      <c r="S102" s="492"/>
      <c r="T102" s="461"/>
      <c r="U102" s="574"/>
      <c r="V102" s="461"/>
      <c r="W102" s="461"/>
      <c r="X102" s="461"/>
      <c r="Y102" s="461"/>
      <c r="Z102" s="461"/>
      <c r="AA102" s="461"/>
      <c r="AB102" s="461"/>
      <c r="AC102" s="461"/>
    </row>
    <row r="103" spans="1:29" s="489" customFormat="1" ht="11.25" customHeight="1">
      <c r="A103" s="544"/>
      <c r="B103" s="519"/>
      <c r="C103" s="519"/>
      <c r="D103" s="519"/>
      <c r="E103" s="519"/>
      <c r="F103" s="519"/>
      <c r="L103" s="461"/>
      <c r="M103" s="461"/>
      <c r="N103" s="461"/>
      <c r="O103" s="461"/>
      <c r="P103" s="461"/>
      <c r="Q103" s="461"/>
      <c r="S103" s="492"/>
      <c r="T103" s="461"/>
      <c r="U103" s="574"/>
      <c r="V103" s="461"/>
      <c r="W103" s="461"/>
      <c r="X103" s="461"/>
      <c r="Y103" s="461"/>
      <c r="Z103" s="461"/>
      <c r="AA103" s="461"/>
      <c r="AB103" s="461"/>
      <c r="AC103" s="461"/>
    </row>
    <row r="104" spans="1:29" s="489" customFormat="1" ht="11.25" customHeight="1">
      <c r="A104" s="544"/>
      <c r="B104" s="519"/>
      <c r="C104" s="519"/>
      <c r="D104" s="519"/>
      <c r="E104" s="519"/>
      <c r="F104" s="519"/>
      <c r="L104" s="461"/>
      <c r="M104" s="461"/>
      <c r="N104" s="461"/>
      <c r="O104" s="461"/>
      <c r="P104" s="461"/>
      <c r="Q104" s="461"/>
      <c r="S104" s="492"/>
      <c r="T104" s="461"/>
      <c r="U104" s="574"/>
      <c r="V104" s="461"/>
      <c r="W104" s="461"/>
      <c r="X104" s="461"/>
      <c r="Y104" s="461"/>
      <c r="Z104" s="461"/>
      <c r="AA104" s="461"/>
      <c r="AB104" s="461"/>
      <c r="AC104" s="461"/>
    </row>
    <row r="105" spans="1:29" s="489" customFormat="1" ht="11.25" customHeight="1">
      <c r="A105" s="544"/>
      <c r="B105" s="519"/>
      <c r="C105" s="519"/>
      <c r="D105" s="519"/>
      <c r="E105" s="519"/>
      <c r="F105" s="519"/>
      <c r="G105" s="519"/>
      <c r="H105" s="519"/>
      <c r="I105" s="461"/>
      <c r="L105" s="461"/>
      <c r="M105" s="461"/>
      <c r="N105" s="461"/>
      <c r="O105" s="461"/>
      <c r="P105" s="461"/>
      <c r="Q105" s="461"/>
      <c r="S105" s="492"/>
      <c r="T105" s="461"/>
      <c r="U105" s="574"/>
      <c r="V105" s="461"/>
      <c r="W105" s="461"/>
      <c r="X105" s="461"/>
      <c r="Y105" s="461"/>
      <c r="Z105" s="461"/>
      <c r="AA105" s="461"/>
      <c r="AB105" s="461"/>
      <c r="AC105" s="461"/>
    </row>
    <row r="106" spans="1:29" s="489" customFormat="1" ht="11.25" customHeight="1">
      <c r="A106" s="544"/>
      <c r="B106" s="519"/>
      <c r="C106" s="519"/>
      <c r="D106" s="519"/>
      <c r="E106" s="519"/>
      <c r="F106" s="519"/>
      <c r="G106" s="519"/>
      <c r="H106" s="519"/>
      <c r="I106" s="461"/>
      <c r="L106" s="461"/>
      <c r="M106" s="461"/>
      <c r="N106" s="461"/>
      <c r="O106" s="461"/>
      <c r="P106" s="461"/>
      <c r="Q106" s="461"/>
      <c r="S106" s="492"/>
      <c r="T106" s="461"/>
      <c r="U106" s="574"/>
      <c r="V106" s="461"/>
      <c r="W106" s="461"/>
      <c r="X106" s="461"/>
      <c r="Y106" s="461"/>
      <c r="Z106" s="461"/>
      <c r="AA106" s="461"/>
      <c r="AB106" s="461"/>
      <c r="AC106" s="461"/>
    </row>
  </sheetData>
  <autoFilter ref="B18:R92" xr:uid="{00000000-0009-0000-0000-000001000000}">
    <filterColumn colId="14" showButton="0"/>
    <sortState xmlns:xlrd2="http://schemas.microsoft.com/office/spreadsheetml/2017/richdata2" ref="B21:R83">
      <sortCondition sortBy="cellColor" ref="M18:M92" dxfId="21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2B59-D47E-4A2E-8332-4FC9A5F4BB7B}">
  <sheetPr>
    <tabColor theme="7" tint="-0.249977111117893"/>
  </sheetPr>
  <dimension ref="A1:AC108"/>
  <sheetViews>
    <sheetView showGridLines="0" zoomScaleNormal="100" workbookViewId="0">
      <pane ySplit="19" topLeftCell="A20" activePane="bottomLeft" state="frozen"/>
      <selection activeCell="D97" sqref="D97"/>
      <selection pane="bottomLeft" activeCell="D97" sqref="D97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1330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1321</v>
      </c>
      <c r="C3" s="477"/>
      <c r="D3" s="477"/>
      <c r="E3" s="477"/>
      <c r="F3" s="715">
        <v>1369.4</v>
      </c>
      <c r="G3" s="480"/>
      <c r="H3" s="476" t="s">
        <v>1333</v>
      </c>
      <c r="I3" s="477"/>
      <c r="K3" s="478"/>
      <c r="L3" s="715">
        <v>1339.5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27330.53</v>
      </c>
      <c r="K5" s="693">
        <v>3845.69</v>
      </c>
      <c r="L5" s="651">
        <f>ROUND(K5*$L$3,0)</f>
        <v>5151302</v>
      </c>
      <c r="M5" s="889">
        <f>L5+F5</f>
        <v>5151302</v>
      </c>
      <c r="N5" s="852"/>
      <c r="O5" s="900"/>
      <c r="P5" s="900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1600</v>
      </c>
      <c r="E6" s="500">
        <v>223.54</v>
      </c>
      <c r="F6" s="497">
        <f t="shared" ref="F6:F12" si="0">ROUND(E6*$F$3,0)</f>
        <v>306116</v>
      </c>
      <c r="G6" s="502"/>
      <c r="H6" s="499" t="s">
        <v>13</v>
      </c>
      <c r="I6" s="499" t="s">
        <v>14</v>
      </c>
      <c r="J6" s="693">
        <v>37369.96</v>
      </c>
      <c r="K6" s="693">
        <v>5258.34</v>
      </c>
      <c r="L6" s="651">
        <f t="shared" ref="L6:L11" si="1">ROUND(K6*$L$3,0)</f>
        <v>7043546</v>
      </c>
      <c r="M6" s="889">
        <f t="shared" ref="M6:M13" si="2">L6+F6</f>
        <v>7349662</v>
      </c>
      <c r="N6" s="852"/>
      <c r="O6" s="900"/>
      <c r="P6" s="900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24548</v>
      </c>
      <c r="E7" s="500">
        <v>3429.69</v>
      </c>
      <c r="F7" s="497">
        <f t="shared" si="0"/>
        <v>4696617</v>
      </c>
      <c r="G7" s="503"/>
      <c r="H7" s="499" t="s">
        <v>15</v>
      </c>
      <c r="I7" s="499" t="s">
        <v>1055</v>
      </c>
      <c r="J7" s="694"/>
      <c r="K7" s="694"/>
      <c r="L7" s="651">
        <f>ROUND(K7*$L$3,0)</f>
        <v>0</v>
      </c>
      <c r="M7" s="889">
        <f t="shared" si="2"/>
        <v>4696617</v>
      </c>
      <c r="N7" s="852"/>
      <c r="O7" s="900"/>
      <c r="P7" s="900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694">
        <v>2462.4299999999998</v>
      </c>
      <c r="L8" s="651">
        <f>ROUND(K8*$L$3,0)</f>
        <v>3298425</v>
      </c>
      <c r="M8" s="889">
        <f t="shared" si="2"/>
        <v>3298425</v>
      </c>
      <c r="N8" s="852"/>
      <c r="O8" s="900"/>
      <c r="P8" s="900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2044.97</v>
      </c>
      <c r="K9" s="693">
        <v>287.75</v>
      </c>
      <c r="L9" s="651">
        <f t="shared" si="1"/>
        <v>385441</v>
      </c>
      <c r="M9" s="889">
        <f t="shared" si="2"/>
        <v>385441</v>
      </c>
      <c r="N9" s="852"/>
      <c r="O9" s="900"/>
      <c r="P9" s="900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10916.03</v>
      </c>
      <c r="E10" s="500">
        <v>1525.12</v>
      </c>
      <c r="F10" s="497">
        <f t="shared" si="0"/>
        <v>2088499</v>
      </c>
      <c r="G10" s="505"/>
      <c r="H10" s="499" t="s">
        <v>21</v>
      </c>
      <c r="I10" s="499"/>
      <c r="J10" s="693">
        <v>201312.28</v>
      </c>
      <c r="K10" s="693">
        <v>28377.71</v>
      </c>
      <c r="L10" s="651">
        <f t="shared" si="1"/>
        <v>38011943</v>
      </c>
      <c r="M10" s="889">
        <f t="shared" si="2"/>
        <v>40100442</v>
      </c>
      <c r="N10" s="852"/>
      <c r="O10" s="900"/>
      <c r="P10" s="900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1369.3999713201638</v>
      </c>
      <c r="H11" s="506" t="s">
        <v>1057</v>
      </c>
      <c r="I11" s="507" t="s">
        <v>1279</v>
      </c>
      <c r="J11" s="511"/>
      <c r="K11" s="855"/>
      <c r="L11" s="854">
        <f t="shared" si="1"/>
        <v>0</v>
      </c>
      <c r="M11" s="889">
        <f t="shared" si="2"/>
        <v>0</v>
      </c>
      <c r="N11" s="853"/>
      <c r="O11" s="852"/>
      <c r="P11" s="901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926">
        <v>128.32</v>
      </c>
      <c r="E12" s="500">
        <v>17.93</v>
      </c>
      <c r="F12" s="497">
        <f t="shared" si="0"/>
        <v>24553</v>
      </c>
      <c r="G12" s="512">
        <f>E13+Q13+AB13</f>
        <v>5160.42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89">
        <f t="shared" si="2"/>
        <v>24553</v>
      </c>
      <c r="N12" s="852"/>
      <c r="O12" s="852"/>
      <c r="P12" s="901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36935.71</v>
      </c>
      <c r="E13" s="515">
        <f>SUM(E5:E11)-E12</f>
        <v>5160.42</v>
      </c>
      <c r="F13" s="870">
        <f>SUM(F5:F11)-F12</f>
        <v>7066679</v>
      </c>
      <c r="G13" s="518">
        <f>F13+R13+AC13</f>
        <v>7066679</v>
      </c>
      <c r="H13" s="868" t="s">
        <v>22</v>
      </c>
      <c r="I13" s="869"/>
      <c r="J13" s="515">
        <f>SUM(J5:J11)-J12</f>
        <v>285557.74</v>
      </c>
      <c r="K13" s="515">
        <f>SUM(K5:K11)-K12</f>
        <v>40231.919999999998</v>
      </c>
      <c r="L13" s="870">
        <f>SUM(L5:L11)-L12</f>
        <v>53890657</v>
      </c>
      <c r="M13" s="889">
        <f t="shared" si="2"/>
        <v>60957336</v>
      </c>
      <c r="N13" s="872"/>
      <c r="O13" s="873"/>
      <c r="P13" s="776"/>
      <c r="Q13" s="776"/>
      <c r="R13" s="776"/>
      <c r="S13" s="874"/>
      <c r="U13" s="850"/>
      <c r="X13" s="875">
        <f>F13+R13</f>
        <v>7066679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3">SUM(D7:D10)</f>
        <v>35464.03</v>
      </c>
      <c r="E14" s="739">
        <f t="shared" si="3"/>
        <v>4954.8099999999995</v>
      </c>
      <c r="F14" s="739">
        <f>SUM(F7:F10)</f>
        <v>6785116</v>
      </c>
      <c r="G14" s="524"/>
      <c r="J14" s="929">
        <f>J13+D13</f>
        <v>322493.45</v>
      </c>
      <c r="K14" s="929">
        <f t="shared" ref="K14" si="4">K13+E13</f>
        <v>45392.34</v>
      </c>
      <c r="L14" s="904">
        <f>L13+F13</f>
        <v>60957336</v>
      </c>
      <c r="M14" s="865" t="e">
        <f>M16-E12</f>
        <v>#REF!</v>
      </c>
      <c r="O14" s="525"/>
      <c r="P14" s="844">
        <f>P13+D13+J13</f>
        <v>322493.45</v>
      </c>
      <c r="Q14" s="844">
        <f>Q13+E13+K13</f>
        <v>45392.34</v>
      </c>
      <c r="R14" s="845">
        <f>R13+F13+L13</f>
        <v>60957336</v>
      </c>
      <c r="X14" s="470"/>
      <c r="Y14" s="525"/>
      <c r="AB14" s="525"/>
      <c r="AC14" s="489"/>
    </row>
    <row r="15" spans="1:29" ht="14.25" customHeight="1">
      <c r="A15" s="449"/>
      <c r="C15" s="520"/>
      <c r="D15" s="739"/>
      <c r="E15" s="739"/>
      <c r="F15" s="739"/>
      <c r="G15" s="524"/>
      <c r="L15" s="489"/>
      <c r="M15" s="489"/>
      <c r="O15" s="525"/>
      <c r="P15" s="844"/>
      <c r="Q15" s="844"/>
      <c r="R15" s="845"/>
      <c r="X15" s="470"/>
      <c r="Y15" s="525"/>
      <c r="AB15" s="525"/>
      <c r="AC15" s="489"/>
    </row>
    <row r="16" spans="1:29" ht="18.75" customHeight="1" thickBot="1">
      <c r="A16" s="449"/>
      <c r="C16" s="520"/>
      <c r="D16" s="520"/>
      <c r="E16" s="523"/>
      <c r="F16" s="523"/>
      <c r="G16" s="524"/>
      <c r="I16" s="525"/>
      <c r="J16" s="526"/>
      <c r="K16" s="652" t="e">
        <f>SUBTOTAL(9,K19:K122)</f>
        <v>#REF!</v>
      </c>
      <c r="L16" s="137"/>
      <c r="M16" s="652" t="e">
        <f>SUBTOTAL(9,M19:M122)</f>
        <v>#REF!</v>
      </c>
      <c r="N16" s="525"/>
      <c r="Q16" s="525"/>
    </row>
    <row r="17" spans="1:29" ht="11.25" customHeight="1">
      <c r="A17" s="449"/>
      <c r="B17" s="527" t="s">
        <v>24</v>
      </c>
      <c r="C17" s="528" t="s">
        <v>25</v>
      </c>
      <c r="D17" s="528" t="s">
        <v>1061</v>
      </c>
      <c r="E17" s="530" t="s">
        <v>26</v>
      </c>
      <c r="F17" s="531" t="s">
        <v>1</v>
      </c>
      <c r="G17" s="532" t="s">
        <v>2</v>
      </c>
      <c r="H17" s="2072" t="s">
        <v>29</v>
      </c>
      <c r="I17" s="2073"/>
      <c r="J17" s="2073"/>
      <c r="K17" s="2072" t="s">
        <v>30</v>
      </c>
      <c r="L17" s="2073"/>
      <c r="M17" s="2074"/>
      <c r="N17" s="2075" t="s">
        <v>31</v>
      </c>
      <c r="O17" s="2076"/>
      <c r="P17" s="2077"/>
      <c r="Q17" s="2077"/>
      <c r="R17" s="533" t="s">
        <v>1062</v>
      </c>
    </row>
    <row r="18" spans="1:29" ht="11.25" customHeight="1">
      <c r="A18" s="449"/>
      <c r="B18" s="534" t="s">
        <v>1063</v>
      </c>
      <c r="C18" s="535" t="s">
        <v>1064</v>
      </c>
      <c r="D18" s="535" t="s">
        <v>1065</v>
      </c>
      <c r="E18" s="537" t="s">
        <v>1066</v>
      </c>
      <c r="F18" s="538" t="s">
        <v>1067</v>
      </c>
      <c r="G18" s="539" t="s">
        <v>1068</v>
      </c>
      <c r="H18" s="540" t="s">
        <v>1069</v>
      </c>
      <c r="I18" s="540" t="s">
        <v>1070</v>
      </c>
      <c r="J18" s="541" t="s">
        <v>34</v>
      </c>
      <c r="K18" s="541" t="s">
        <v>1069</v>
      </c>
      <c r="L18" s="540" t="s">
        <v>1070</v>
      </c>
      <c r="M18" s="606" t="s">
        <v>34</v>
      </c>
      <c r="N18" s="609" t="s">
        <v>1069</v>
      </c>
      <c r="O18" s="610" t="s">
        <v>34</v>
      </c>
      <c r="P18" s="2081" t="s">
        <v>32</v>
      </c>
      <c r="Q18" s="2081"/>
      <c r="R18" s="905" t="s">
        <v>1062</v>
      </c>
    </row>
    <row r="19" spans="1:29" ht="11.25" customHeight="1">
      <c r="B19" s="657">
        <v>45535</v>
      </c>
      <c r="C19" s="658"/>
      <c r="D19" s="658"/>
      <c r="E19" s="660"/>
      <c r="F19" s="863"/>
      <c r="G19" s="661"/>
      <c r="H19" s="662"/>
      <c r="I19" s="658"/>
      <c r="J19" s="661"/>
      <c r="K19" s="664"/>
      <c r="L19" s="663"/>
      <c r="M19" s="906"/>
      <c r="N19" s="907">
        <v>36859.320000000116</v>
      </c>
      <c r="O19" s="907">
        <v>5160.4192225511024</v>
      </c>
      <c r="P19" s="908"/>
      <c r="Q19" s="660"/>
      <c r="R19" s="665"/>
      <c r="S19" s="846">
        <v>5160.42</v>
      </c>
    </row>
    <row r="20" spans="1:29" s="574" customFormat="1" ht="11.25" customHeight="1">
      <c r="A20" s="544"/>
      <c r="B20" s="700">
        <v>45548</v>
      </c>
      <c r="C20" s="920" t="s">
        <v>1088</v>
      </c>
      <c r="D20" s="920"/>
      <c r="E20" s="914"/>
      <c r="F20" s="703"/>
      <c r="G20" s="703"/>
      <c r="H20" s="898">
        <v>347089.01</v>
      </c>
      <c r="I20" s="897"/>
      <c r="J20" s="898">
        <v>48890</v>
      </c>
      <c r="K20" s="915"/>
      <c r="L20" s="706"/>
      <c r="M20" s="909"/>
      <c r="N20" s="910">
        <f>N19+H20-K20</f>
        <v>383948.33000000013</v>
      </c>
      <c r="O20" s="930">
        <f>O19+J20-M20</f>
        <v>54050.4192225511</v>
      </c>
      <c r="P20" s="927" t="s">
        <v>1331</v>
      </c>
      <c r="Q20" s="710"/>
      <c r="R20" s="710"/>
      <c r="S20" s="525"/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700">
        <v>45548</v>
      </c>
      <c r="C21" s="920" t="s">
        <v>445</v>
      </c>
      <c r="D21" s="920"/>
      <c r="E21" s="914">
        <v>1</v>
      </c>
      <c r="F21" s="703" t="s">
        <v>21</v>
      </c>
      <c r="G21" s="703"/>
      <c r="H21" s="712"/>
      <c r="I21" s="704"/>
      <c r="J21" s="704"/>
      <c r="K21" s="915"/>
      <c r="L21" s="706"/>
      <c r="M21" s="912">
        <v>51</v>
      </c>
      <c r="N21" s="910">
        <f t="shared" ref="N21:N85" si="5">N20+H21-K21</f>
        <v>383948.33000000013</v>
      </c>
      <c r="O21" s="930">
        <f>O20+J21-M21</f>
        <v>53999.4192225511</v>
      </c>
      <c r="P21" s="927" t="s">
        <v>1349</v>
      </c>
      <c r="Q21" s="710"/>
      <c r="R21" s="710"/>
      <c r="S21" s="525"/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customHeight="1">
      <c r="A22" s="544"/>
      <c r="B22" s="568">
        <v>45548</v>
      </c>
      <c r="C22" s="916" t="s">
        <v>1334</v>
      </c>
      <c r="D22" s="921"/>
      <c r="E22" s="917">
        <v>2</v>
      </c>
      <c r="F22" s="569" t="s">
        <v>105</v>
      </c>
      <c r="G22" s="569" t="s">
        <v>1122</v>
      </c>
      <c r="H22" s="569"/>
      <c r="I22" s="569"/>
      <c r="J22" s="569"/>
      <c r="K22" s="918">
        <v>24548</v>
      </c>
      <c r="L22" s="542" t="e">
        <f>'통장내역(환율표)'!#REF!</f>
        <v>#REF!</v>
      </c>
      <c r="M22" s="909" t="e">
        <f t="shared" ref="M22:M85" si="6">K22/L22</f>
        <v>#REF!</v>
      </c>
      <c r="N22" s="928">
        <f t="shared" si="5"/>
        <v>359400.33000000013</v>
      </c>
      <c r="O22" s="928" t="e">
        <f t="shared" ref="O22:O85" si="7">O21+J22-M22</f>
        <v>#REF!</v>
      </c>
      <c r="P22" s="911" t="s">
        <v>1331</v>
      </c>
      <c r="Q22" s="641"/>
      <c r="R22" s="641"/>
      <c r="S22" s="883" t="e">
        <f>S19-M22+J22</f>
        <v>#REF!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customHeight="1">
      <c r="A23" s="544"/>
      <c r="B23" s="568">
        <v>45548</v>
      </c>
      <c r="C23" s="916" t="s">
        <v>445</v>
      </c>
      <c r="D23" s="921"/>
      <c r="E23" s="917">
        <v>3</v>
      </c>
      <c r="F23" s="569" t="s">
        <v>1344</v>
      </c>
      <c r="G23" s="569"/>
      <c r="H23" s="569"/>
      <c r="I23" s="569"/>
      <c r="J23" s="569"/>
      <c r="K23" s="918">
        <v>7.2</v>
      </c>
      <c r="L23" s="542" t="e">
        <f>'통장내역(환율표)'!#REF!</f>
        <v>#REF!</v>
      </c>
      <c r="M23" s="909" t="e">
        <f t="shared" si="6"/>
        <v>#REF!</v>
      </c>
      <c r="N23" s="928">
        <f t="shared" si="5"/>
        <v>359393.13000000012</v>
      </c>
      <c r="O23" s="928" t="e">
        <f t="shared" si="7"/>
        <v>#REF!</v>
      </c>
      <c r="P23" s="911" t="s">
        <v>1331</v>
      </c>
      <c r="Q23" s="641"/>
      <c r="R23" s="641"/>
      <c r="S23" s="883" t="e">
        <f>S22-M23+J23</f>
        <v>#REF!</v>
      </c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customHeight="1">
      <c r="A24" s="544"/>
      <c r="B24" s="568">
        <v>45548</v>
      </c>
      <c r="C24" s="916" t="s">
        <v>1276</v>
      </c>
      <c r="D24" s="921"/>
      <c r="E24" s="917">
        <v>4</v>
      </c>
      <c r="F24" s="569" t="s">
        <v>1053</v>
      </c>
      <c r="G24" s="569" t="s">
        <v>1054</v>
      </c>
      <c r="H24" s="569"/>
      <c r="I24" s="569"/>
      <c r="J24" s="569"/>
      <c r="K24" s="918">
        <v>1600</v>
      </c>
      <c r="L24" s="542" t="e">
        <f>'통장내역(환율표)'!#REF!</f>
        <v>#REF!</v>
      </c>
      <c r="M24" s="909" t="e">
        <f t="shared" si="6"/>
        <v>#REF!</v>
      </c>
      <c r="N24" s="928">
        <f t="shared" si="5"/>
        <v>357793.13000000012</v>
      </c>
      <c r="O24" s="928" t="e">
        <f t="shared" si="7"/>
        <v>#REF!</v>
      </c>
      <c r="P24" s="911" t="s">
        <v>1331</v>
      </c>
      <c r="Q24" s="641"/>
      <c r="R24" s="641"/>
      <c r="S24" s="883" t="e">
        <f t="shared" ref="S24:S31" si="8">S23-M24+J24</f>
        <v>#REF!</v>
      </c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1.25" customHeight="1">
      <c r="A25" s="544"/>
      <c r="B25" s="568">
        <v>45548</v>
      </c>
      <c r="C25" s="916" t="s">
        <v>445</v>
      </c>
      <c r="D25" s="921"/>
      <c r="E25" s="917">
        <v>5</v>
      </c>
      <c r="F25" s="569" t="s">
        <v>1344</v>
      </c>
      <c r="G25" s="569"/>
      <c r="H25" s="569"/>
      <c r="I25" s="569"/>
      <c r="J25" s="569"/>
      <c r="K25" s="918">
        <v>3.6</v>
      </c>
      <c r="L25" s="542" t="e">
        <f>'통장내역(환율표)'!#REF!</f>
        <v>#REF!</v>
      </c>
      <c r="M25" s="909" t="e">
        <f t="shared" si="6"/>
        <v>#REF!</v>
      </c>
      <c r="N25" s="928">
        <f t="shared" si="5"/>
        <v>357789.53000000014</v>
      </c>
      <c r="O25" s="928" t="e">
        <f t="shared" si="7"/>
        <v>#REF!</v>
      </c>
      <c r="P25" s="911" t="s">
        <v>1331</v>
      </c>
      <c r="Q25" s="641"/>
      <c r="R25" s="641"/>
      <c r="S25" s="883" t="e">
        <f t="shared" si="8"/>
        <v>#REF!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489" customFormat="1" ht="11.25" customHeight="1">
      <c r="A26" s="544"/>
      <c r="B26" s="568">
        <v>45556</v>
      </c>
      <c r="C26" s="916" t="s">
        <v>1342</v>
      </c>
      <c r="D26" s="922"/>
      <c r="E26" s="922">
        <v>49</v>
      </c>
      <c r="F26" s="922" t="s">
        <v>1345</v>
      </c>
      <c r="G26" s="922"/>
      <c r="H26" s="923">
        <v>128.32</v>
      </c>
      <c r="I26" s="542" t="e">
        <f>'통장내역(환율표)'!#REF!</f>
        <v>#REF!</v>
      </c>
      <c r="J26" s="909" t="e">
        <f t="shared" ref="J26" si="9">H26/I26</f>
        <v>#REF!</v>
      </c>
      <c r="K26" s="924"/>
      <c r="L26" s="542" t="e">
        <f>'통장내역(환율표)'!#REF!</f>
        <v>#REF!</v>
      </c>
      <c r="M26" s="909" t="e">
        <f t="shared" ref="M26" si="10">K26/L26</f>
        <v>#REF!</v>
      </c>
      <c r="N26" s="928">
        <f>N25+H26-K26</f>
        <v>357917.85000000015</v>
      </c>
      <c r="O26" s="928" t="e">
        <f t="shared" si="7"/>
        <v>#REF!</v>
      </c>
      <c r="P26" s="911" t="s">
        <v>1331</v>
      </c>
      <c r="Q26" s="543"/>
      <c r="R26" s="913"/>
      <c r="S26" s="883" t="e">
        <f>S25-M26+J26</f>
        <v>#REF!</v>
      </c>
      <c r="T26" s="461"/>
      <c r="U26" s="574"/>
      <c r="V26" s="461"/>
      <c r="W26" s="461"/>
      <c r="X26" s="461"/>
      <c r="Y26" s="461"/>
      <c r="Z26" s="461"/>
      <c r="AA26" s="461"/>
      <c r="AB26" s="461"/>
      <c r="AC26" s="461"/>
    </row>
    <row r="27" spans="1:29" s="574" customFormat="1" ht="11.25" customHeight="1">
      <c r="A27" s="544"/>
      <c r="B27" s="568">
        <v>45558</v>
      </c>
      <c r="C27" s="916" t="s">
        <v>885</v>
      </c>
      <c r="D27" s="921"/>
      <c r="E27" s="917">
        <v>6</v>
      </c>
      <c r="F27" s="569" t="s">
        <v>1344</v>
      </c>
      <c r="G27" s="569"/>
      <c r="H27" s="569"/>
      <c r="I27" s="569"/>
      <c r="J27" s="569"/>
      <c r="K27" s="918" t="e">
        <f>L27*M27</f>
        <v>#REF!</v>
      </c>
      <c r="L27" s="542" t="e">
        <f>'통장내역(환율표)'!#REF!</f>
        <v>#REF!</v>
      </c>
      <c r="M27" s="909">
        <v>1523.6082640586797</v>
      </c>
      <c r="N27" s="928" t="e">
        <f t="shared" ref="N27" si="11">N26+H27-K27</f>
        <v>#REF!</v>
      </c>
      <c r="O27" s="928" t="e">
        <f t="shared" si="7"/>
        <v>#REF!</v>
      </c>
      <c r="P27" s="911" t="s">
        <v>1331</v>
      </c>
      <c r="Q27" s="641"/>
      <c r="R27" s="641"/>
      <c r="S27" s="883" t="e">
        <f>S26-M27+J27</f>
        <v>#REF!</v>
      </c>
      <c r="T27" s="461"/>
      <c r="V27" s="461"/>
      <c r="W27" s="461"/>
      <c r="X27" s="461"/>
      <c r="Y27" s="461"/>
      <c r="Z27" s="461"/>
      <c r="AA27" s="461"/>
      <c r="AB27" s="461"/>
      <c r="AC27" s="461"/>
    </row>
    <row r="28" spans="1:29" s="574" customFormat="1" ht="11.25" customHeight="1">
      <c r="A28" s="544"/>
      <c r="B28" s="568">
        <v>45558</v>
      </c>
      <c r="C28" s="916" t="s">
        <v>885</v>
      </c>
      <c r="D28" s="921"/>
      <c r="E28" s="917">
        <v>6</v>
      </c>
      <c r="F28" s="569" t="s">
        <v>1344</v>
      </c>
      <c r="G28" s="569"/>
      <c r="H28" s="569"/>
      <c r="I28" s="569"/>
      <c r="J28" s="569"/>
      <c r="K28" s="918" t="e">
        <f>16000-K27</f>
        <v>#REF!</v>
      </c>
      <c r="L28" s="542" t="e">
        <f>'통장내역(환율표)'!#REF!</f>
        <v>#REF!</v>
      </c>
      <c r="M28" s="912" t="e">
        <f t="shared" si="6"/>
        <v>#REF!</v>
      </c>
      <c r="N28" s="928" t="e">
        <f t="shared" si="5"/>
        <v>#REF!</v>
      </c>
      <c r="O28" s="928" t="e">
        <f t="shared" si="7"/>
        <v>#REF!</v>
      </c>
      <c r="P28" s="911" t="s">
        <v>1340</v>
      </c>
      <c r="Q28" s="641"/>
      <c r="R28" s="641"/>
      <c r="S28" s="883" t="e">
        <f>48839-M28</f>
        <v>#REF!</v>
      </c>
      <c r="T28" s="461"/>
      <c r="V28" s="461"/>
      <c r="W28" s="461"/>
      <c r="X28" s="461"/>
      <c r="Y28" s="461"/>
      <c r="Z28" s="461"/>
      <c r="AA28" s="461"/>
      <c r="AB28" s="461"/>
      <c r="AC28" s="461"/>
    </row>
    <row r="29" spans="1:29" s="574" customFormat="1" ht="11.25" customHeight="1">
      <c r="A29" s="544"/>
      <c r="B29" s="568">
        <v>45558</v>
      </c>
      <c r="C29" s="916" t="s">
        <v>938</v>
      </c>
      <c r="D29" s="921"/>
      <c r="E29" s="917">
        <v>6</v>
      </c>
      <c r="F29" s="569" t="s">
        <v>1344</v>
      </c>
      <c r="G29" s="569"/>
      <c r="H29" s="569"/>
      <c r="I29" s="569"/>
      <c r="J29" s="569"/>
      <c r="K29" s="918">
        <v>24000</v>
      </c>
      <c r="L29" s="542" t="e">
        <f>'통장내역(환율표)'!#REF!</f>
        <v>#REF!</v>
      </c>
      <c r="M29" s="912" t="e">
        <f t="shared" si="6"/>
        <v>#REF!</v>
      </c>
      <c r="N29" s="928" t="e">
        <f t="shared" si="5"/>
        <v>#REF!</v>
      </c>
      <c r="O29" s="928" t="e">
        <f t="shared" si="7"/>
        <v>#REF!</v>
      </c>
      <c r="P29" s="911" t="s">
        <v>1340</v>
      </c>
      <c r="Q29" s="641"/>
      <c r="R29" s="641"/>
      <c r="S29" s="883" t="e">
        <f>S28-M29+J29</f>
        <v>#REF!</v>
      </c>
      <c r="T29" s="461"/>
      <c r="V29" s="461"/>
      <c r="W29" s="461"/>
      <c r="X29" s="461"/>
      <c r="Y29" s="461"/>
      <c r="Z29" s="461"/>
      <c r="AA29" s="461"/>
      <c r="AB29" s="461"/>
      <c r="AC29" s="461"/>
    </row>
    <row r="30" spans="1:29" s="574" customFormat="1" ht="11.25" customHeight="1">
      <c r="A30" s="544"/>
      <c r="B30" s="568">
        <v>45558</v>
      </c>
      <c r="C30" s="916" t="s">
        <v>887</v>
      </c>
      <c r="D30" s="921"/>
      <c r="E30" s="917">
        <v>6</v>
      </c>
      <c r="F30" s="569" t="s">
        <v>1344</v>
      </c>
      <c r="G30" s="569"/>
      <c r="H30" s="569"/>
      <c r="I30" s="569"/>
      <c r="J30" s="569"/>
      <c r="K30" s="918">
        <v>5145.1900000000005</v>
      </c>
      <c r="L30" s="542" t="e">
        <f>'통장내역(환율표)'!#REF!</f>
        <v>#REF!</v>
      </c>
      <c r="M30" s="912" t="e">
        <f t="shared" si="6"/>
        <v>#REF!</v>
      </c>
      <c r="N30" s="928" t="e">
        <f t="shared" si="5"/>
        <v>#REF!</v>
      </c>
      <c r="O30" s="928" t="e">
        <f t="shared" si="7"/>
        <v>#REF!</v>
      </c>
      <c r="P30" s="911" t="s">
        <v>1340</v>
      </c>
      <c r="Q30" s="641"/>
      <c r="R30" s="641"/>
      <c r="S30" s="883" t="e">
        <f t="shared" si="8"/>
        <v>#REF!</v>
      </c>
      <c r="T30" s="461"/>
      <c r="V30" s="461"/>
      <c r="W30" s="461"/>
      <c r="X30" s="461"/>
      <c r="Y30" s="461"/>
      <c r="Z30" s="461"/>
      <c r="AA30" s="461"/>
      <c r="AB30" s="461"/>
      <c r="AC30" s="461"/>
    </row>
    <row r="31" spans="1:29" s="574" customFormat="1" ht="11.25" customHeight="1">
      <c r="A31" s="544"/>
      <c r="B31" s="568">
        <v>45558</v>
      </c>
      <c r="C31" s="916" t="s">
        <v>888</v>
      </c>
      <c r="D31" s="921"/>
      <c r="E31" s="917">
        <v>6</v>
      </c>
      <c r="F31" s="569" t="s">
        <v>1344</v>
      </c>
      <c r="G31" s="569"/>
      <c r="H31" s="569"/>
      <c r="I31" s="569"/>
      <c r="J31" s="569"/>
      <c r="K31" s="918">
        <v>6689.1999999999971</v>
      </c>
      <c r="L31" s="542" t="e">
        <f>'통장내역(환율표)'!#REF!</f>
        <v>#REF!</v>
      </c>
      <c r="M31" s="912" t="e">
        <f t="shared" si="6"/>
        <v>#REF!</v>
      </c>
      <c r="N31" s="928" t="e">
        <f t="shared" si="5"/>
        <v>#REF!</v>
      </c>
      <c r="O31" s="928" t="e">
        <f t="shared" si="7"/>
        <v>#REF!</v>
      </c>
      <c r="P31" s="911" t="s">
        <v>1340</v>
      </c>
      <c r="Q31" s="641"/>
      <c r="R31" s="641"/>
      <c r="S31" s="883" t="e">
        <f t="shared" si="8"/>
        <v>#REF!</v>
      </c>
      <c r="T31" s="461"/>
      <c r="V31" s="461"/>
      <c r="W31" s="461"/>
      <c r="X31" s="461"/>
      <c r="Y31" s="461"/>
      <c r="Z31" s="461"/>
      <c r="AA31" s="461"/>
      <c r="AB31" s="461"/>
      <c r="AC31" s="461"/>
    </row>
    <row r="32" spans="1:29" s="574" customFormat="1" ht="11.25" customHeight="1">
      <c r="A32" s="544"/>
      <c r="B32" s="568">
        <v>45558</v>
      </c>
      <c r="C32" s="916" t="s">
        <v>892</v>
      </c>
      <c r="D32" s="921"/>
      <c r="E32" s="917">
        <v>6</v>
      </c>
      <c r="F32" s="569" t="s">
        <v>1344</v>
      </c>
      <c r="G32" s="569"/>
      <c r="H32" s="569"/>
      <c r="I32" s="569"/>
      <c r="J32" s="569"/>
      <c r="K32" s="918">
        <v>300</v>
      </c>
      <c r="L32" s="542" t="e">
        <f>'통장내역(환율표)'!#REF!</f>
        <v>#REF!</v>
      </c>
      <c r="M32" s="912" t="e">
        <f t="shared" si="6"/>
        <v>#REF!</v>
      </c>
      <c r="N32" s="928" t="e">
        <f t="shared" si="5"/>
        <v>#REF!</v>
      </c>
      <c r="O32" s="928" t="e">
        <f t="shared" si="7"/>
        <v>#REF!</v>
      </c>
      <c r="P32" s="911" t="s">
        <v>1340</v>
      </c>
      <c r="Q32" s="641"/>
      <c r="R32" s="641"/>
      <c r="S32" s="883" t="e">
        <f t="shared" ref="S32:S88" si="12">S31-M32+J32</f>
        <v>#REF!</v>
      </c>
      <c r="T32" s="461"/>
      <c r="V32" s="461"/>
      <c r="W32" s="461"/>
      <c r="X32" s="461"/>
      <c r="Y32" s="461"/>
      <c r="Z32" s="461"/>
      <c r="AA32" s="461"/>
      <c r="AB32" s="461"/>
      <c r="AC32" s="461"/>
    </row>
    <row r="33" spans="1:29" s="574" customFormat="1" ht="11.25" customHeight="1">
      <c r="A33" s="544"/>
      <c r="B33" s="568">
        <v>45558</v>
      </c>
      <c r="C33" s="916" t="s">
        <v>885</v>
      </c>
      <c r="D33" s="921"/>
      <c r="E33" s="917">
        <v>6</v>
      </c>
      <c r="F33" s="569" t="s">
        <v>1344</v>
      </c>
      <c r="G33" s="569"/>
      <c r="H33" s="569"/>
      <c r="I33" s="569"/>
      <c r="J33" s="569"/>
      <c r="K33" s="918">
        <v>15000</v>
      </c>
      <c r="L33" s="542" t="e">
        <f>'통장내역(환율표)'!#REF!</f>
        <v>#REF!</v>
      </c>
      <c r="M33" s="912" t="e">
        <f t="shared" si="6"/>
        <v>#REF!</v>
      </c>
      <c r="N33" s="928" t="e">
        <f t="shared" si="5"/>
        <v>#REF!</v>
      </c>
      <c r="O33" s="928" t="e">
        <f t="shared" si="7"/>
        <v>#REF!</v>
      </c>
      <c r="P33" s="911" t="s">
        <v>1340</v>
      </c>
      <c r="Q33" s="641"/>
      <c r="R33" s="641"/>
      <c r="S33" s="883" t="e">
        <f t="shared" si="12"/>
        <v>#REF!</v>
      </c>
      <c r="T33" s="461"/>
      <c r="V33" s="461"/>
      <c r="W33" s="461"/>
      <c r="X33" s="461"/>
      <c r="Y33" s="461"/>
      <c r="Z33" s="461"/>
      <c r="AA33" s="461"/>
      <c r="AB33" s="461"/>
      <c r="AC33" s="461"/>
    </row>
    <row r="34" spans="1:29" s="574" customFormat="1" ht="11.25" customHeight="1">
      <c r="A34" s="544"/>
      <c r="B34" s="568">
        <v>45558</v>
      </c>
      <c r="C34" s="916" t="s">
        <v>938</v>
      </c>
      <c r="D34" s="921"/>
      <c r="E34" s="917">
        <v>6</v>
      </c>
      <c r="F34" s="569" t="s">
        <v>1344</v>
      </c>
      <c r="G34" s="569"/>
      <c r="H34" s="569"/>
      <c r="I34" s="569"/>
      <c r="J34" s="569"/>
      <c r="K34" s="918">
        <v>22000</v>
      </c>
      <c r="L34" s="542" t="e">
        <f>'통장내역(환율표)'!#REF!</f>
        <v>#REF!</v>
      </c>
      <c r="M34" s="912" t="e">
        <f t="shared" si="6"/>
        <v>#REF!</v>
      </c>
      <c r="N34" s="928" t="e">
        <f t="shared" si="5"/>
        <v>#REF!</v>
      </c>
      <c r="O34" s="928" t="e">
        <f t="shared" si="7"/>
        <v>#REF!</v>
      </c>
      <c r="P34" s="911" t="s">
        <v>1340</v>
      </c>
      <c r="Q34" s="641"/>
      <c r="R34" s="641"/>
      <c r="S34" s="883" t="e">
        <f t="shared" si="12"/>
        <v>#REF!</v>
      </c>
      <c r="T34" s="461"/>
      <c r="V34" s="461"/>
      <c r="W34" s="461"/>
      <c r="X34" s="461"/>
      <c r="Y34" s="461"/>
      <c r="Z34" s="461"/>
      <c r="AA34" s="461"/>
      <c r="AB34" s="461"/>
      <c r="AC34" s="461"/>
    </row>
    <row r="35" spans="1:29" s="574" customFormat="1" ht="11.25" customHeight="1">
      <c r="A35" s="544"/>
      <c r="B35" s="568">
        <v>45558</v>
      </c>
      <c r="C35" s="916" t="s">
        <v>887</v>
      </c>
      <c r="D35" s="921"/>
      <c r="E35" s="917">
        <v>6</v>
      </c>
      <c r="F35" s="569" t="s">
        <v>1344</v>
      </c>
      <c r="G35" s="569"/>
      <c r="H35" s="569"/>
      <c r="I35" s="569"/>
      <c r="J35" s="569"/>
      <c r="K35" s="918">
        <v>8576.1899999999987</v>
      </c>
      <c r="L35" s="542" t="e">
        <f>'통장내역(환율표)'!#REF!</f>
        <v>#REF!</v>
      </c>
      <c r="M35" s="912" t="e">
        <f t="shared" si="6"/>
        <v>#REF!</v>
      </c>
      <c r="N35" s="928" t="e">
        <f t="shared" si="5"/>
        <v>#REF!</v>
      </c>
      <c r="O35" s="928" t="e">
        <f t="shared" si="7"/>
        <v>#REF!</v>
      </c>
      <c r="P35" s="911" t="s">
        <v>1340</v>
      </c>
      <c r="Q35" s="641"/>
      <c r="R35" s="641"/>
      <c r="S35" s="883" t="e">
        <f t="shared" si="12"/>
        <v>#REF!</v>
      </c>
      <c r="T35" s="461"/>
      <c r="V35" s="461"/>
      <c r="W35" s="461"/>
      <c r="X35" s="461"/>
      <c r="Y35" s="461"/>
      <c r="Z35" s="461"/>
      <c r="AA35" s="461"/>
      <c r="AB35" s="461"/>
      <c r="AC35" s="461"/>
    </row>
    <row r="36" spans="1:29" s="574" customFormat="1" ht="11.25" customHeight="1">
      <c r="A36" s="544"/>
      <c r="B36" s="568">
        <v>45558</v>
      </c>
      <c r="C36" s="916" t="s">
        <v>888</v>
      </c>
      <c r="D36" s="921"/>
      <c r="E36" s="917">
        <v>6</v>
      </c>
      <c r="F36" s="569" t="s">
        <v>1344</v>
      </c>
      <c r="G36" s="569"/>
      <c r="H36" s="569"/>
      <c r="I36" s="569"/>
      <c r="J36" s="569"/>
      <c r="K36" s="918">
        <v>5734</v>
      </c>
      <c r="L36" s="542" t="e">
        <f>'통장내역(환율표)'!#REF!</f>
        <v>#REF!</v>
      </c>
      <c r="M36" s="912" t="e">
        <f t="shared" si="6"/>
        <v>#REF!</v>
      </c>
      <c r="N36" s="928" t="e">
        <f t="shared" si="5"/>
        <v>#REF!</v>
      </c>
      <c r="O36" s="928" t="e">
        <f t="shared" si="7"/>
        <v>#REF!</v>
      </c>
      <c r="P36" s="911" t="s">
        <v>1340</v>
      </c>
      <c r="Q36" s="641"/>
      <c r="R36" s="641"/>
      <c r="S36" s="883" t="e">
        <f t="shared" si="12"/>
        <v>#REF!</v>
      </c>
      <c r="T36" s="461"/>
      <c r="V36" s="461"/>
      <c r="W36" s="461"/>
      <c r="X36" s="461"/>
      <c r="Y36" s="461"/>
      <c r="Z36" s="461"/>
      <c r="AA36" s="461"/>
      <c r="AB36" s="461"/>
      <c r="AC36" s="461"/>
    </row>
    <row r="37" spans="1:29" s="574" customFormat="1" ht="11.25" customHeight="1">
      <c r="A37" s="544"/>
      <c r="B37" s="568">
        <v>45558</v>
      </c>
      <c r="C37" s="916" t="s">
        <v>892</v>
      </c>
      <c r="D37" s="921"/>
      <c r="E37" s="917">
        <v>6</v>
      </c>
      <c r="F37" s="569" t="s">
        <v>1344</v>
      </c>
      <c r="G37" s="569"/>
      <c r="H37" s="569"/>
      <c r="I37" s="569"/>
      <c r="J37" s="569"/>
      <c r="K37" s="918">
        <v>300</v>
      </c>
      <c r="L37" s="542" t="e">
        <f>'통장내역(환율표)'!#REF!</f>
        <v>#REF!</v>
      </c>
      <c r="M37" s="912" t="e">
        <f t="shared" si="6"/>
        <v>#REF!</v>
      </c>
      <c r="N37" s="928" t="e">
        <f t="shared" si="5"/>
        <v>#REF!</v>
      </c>
      <c r="O37" s="928" t="e">
        <f t="shared" si="7"/>
        <v>#REF!</v>
      </c>
      <c r="P37" s="911" t="s">
        <v>1340</v>
      </c>
      <c r="Q37" s="641"/>
      <c r="R37" s="641"/>
      <c r="S37" s="883" t="e">
        <f t="shared" si="12"/>
        <v>#REF!</v>
      </c>
      <c r="T37" s="461"/>
      <c r="V37" s="461"/>
      <c r="W37" s="461"/>
      <c r="X37" s="461"/>
      <c r="Y37" s="461"/>
      <c r="Z37" s="461"/>
      <c r="AA37" s="461"/>
      <c r="AB37" s="461"/>
      <c r="AC37" s="461"/>
    </row>
    <row r="38" spans="1:29" s="574" customFormat="1" ht="11.25" customHeight="1">
      <c r="A38" s="544"/>
      <c r="B38" s="568">
        <v>45558</v>
      </c>
      <c r="C38" s="916" t="s">
        <v>891</v>
      </c>
      <c r="D38" s="921"/>
      <c r="E38" s="917">
        <v>6</v>
      </c>
      <c r="F38" s="569" t="s">
        <v>1344</v>
      </c>
      <c r="G38" s="569"/>
      <c r="H38" s="569"/>
      <c r="I38" s="569"/>
      <c r="J38" s="569"/>
      <c r="K38" s="918">
        <v>25750</v>
      </c>
      <c r="L38" s="542" t="e">
        <f>'통장내역(환율표)'!#REF!</f>
        <v>#REF!</v>
      </c>
      <c r="M38" s="912" t="e">
        <f t="shared" si="6"/>
        <v>#REF!</v>
      </c>
      <c r="N38" s="928" t="e">
        <f t="shared" si="5"/>
        <v>#REF!</v>
      </c>
      <c r="O38" s="928" t="e">
        <f t="shared" si="7"/>
        <v>#REF!</v>
      </c>
      <c r="P38" s="911" t="s">
        <v>1340</v>
      </c>
      <c r="Q38" s="641"/>
      <c r="R38" s="641"/>
      <c r="S38" s="883" t="e">
        <f t="shared" si="12"/>
        <v>#REF!</v>
      </c>
      <c r="T38" s="461"/>
      <c r="V38" s="461"/>
      <c r="W38" s="461"/>
      <c r="X38" s="461"/>
      <c r="Y38" s="461"/>
      <c r="Z38" s="461"/>
      <c r="AA38" s="461"/>
      <c r="AB38" s="461"/>
      <c r="AC38" s="461"/>
    </row>
    <row r="39" spans="1:29" s="574" customFormat="1" ht="11.25" customHeight="1">
      <c r="A39" s="544"/>
      <c r="B39" s="568">
        <v>45558</v>
      </c>
      <c r="C39" s="916" t="s">
        <v>1109</v>
      </c>
      <c r="D39" s="921"/>
      <c r="E39" s="917">
        <v>6</v>
      </c>
      <c r="F39" s="569" t="s">
        <v>1344</v>
      </c>
      <c r="G39" s="569"/>
      <c r="H39" s="569"/>
      <c r="I39" s="569"/>
      <c r="J39" s="569"/>
      <c r="K39" s="918">
        <v>2500</v>
      </c>
      <c r="L39" s="542" t="e">
        <f>'통장내역(환율표)'!#REF!</f>
        <v>#REF!</v>
      </c>
      <c r="M39" s="912" t="e">
        <f t="shared" si="6"/>
        <v>#REF!</v>
      </c>
      <c r="N39" s="928" t="e">
        <f t="shared" si="5"/>
        <v>#REF!</v>
      </c>
      <c r="O39" s="928" t="e">
        <f t="shared" si="7"/>
        <v>#REF!</v>
      </c>
      <c r="P39" s="911" t="s">
        <v>1340</v>
      </c>
      <c r="Q39" s="641"/>
      <c r="R39" s="641"/>
      <c r="S39" s="883" t="e">
        <f t="shared" si="12"/>
        <v>#REF!</v>
      </c>
      <c r="T39" s="461"/>
      <c r="V39" s="461"/>
      <c r="W39" s="461"/>
      <c r="X39" s="461"/>
      <c r="Y39" s="461"/>
      <c r="Z39" s="461"/>
      <c r="AA39" s="461"/>
      <c r="AB39" s="461"/>
      <c r="AC39" s="461"/>
    </row>
    <row r="40" spans="1:29" s="574" customFormat="1" ht="11.25" customHeight="1">
      <c r="A40" s="544"/>
      <c r="B40" s="568">
        <v>45558</v>
      </c>
      <c r="C40" s="916" t="s">
        <v>1343</v>
      </c>
      <c r="D40" s="921"/>
      <c r="E40" s="917">
        <v>6</v>
      </c>
      <c r="F40" s="569" t="s">
        <v>1344</v>
      </c>
      <c r="G40" s="569"/>
      <c r="H40" s="569"/>
      <c r="I40" s="569"/>
      <c r="J40" s="569"/>
      <c r="K40" s="918">
        <v>7173.94</v>
      </c>
      <c r="L40" s="542" t="e">
        <f>'통장내역(환율표)'!#REF!</f>
        <v>#REF!</v>
      </c>
      <c r="M40" s="912" t="e">
        <f t="shared" si="6"/>
        <v>#REF!</v>
      </c>
      <c r="N40" s="928" t="e">
        <f t="shared" si="5"/>
        <v>#REF!</v>
      </c>
      <c r="O40" s="928" t="e">
        <f t="shared" si="7"/>
        <v>#REF!</v>
      </c>
      <c r="P40" s="911" t="s">
        <v>1340</v>
      </c>
      <c r="Q40" s="641"/>
      <c r="R40" s="641"/>
      <c r="S40" s="883" t="e">
        <f t="shared" si="12"/>
        <v>#REF!</v>
      </c>
      <c r="T40" s="461"/>
      <c r="V40" s="461"/>
      <c r="W40" s="461"/>
      <c r="X40" s="461"/>
      <c r="Y40" s="461"/>
      <c r="Z40" s="461"/>
      <c r="AA40" s="461"/>
      <c r="AB40" s="461"/>
      <c r="AC40" s="461"/>
    </row>
    <row r="41" spans="1:29" s="574" customFormat="1" ht="11.25" customHeight="1">
      <c r="A41" s="544"/>
      <c r="B41" s="568">
        <v>45558</v>
      </c>
      <c r="C41" s="916" t="s">
        <v>892</v>
      </c>
      <c r="D41" s="921"/>
      <c r="E41" s="917">
        <v>6</v>
      </c>
      <c r="F41" s="569" t="s">
        <v>1344</v>
      </c>
      <c r="G41" s="569"/>
      <c r="H41" s="569"/>
      <c r="I41" s="569"/>
      <c r="J41" s="569"/>
      <c r="K41" s="918">
        <v>300</v>
      </c>
      <c r="L41" s="542" t="e">
        <f>'통장내역(환율표)'!#REF!</f>
        <v>#REF!</v>
      </c>
      <c r="M41" s="912" t="e">
        <f t="shared" si="6"/>
        <v>#REF!</v>
      </c>
      <c r="N41" s="928" t="e">
        <f t="shared" si="5"/>
        <v>#REF!</v>
      </c>
      <c r="O41" s="928" t="e">
        <f t="shared" si="7"/>
        <v>#REF!</v>
      </c>
      <c r="P41" s="911" t="s">
        <v>1340</v>
      </c>
      <c r="Q41" s="641"/>
      <c r="R41" s="641"/>
      <c r="S41" s="883" t="e">
        <f t="shared" si="12"/>
        <v>#REF!</v>
      </c>
      <c r="T41" s="461"/>
      <c r="V41" s="461"/>
      <c r="W41" s="461"/>
      <c r="X41" s="461"/>
      <c r="Y41" s="461"/>
      <c r="Z41" s="461"/>
      <c r="AA41" s="461"/>
      <c r="AB41" s="461"/>
      <c r="AC41" s="461"/>
    </row>
    <row r="42" spans="1:29" s="574" customFormat="1" ht="11.25" customHeight="1">
      <c r="A42" s="544"/>
      <c r="B42" s="568">
        <v>45558</v>
      </c>
      <c r="C42" s="916" t="s">
        <v>983</v>
      </c>
      <c r="D42" s="921"/>
      <c r="E42" s="917">
        <v>6</v>
      </c>
      <c r="F42" s="569" t="s">
        <v>1344</v>
      </c>
      <c r="G42" s="569"/>
      <c r="H42" s="569"/>
      <c r="I42" s="569"/>
      <c r="J42" s="569"/>
      <c r="K42" s="918">
        <v>1200</v>
      </c>
      <c r="L42" s="542" t="e">
        <f>'통장내역(환율표)'!#REF!</f>
        <v>#REF!</v>
      </c>
      <c r="M42" s="912" t="e">
        <f t="shared" si="6"/>
        <v>#REF!</v>
      </c>
      <c r="N42" s="928" t="e">
        <f t="shared" si="5"/>
        <v>#REF!</v>
      </c>
      <c r="O42" s="928" t="e">
        <f t="shared" si="7"/>
        <v>#REF!</v>
      </c>
      <c r="P42" s="911" t="s">
        <v>1340</v>
      </c>
      <c r="Q42" s="641"/>
      <c r="R42" s="641"/>
      <c r="S42" s="883" t="e">
        <f t="shared" si="12"/>
        <v>#REF!</v>
      </c>
      <c r="T42" s="461"/>
      <c r="V42" s="461"/>
      <c r="W42" s="461"/>
      <c r="X42" s="461"/>
      <c r="Y42" s="461"/>
      <c r="Z42" s="461"/>
      <c r="AA42" s="461"/>
      <c r="AB42" s="461"/>
      <c r="AC42" s="461"/>
    </row>
    <row r="43" spans="1:29" s="574" customFormat="1" ht="11.25" customHeight="1">
      <c r="A43" s="544"/>
      <c r="B43" s="568">
        <v>45558</v>
      </c>
      <c r="C43" s="916" t="s">
        <v>891</v>
      </c>
      <c r="D43" s="921"/>
      <c r="E43" s="917">
        <v>6</v>
      </c>
      <c r="F43" s="569" t="s">
        <v>1344</v>
      </c>
      <c r="G43" s="569"/>
      <c r="H43" s="569"/>
      <c r="I43" s="569"/>
      <c r="J43" s="569"/>
      <c r="K43" s="918">
        <v>13390</v>
      </c>
      <c r="L43" s="542" t="e">
        <f>'통장내역(환율표)'!#REF!</f>
        <v>#REF!</v>
      </c>
      <c r="M43" s="912" t="e">
        <f t="shared" si="6"/>
        <v>#REF!</v>
      </c>
      <c r="N43" s="928" t="e">
        <f t="shared" si="5"/>
        <v>#REF!</v>
      </c>
      <c r="O43" s="928" t="e">
        <f t="shared" si="7"/>
        <v>#REF!</v>
      </c>
      <c r="P43" s="911" t="s">
        <v>1340</v>
      </c>
      <c r="Q43" s="641"/>
      <c r="R43" s="641"/>
      <c r="S43" s="883" t="e">
        <f t="shared" si="12"/>
        <v>#REF!</v>
      </c>
      <c r="T43" s="461"/>
      <c r="V43" s="461"/>
      <c r="W43" s="461"/>
      <c r="X43" s="461"/>
      <c r="Y43" s="461"/>
      <c r="Z43" s="461"/>
      <c r="AA43" s="461"/>
      <c r="AB43" s="461"/>
      <c r="AC43" s="461"/>
    </row>
    <row r="44" spans="1:29" s="574" customFormat="1" ht="11.25" customHeight="1">
      <c r="A44" s="544"/>
      <c r="B44" s="568">
        <v>45558</v>
      </c>
      <c r="C44" s="916" t="s">
        <v>1109</v>
      </c>
      <c r="D44" s="921"/>
      <c r="E44" s="917">
        <v>6</v>
      </c>
      <c r="F44" s="569" t="s">
        <v>1344</v>
      </c>
      <c r="G44" s="569"/>
      <c r="H44" s="569"/>
      <c r="I44" s="569"/>
      <c r="J44" s="569"/>
      <c r="K44" s="918">
        <v>2500</v>
      </c>
      <c r="L44" s="542" t="e">
        <f>'통장내역(환율표)'!#REF!</f>
        <v>#REF!</v>
      </c>
      <c r="M44" s="912" t="e">
        <f t="shared" si="6"/>
        <v>#REF!</v>
      </c>
      <c r="N44" s="928" t="e">
        <f t="shared" si="5"/>
        <v>#REF!</v>
      </c>
      <c r="O44" s="928" t="e">
        <f t="shared" si="7"/>
        <v>#REF!</v>
      </c>
      <c r="P44" s="911" t="s">
        <v>1340</v>
      </c>
      <c r="Q44" s="641"/>
      <c r="R44" s="641"/>
      <c r="S44" s="883" t="e">
        <f t="shared" si="12"/>
        <v>#REF!</v>
      </c>
      <c r="T44" s="461"/>
      <c r="V44" s="461"/>
      <c r="W44" s="461"/>
      <c r="X44" s="461"/>
      <c r="Y44" s="461"/>
      <c r="Z44" s="461"/>
      <c r="AA44" s="461"/>
      <c r="AB44" s="461"/>
      <c r="AC44" s="461"/>
    </row>
    <row r="45" spans="1:29" s="574" customFormat="1" ht="11.25" customHeight="1">
      <c r="A45" s="544"/>
      <c r="B45" s="568">
        <v>45558</v>
      </c>
      <c r="C45" s="916" t="s">
        <v>1343</v>
      </c>
      <c r="D45" s="921"/>
      <c r="E45" s="917">
        <v>6</v>
      </c>
      <c r="F45" s="569" t="s">
        <v>1344</v>
      </c>
      <c r="G45" s="569"/>
      <c r="H45" s="569"/>
      <c r="I45" s="569"/>
      <c r="J45" s="569"/>
      <c r="K45" s="918">
        <v>3147.67</v>
      </c>
      <c r="L45" s="542" t="e">
        <f>'통장내역(환율표)'!#REF!</f>
        <v>#REF!</v>
      </c>
      <c r="M45" s="912" t="e">
        <f t="shared" si="6"/>
        <v>#REF!</v>
      </c>
      <c r="N45" s="928" t="e">
        <f t="shared" si="5"/>
        <v>#REF!</v>
      </c>
      <c r="O45" s="928" t="e">
        <f t="shared" si="7"/>
        <v>#REF!</v>
      </c>
      <c r="P45" s="911" t="s">
        <v>1340</v>
      </c>
      <c r="Q45" s="641"/>
      <c r="R45" s="641"/>
      <c r="S45" s="883" t="e">
        <f t="shared" si="12"/>
        <v>#REF!</v>
      </c>
      <c r="T45" s="461"/>
      <c r="V45" s="461"/>
      <c r="W45" s="461"/>
      <c r="X45" s="461"/>
      <c r="Y45" s="461"/>
      <c r="Z45" s="461"/>
      <c r="AA45" s="461"/>
      <c r="AB45" s="461"/>
      <c r="AC45" s="461"/>
    </row>
    <row r="46" spans="1:29" s="574" customFormat="1" ht="11.25" customHeight="1">
      <c r="A46" s="544"/>
      <c r="B46" s="568">
        <v>45558</v>
      </c>
      <c r="C46" s="916" t="s">
        <v>892</v>
      </c>
      <c r="D46" s="921"/>
      <c r="E46" s="917">
        <v>6</v>
      </c>
      <c r="F46" s="569" t="s">
        <v>1344</v>
      </c>
      <c r="G46" s="569"/>
      <c r="H46" s="569"/>
      <c r="I46" s="569"/>
      <c r="J46" s="569"/>
      <c r="K46" s="918">
        <v>300</v>
      </c>
      <c r="L46" s="542" t="e">
        <f>'통장내역(환율표)'!#REF!</f>
        <v>#REF!</v>
      </c>
      <c r="M46" s="912" t="e">
        <f t="shared" si="6"/>
        <v>#REF!</v>
      </c>
      <c r="N46" s="928" t="e">
        <f t="shared" si="5"/>
        <v>#REF!</v>
      </c>
      <c r="O46" s="928" t="e">
        <f t="shared" si="7"/>
        <v>#REF!</v>
      </c>
      <c r="P46" s="911" t="s">
        <v>1340</v>
      </c>
      <c r="Q46" s="641"/>
      <c r="R46" s="641"/>
      <c r="S46" s="883" t="e">
        <f t="shared" si="12"/>
        <v>#REF!</v>
      </c>
      <c r="T46" s="461"/>
      <c r="V46" s="461"/>
      <c r="W46" s="461"/>
      <c r="X46" s="461"/>
      <c r="Y46" s="461"/>
      <c r="Z46" s="461"/>
      <c r="AA46" s="461"/>
      <c r="AB46" s="461"/>
      <c r="AC46" s="461"/>
    </row>
    <row r="47" spans="1:29" s="574" customFormat="1" ht="11.25" customHeight="1">
      <c r="A47" s="544"/>
      <c r="B47" s="568">
        <v>45558</v>
      </c>
      <c r="C47" s="916" t="s">
        <v>891</v>
      </c>
      <c r="D47" s="921"/>
      <c r="E47" s="917">
        <v>6</v>
      </c>
      <c r="F47" s="569" t="s">
        <v>1344</v>
      </c>
      <c r="G47" s="569"/>
      <c r="H47" s="569"/>
      <c r="I47" s="569"/>
      <c r="J47" s="569"/>
      <c r="K47" s="918">
        <v>25750</v>
      </c>
      <c r="L47" s="542" t="e">
        <f>'통장내역(환율표)'!#REF!</f>
        <v>#REF!</v>
      </c>
      <c r="M47" s="912" t="e">
        <f t="shared" si="6"/>
        <v>#REF!</v>
      </c>
      <c r="N47" s="928" t="e">
        <f t="shared" si="5"/>
        <v>#REF!</v>
      </c>
      <c r="O47" s="928" t="e">
        <f t="shared" si="7"/>
        <v>#REF!</v>
      </c>
      <c r="P47" s="911" t="s">
        <v>1340</v>
      </c>
      <c r="Q47" s="641"/>
      <c r="R47" s="641"/>
      <c r="S47" s="883" t="e">
        <f t="shared" si="12"/>
        <v>#REF!</v>
      </c>
      <c r="T47" s="461"/>
      <c r="V47" s="461"/>
      <c r="W47" s="461"/>
      <c r="X47" s="461"/>
      <c r="Y47" s="461"/>
      <c r="Z47" s="461"/>
      <c r="AA47" s="461"/>
      <c r="AB47" s="461"/>
      <c r="AC47" s="461"/>
    </row>
    <row r="48" spans="1:29" s="574" customFormat="1" ht="11.25" customHeight="1">
      <c r="A48" s="544"/>
      <c r="B48" s="568">
        <v>45558</v>
      </c>
      <c r="C48" s="916" t="s">
        <v>1109</v>
      </c>
      <c r="D48" s="921"/>
      <c r="E48" s="917">
        <v>6</v>
      </c>
      <c r="F48" s="569" t="s">
        <v>1344</v>
      </c>
      <c r="G48" s="569"/>
      <c r="H48" s="569"/>
      <c r="I48" s="569"/>
      <c r="J48" s="569"/>
      <c r="K48" s="918">
        <v>2500</v>
      </c>
      <c r="L48" s="542" t="e">
        <f>'통장내역(환율표)'!#REF!</f>
        <v>#REF!</v>
      </c>
      <c r="M48" s="912" t="e">
        <f t="shared" si="6"/>
        <v>#REF!</v>
      </c>
      <c r="N48" s="928" t="e">
        <f t="shared" si="5"/>
        <v>#REF!</v>
      </c>
      <c r="O48" s="928" t="e">
        <f t="shared" si="7"/>
        <v>#REF!</v>
      </c>
      <c r="P48" s="911" t="s">
        <v>1340</v>
      </c>
      <c r="Q48" s="641"/>
      <c r="R48" s="641"/>
      <c r="S48" s="883" t="e">
        <f t="shared" si="12"/>
        <v>#REF!</v>
      </c>
      <c r="T48" s="461"/>
      <c r="V48" s="461"/>
      <c r="W48" s="461"/>
      <c r="X48" s="461"/>
      <c r="Y48" s="461"/>
      <c r="Z48" s="461"/>
      <c r="AA48" s="461"/>
      <c r="AB48" s="461"/>
      <c r="AC48" s="461"/>
    </row>
    <row r="49" spans="1:29" s="574" customFormat="1" ht="11.25" customHeight="1">
      <c r="A49" s="544"/>
      <c r="B49" s="568">
        <v>45558</v>
      </c>
      <c r="C49" s="916" t="s">
        <v>1343</v>
      </c>
      <c r="D49" s="921"/>
      <c r="E49" s="917">
        <v>6</v>
      </c>
      <c r="F49" s="569" t="s">
        <v>1344</v>
      </c>
      <c r="G49" s="569"/>
      <c r="H49" s="569"/>
      <c r="I49" s="569"/>
      <c r="J49" s="569"/>
      <c r="K49" s="918">
        <v>7173.94</v>
      </c>
      <c r="L49" s="542" t="e">
        <f>'통장내역(환율표)'!#REF!</f>
        <v>#REF!</v>
      </c>
      <c r="M49" s="912" t="e">
        <f t="shared" si="6"/>
        <v>#REF!</v>
      </c>
      <c r="N49" s="928" t="e">
        <f t="shared" si="5"/>
        <v>#REF!</v>
      </c>
      <c r="O49" s="928" t="e">
        <f t="shared" si="7"/>
        <v>#REF!</v>
      </c>
      <c r="P49" s="911" t="s">
        <v>1340</v>
      </c>
      <c r="Q49" s="641"/>
      <c r="R49" s="641"/>
      <c r="S49" s="883" t="e">
        <f t="shared" si="12"/>
        <v>#REF!</v>
      </c>
      <c r="T49" s="461"/>
      <c r="V49" s="461"/>
      <c r="W49" s="461"/>
      <c r="X49" s="461"/>
      <c r="Y49" s="461"/>
      <c r="Z49" s="461"/>
      <c r="AA49" s="461"/>
      <c r="AB49" s="461"/>
      <c r="AC49" s="461"/>
    </row>
    <row r="50" spans="1:29" s="574" customFormat="1" ht="11.25" customHeight="1">
      <c r="A50" s="544"/>
      <c r="B50" s="568">
        <v>45558</v>
      </c>
      <c r="C50" s="916" t="s">
        <v>892</v>
      </c>
      <c r="D50" s="921"/>
      <c r="E50" s="917">
        <v>6</v>
      </c>
      <c r="F50" s="569" t="s">
        <v>1344</v>
      </c>
      <c r="G50" s="569"/>
      <c r="H50" s="569"/>
      <c r="I50" s="569"/>
      <c r="J50" s="569"/>
      <c r="K50" s="918">
        <v>300</v>
      </c>
      <c r="L50" s="542" t="e">
        <f>'통장내역(환율표)'!#REF!</f>
        <v>#REF!</v>
      </c>
      <c r="M50" s="912" t="e">
        <f t="shared" si="6"/>
        <v>#REF!</v>
      </c>
      <c r="N50" s="928" t="e">
        <f t="shared" si="5"/>
        <v>#REF!</v>
      </c>
      <c r="O50" s="928" t="e">
        <f t="shared" si="7"/>
        <v>#REF!</v>
      </c>
      <c r="P50" s="911" t="s">
        <v>1340</v>
      </c>
      <c r="Q50" s="641"/>
      <c r="R50" s="641"/>
      <c r="S50" s="883" t="e">
        <f t="shared" si="12"/>
        <v>#REF!</v>
      </c>
      <c r="T50" s="461"/>
      <c r="V50" s="461"/>
      <c r="W50" s="461"/>
      <c r="X50" s="461"/>
      <c r="Y50" s="461"/>
      <c r="Z50" s="461"/>
      <c r="AA50" s="461"/>
      <c r="AB50" s="461"/>
      <c r="AC50" s="461"/>
    </row>
    <row r="51" spans="1:29" s="574" customFormat="1" ht="11.25" customHeight="1">
      <c r="A51" s="544"/>
      <c r="B51" s="568">
        <v>45558</v>
      </c>
      <c r="C51" s="916" t="s">
        <v>983</v>
      </c>
      <c r="D51" s="921"/>
      <c r="E51" s="917">
        <v>6</v>
      </c>
      <c r="F51" s="569" t="s">
        <v>1344</v>
      </c>
      <c r="G51" s="569"/>
      <c r="H51" s="569"/>
      <c r="I51" s="569"/>
      <c r="J51" s="569"/>
      <c r="K51" s="918">
        <v>300</v>
      </c>
      <c r="L51" s="542" t="e">
        <f>'통장내역(환율표)'!#REF!</f>
        <v>#REF!</v>
      </c>
      <c r="M51" s="912" t="e">
        <f t="shared" si="6"/>
        <v>#REF!</v>
      </c>
      <c r="N51" s="928" t="e">
        <f t="shared" si="5"/>
        <v>#REF!</v>
      </c>
      <c r="O51" s="928" t="e">
        <f t="shared" si="7"/>
        <v>#REF!</v>
      </c>
      <c r="P51" s="911" t="s">
        <v>1340</v>
      </c>
      <c r="Q51" s="641"/>
      <c r="R51" s="641"/>
      <c r="S51" s="883" t="e">
        <f t="shared" si="12"/>
        <v>#REF!</v>
      </c>
      <c r="T51" s="461"/>
      <c r="V51" s="461"/>
      <c r="W51" s="461"/>
      <c r="X51" s="461"/>
      <c r="Y51" s="461"/>
      <c r="Z51" s="461"/>
      <c r="AA51" s="461"/>
      <c r="AB51" s="461"/>
      <c r="AC51" s="461"/>
    </row>
    <row r="52" spans="1:29" s="574" customFormat="1" ht="11.25" customHeight="1">
      <c r="A52" s="544"/>
      <c r="B52" s="568">
        <v>45558</v>
      </c>
      <c r="C52" s="916" t="s">
        <v>445</v>
      </c>
      <c r="D52" s="921"/>
      <c r="E52" s="917">
        <v>7</v>
      </c>
      <c r="F52" s="569" t="s">
        <v>1344</v>
      </c>
      <c r="G52" s="569"/>
      <c r="H52" s="569"/>
      <c r="I52" s="569"/>
      <c r="J52" s="569"/>
      <c r="K52" s="918">
        <v>12</v>
      </c>
      <c r="L52" s="542" t="e">
        <f>'통장내역(환율표)'!#REF!</f>
        <v>#REF!</v>
      </c>
      <c r="M52" s="912" t="e">
        <f t="shared" si="6"/>
        <v>#REF!</v>
      </c>
      <c r="N52" s="928" t="e">
        <f t="shared" si="5"/>
        <v>#REF!</v>
      </c>
      <c r="O52" s="928" t="e">
        <f t="shared" si="7"/>
        <v>#REF!</v>
      </c>
      <c r="P52" s="911" t="s">
        <v>1340</v>
      </c>
      <c r="Q52" s="641"/>
      <c r="R52" s="641"/>
      <c r="S52" s="883" t="e">
        <f t="shared" si="12"/>
        <v>#REF!</v>
      </c>
      <c r="T52" s="461"/>
      <c r="V52" s="461"/>
      <c r="W52" s="461"/>
      <c r="X52" s="461"/>
      <c r="Y52" s="461"/>
      <c r="Z52" s="461"/>
      <c r="AA52" s="461"/>
      <c r="AB52" s="461"/>
      <c r="AC52" s="461"/>
    </row>
    <row r="53" spans="1:29" s="574" customFormat="1" ht="11.25" customHeight="1">
      <c r="A53" s="544"/>
      <c r="B53" s="568">
        <v>45558</v>
      </c>
      <c r="C53" s="921" t="s">
        <v>306</v>
      </c>
      <c r="D53" s="921"/>
      <c r="E53" s="917">
        <v>8</v>
      </c>
      <c r="F53" s="569" t="s">
        <v>1344</v>
      </c>
      <c r="G53" s="569"/>
      <c r="H53" s="571"/>
      <c r="I53" s="686"/>
      <c r="J53" s="572"/>
      <c r="K53" s="918">
        <v>1010</v>
      </c>
      <c r="L53" s="542" t="e">
        <f>'통장내역(환율표)'!#REF!</f>
        <v>#REF!</v>
      </c>
      <c r="M53" s="912" t="e">
        <f t="shared" si="6"/>
        <v>#REF!</v>
      </c>
      <c r="N53" s="928" t="e">
        <f t="shared" si="5"/>
        <v>#REF!</v>
      </c>
      <c r="O53" s="928" t="e">
        <f t="shared" si="7"/>
        <v>#REF!</v>
      </c>
      <c r="P53" s="911" t="s">
        <v>1340</v>
      </c>
      <c r="Q53" s="641"/>
      <c r="R53" s="641"/>
      <c r="S53" s="883" t="e">
        <f t="shared" si="12"/>
        <v>#REF!</v>
      </c>
      <c r="T53" s="461"/>
      <c r="V53" s="461"/>
      <c r="W53" s="461"/>
      <c r="X53" s="461"/>
      <c r="Y53" s="461"/>
      <c r="Z53" s="461"/>
      <c r="AA53" s="461"/>
      <c r="AB53" s="461"/>
      <c r="AC53" s="461"/>
    </row>
    <row r="54" spans="1:29" s="574" customFormat="1" ht="11.25" customHeight="1">
      <c r="A54" s="544"/>
      <c r="B54" s="568">
        <v>45558</v>
      </c>
      <c r="C54" s="916" t="s">
        <v>445</v>
      </c>
      <c r="D54" s="921"/>
      <c r="E54" s="917">
        <v>9</v>
      </c>
      <c r="F54" s="569" t="s">
        <v>1344</v>
      </c>
      <c r="G54" s="569"/>
      <c r="H54" s="571"/>
      <c r="I54" s="686"/>
      <c r="J54" s="572"/>
      <c r="K54" s="918">
        <v>3.6</v>
      </c>
      <c r="L54" s="542" t="e">
        <f>'통장내역(환율표)'!#REF!</f>
        <v>#REF!</v>
      </c>
      <c r="M54" s="912" t="e">
        <f t="shared" si="6"/>
        <v>#REF!</v>
      </c>
      <c r="N54" s="928" t="e">
        <f t="shared" si="5"/>
        <v>#REF!</v>
      </c>
      <c r="O54" s="928" t="e">
        <f t="shared" si="7"/>
        <v>#REF!</v>
      </c>
      <c r="P54" s="911" t="s">
        <v>1340</v>
      </c>
      <c r="Q54" s="641"/>
      <c r="R54" s="641"/>
      <c r="S54" s="883" t="e">
        <f t="shared" si="12"/>
        <v>#REF!</v>
      </c>
      <c r="T54" s="461"/>
      <c r="V54" s="461"/>
      <c r="W54" s="461"/>
      <c r="X54" s="461"/>
      <c r="Y54" s="461"/>
      <c r="Z54" s="461"/>
      <c r="AA54" s="461"/>
      <c r="AB54" s="461"/>
      <c r="AC54" s="461"/>
    </row>
    <row r="55" spans="1:29" s="574" customFormat="1" ht="11.25" customHeight="1">
      <c r="A55" s="544"/>
      <c r="B55" s="568">
        <v>45558</v>
      </c>
      <c r="C55" s="921" t="s">
        <v>305</v>
      </c>
      <c r="D55" s="921"/>
      <c r="E55" s="917">
        <v>10</v>
      </c>
      <c r="F55" s="569" t="s">
        <v>105</v>
      </c>
      <c r="G55" s="569" t="s">
        <v>227</v>
      </c>
      <c r="H55" s="571"/>
      <c r="I55" s="686"/>
      <c r="J55" s="572"/>
      <c r="K55" s="918">
        <v>10500</v>
      </c>
      <c r="L55" s="542" t="e">
        <f>'통장내역(환율표)'!#REF!</f>
        <v>#REF!</v>
      </c>
      <c r="M55" s="912" t="e">
        <f t="shared" si="6"/>
        <v>#REF!</v>
      </c>
      <c r="N55" s="928" t="e">
        <f t="shared" si="5"/>
        <v>#REF!</v>
      </c>
      <c r="O55" s="928" t="e">
        <f t="shared" si="7"/>
        <v>#REF!</v>
      </c>
      <c r="P55" s="911" t="s">
        <v>1340</v>
      </c>
      <c r="Q55" s="641"/>
      <c r="R55" s="641"/>
      <c r="S55" s="883" t="e">
        <f t="shared" si="12"/>
        <v>#REF!</v>
      </c>
      <c r="T55" s="461"/>
      <c r="V55" s="461"/>
      <c r="W55" s="461"/>
      <c r="X55" s="461"/>
      <c r="Y55" s="461"/>
      <c r="Z55" s="461"/>
      <c r="AA55" s="461"/>
      <c r="AB55" s="461"/>
      <c r="AC55" s="461"/>
    </row>
    <row r="56" spans="1:29" s="574" customFormat="1" ht="11.25" customHeight="1">
      <c r="A56" s="544"/>
      <c r="B56" s="568">
        <v>45558</v>
      </c>
      <c r="C56" s="921" t="s">
        <v>1107</v>
      </c>
      <c r="D56" s="921"/>
      <c r="E56" s="917">
        <v>10</v>
      </c>
      <c r="F56" s="569" t="s">
        <v>1344</v>
      </c>
      <c r="G56" s="569"/>
      <c r="H56" s="571"/>
      <c r="I56" s="686"/>
      <c r="J56" s="572"/>
      <c r="K56" s="918">
        <v>6000</v>
      </c>
      <c r="L56" s="542" t="e">
        <f>'통장내역(환율표)'!#REF!</f>
        <v>#REF!</v>
      </c>
      <c r="M56" s="912" t="e">
        <f t="shared" si="6"/>
        <v>#REF!</v>
      </c>
      <c r="N56" s="928" t="e">
        <f t="shared" si="5"/>
        <v>#REF!</v>
      </c>
      <c r="O56" s="928" t="e">
        <f t="shared" si="7"/>
        <v>#REF!</v>
      </c>
      <c r="P56" s="911" t="s">
        <v>1340</v>
      </c>
      <c r="Q56" s="641"/>
      <c r="R56" s="641"/>
      <c r="S56" s="883" t="e">
        <f t="shared" si="12"/>
        <v>#REF!</v>
      </c>
      <c r="T56" s="461"/>
      <c r="V56" s="461"/>
      <c r="W56" s="461"/>
      <c r="X56" s="461"/>
      <c r="Y56" s="461"/>
      <c r="Z56" s="461"/>
      <c r="AA56" s="461"/>
      <c r="AB56" s="461"/>
      <c r="AC56" s="461"/>
    </row>
    <row r="57" spans="1:29" s="574" customFormat="1" ht="11.25" customHeight="1">
      <c r="A57" s="544"/>
      <c r="B57" s="568">
        <v>45558</v>
      </c>
      <c r="C57" s="921" t="s">
        <v>1108</v>
      </c>
      <c r="D57" s="921"/>
      <c r="E57" s="917">
        <v>10</v>
      </c>
      <c r="F57" s="569" t="s">
        <v>1344</v>
      </c>
      <c r="G57" s="569"/>
      <c r="H57" s="571"/>
      <c r="I57" s="686"/>
      <c r="J57" s="572"/>
      <c r="K57" s="918">
        <v>680</v>
      </c>
      <c r="L57" s="542" t="e">
        <f>'통장내역(환율표)'!#REF!</f>
        <v>#REF!</v>
      </c>
      <c r="M57" s="912" t="e">
        <f t="shared" si="6"/>
        <v>#REF!</v>
      </c>
      <c r="N57" s="928" t="e">
        <f t="shared" si="5"/>
        <v>#REF!</v>
      </c>
      <c r="O57" s="928" t="e">
        <f t="shared" si="7"/>
        <v>#REF!</v>
      </c>
      <c r="P57" s="911" t="s">
        <v>1340</v>
      </c>
      <c r="Q57" s="641"/>
      <c r="R57" s="641"/>
      <c r="S57" s="883" t="e">
        <f t="shared" si="12"/>
        <v>#REF!</v>
      </c>
      <c r="T57" s="461"/>
      <c r="V57" s="461"/>
      <c r="W57" s="461"/>
      <c r="X57" s="461"/>
      <c r="Y57" s="461"/>
      <c r="Z57" s="461"/>
      <c r="AA57" s="461"/>
      <c r="AB57" s="461"/>
      <c r="AC57" s="461"/>
    </row>
    <row r="58" spans="1:29" s="574" customFormat="1" ht="11.25" customHeight="1">
      <c r="A58" s="544"/>
      <c r="B58" s="568">
        <v>45558</v>
      </c>
      <c r="C58" s="921" t="s">
        <v>305</v>
      </c>
      <c r="D58" s="921"/>
      <c r="E58" s="917">
        <v>10</v>
      </c>
      <c r="F58" s="569" t="s">
        <v>105</v>
      </c>
      <c r="G58" s="569" t="s">
        <v>227</v>
      </c>
      <c r="H58" s="571"/>
      <c r="I58" s="686"/>
      <c r="J58" s="572"/>
      <c r="K58" s="918">
        <v>7000</v>
      </c>
      <c r="L58" s="542" t="e">
        <f>'통장내역(환율표)'!#REF!</f>
        <v>#REF!</v>
      </c>
      <c r="M58" s="912" t="e">
        <f t="shared" si="6"/>
        <v>#REF!</v>
      </c>
      <c r="N58" s="928" t="e">
        <f t="shared" si="5"/>
        <v>#REF!</v>
      </c>
      <c r="O58" s="928" t="e">
        <f t="shared" si="7"/>
        <v>#REF!</v>
      </c>
      <c r="P58" s="911" t="s">
        <v>1340</v>
      </c>
      <c r="Q58" s="641"/>
      <c r="R58" s="641"/>
      <c r="S58" s="883" t="e">
        <f t="shared" si="12"/>
        <v>#REF!</v>
      </c>
      <c r="T58" s="461"/>
      <c r="V58" s="461"/>
      <c r="W58" s="461"/>
      <c r="X58" s="461"/>
      <c r="Y58" s="461"/>
      <c r="Z58" s="461"/>
      <c r="AA58" s="461"/>
      <c r="AB58" s="461"/>
      <c r="AC58" s="461"/>
    </row>
    <row r="59" spans="1:29" s="574" customFormat="1" ht="11.25" customHeight="1">
      <c r="A59" s="544"/>
      <c r="B59" s="568">
        <v>45558</v>
      </c>
      <c r="C59" s="921" t="s">
        <v>1107</v>
      </c>
      <c r="D59" s="921"/>
      <c r="E59" s="917">
        <v>10</v>
      </c>
      <c r="F59" s="569" t="s">
        <v>1344</v>
      </c>
      <c r="G59" s="569"/>
      <c r="H59" s="571"/>
      <c r="I59" s="686"/>
      <c r="J59" s="572"/>
      <c r="K59" s="918">
        <v>6000</v>
      </c>
      <c r="L59" s="542" t="e">
        <f>'통장내역(환율표)'!#REF!</f>
        <v>#REF!</v>
      </c>
      <c r="M59" s="912" t="e">
        <f t="shared" si="6"/>
        <v>#REF!</v>
      </c>
      <c r="N59" s="928" t="e">
        <f t="shared" si="5"/>
        <v>#REF!</v>
      </c>
      <c r="O59" s="928" t="e">
        <f t="shared" si="7"/>
        <v>#REF!</v>
      </c>
      <c r="P59" s="911" t="s">
        <v>1340</v>
      </c>
      <c r="Q59" s="641"/>
      <c r="R59" s="641"/>
      <c r="S59" s="883" t="e">
        <f t="shared" si="12"/>
        <v>#REF!</v>
      </c>
      <c r="T59" s="461"/>
      <c r="V59" s="461"/>
      <c r="W59" s="461"/>
      <c r="X59" s="461"/>
      <c r="Y59" s="461"/>
      <c r="Z59" s="461"/>
      <c r="AA59" s="461"/>
      <c r="AB59" s="461"/>
      <c r="AC59" s="461"/>
    </row>
    <row r="60" spans="1:29" s="574" customFormat="1" ht="11.25" customHeight="1">
      <c r="A60" s="544"/>
      <c r="B60" s="568">
        <v>45558</v>
      </c>
      <c r="C60" s="921" t="s">
        <v>1108</v>
      </c>
      <c r="D60" s="921"/>
      <c r="E60" s="917">
        <v>10</v>
      </c>
      <c r="F60" s="569" t="s">
        <v>1344</v>
      </c>
      <c r="G60" s="569"/>
      <c r="H60" s="569"/>
      <c r="I60" s="569"/>
      <c r="J60" s="569"/>
      <c r="K60" s="918">
        <v>80</v>
      </c>
      <c r="L60" s="542" t="e">
        <f>'통장내역(환율표)'!#REF!</f>
        <v>#REF!</v>
      </c>
      <c r="M60" s="912" t="e">
        <f t="shared" si="6"/>
        <v>#REF!</v>
      </c>
      <c r="N60" s="928" t="e">
        <f t="shared" si="5"/>
        <v>#REF!</v>
      </c>
      <c r="O60" s="928" t="e">
        <f t="shared" si="7"/>
        <v>#REF!</v>
      </c>
      <c r="P60" s="911" t="s">
        <v>1340</v>
      </c>
      <c r="Q60" s="641"/>
      <c r="R60" s="641"/>
      <c r="S60" s="883" t="e">
        <f t="shared" si="12"/>
        <v>#REF!</v>
      </c>
      <c r="T60" s="461"/>
      <c r="V60" s="461"/>
      <c r="W60" s="461"/>
      <c r="X60" s="461"/>
      <c r="Y60" s="461"/>
      <c r="Z60" s="461"/>
      <c r="AA60" s="461"/>
      <c r="AB60" s="461"/>
      <c r="AC60" s="461"/>
    </row>
    <row r="61" spans="1:29" s="574" customFormat="1" ht="11.25" customHeight="1">
      <c r="A61" s="544"/>
      <c r="B61" s="568">
        <v>45558</v>
      </c>
      <c r="C61" s="921" t="s">
        <v>445</v>
      </c>
      <c r="D61" s="921"/>
      <c r="E61" s="917">
        <v>11</v>
      </c>
      <c r="F61" s="569" t="s">
        <v>1344</v>
      </c>
      <c r="G61" s="569"/>
      <c r="H61" s="569"/>
      <c r="I61" s="569"/>
      <c r="J61" s="569"/>
      <c r="K61" s="918">
        <v>7.2</v>
      </c>
      <c r="L61" s="542" t="e">
        <f>'통장내역(환율표)'!#REF!</f>
        <v>#REF!</v>
      </c>
      <c r="M61" s="912" t="e">
        <f t="shared" si="6"/>
        <v>#REF!</v>
      </c>
      <c r="N61" s="928" t="e">
        <f t="shared" si="5"/>
        <v>#REF!</v>
      </c>
      <c r="O61" s="928" t="e">
        <f t="shared" si="7"/>
        <v>#REF!</v>
      </c>
      <c r="P61" s="911" t="s">
        <v>1340</v>
      </c>
      <c r="Q61" s="641"/>
      <c r="R61" s="641"/>
      <c r="S61" s="883" t="e">
        <f t="shared" si="12"/>
        <v>#REF!</v>
      </c>
      <c r="T61" s="461"/>
      <c r="V61" s="461"/>
      <c r="W61" s="461"/>
      <c r="X61" s="461"/>
      <c r="Y61" s="461"/>
      <c r="Z61" s="461"/>
      <c r="AA61" s="461"/>
      <c r="AB61" s="461"/>
      <c r="AC61" s="461"/>
    </row>
    <row r="62" spans="1:29" s="574" customFormat="1" ht="11.25" customHeight="1">
      <c r="A62" s="544"/>
      <c r="B62" s="568">
        <v>45558</v>
      </c>
      <c r="C62" s="916" t="s">
        <v>998</v>
      </c>
      <c r="D62" s="921"/>
      <c r="E62" s="917">
        <v>12</v>
      </c>
      <c r="F62" s="569" t="s">
        <v>1053</v>
      </c>
      <c r="G62" s="569" t="s">
        <v>1054</v>
      </c>
      <c r="H62" s="569"/>
      <c r="I62" s="569"/>
      <c r="J62" s="569"/>
      <c r="K62" s="918">
        <v>151</v>
      </c>
      <c r="L62" s="542" t="e">
        <f>'통장내역(환율표)'!#REF!</f>
        <v>#REF!</v>
      </c>
      <c r="M62" s="912" t="e">
        <f t="shared" si="6"/>
        <v>#REF!</v>
      </c>
      <c r="N62" s="928" t="e">
        <f t="shared" si="5"/>
        <v>#REF!</v>
      </c>
      <c r="O62" s="928" t="e">
        <f t="shared" si="7"/>
        <v>#REF!</v>
      </c>
      <c r="P62" s="911" t="s">
        <v>1340</v>
      </c>
      <c r="Q62" s="641"/>
      <c r="R62" s="641"/>
      <c r="S62" s="883" t="e">
        <f t="shared" si="12"/>
        <v>#REF!</v>
      </c>
      <c r="T62" s="461"/>
      <c r="V62" s="461"/>
      <c r="W62" s="461"/>
      <c r="X62" s="461"/>
      <c r="Y62" s="461"/>
      <c r="Z62" s="461"/>
      <c r="AA62" s="461"/>
      <c r="AB62" s="461"/>
      <c r="AC62" s="461"/>
    </row>
    <row r="63" spans="1:29" s="574" customFormat="1" ht="11.25" customHeight="1">
      <c r="A63" s="544"/>
      <c r="B63" s="568">
        <v>45558</v>
      </c>
      <c r="C63" s="916" t="s">
        <v>999</v>
      </c>
      <c r="D63" s="921"/>
      <c r="E63" s="917">
        <v>13</v>
      </c>
      <c r="F63" s="569" t="s">
        <v>1053</v>
      </c>
      <c r="G63" s="569" t="s">
        <v>1054</v>
      </c>
      <c r="H63" s="569"/>
      <c r="I63" s="569"/>
      <c r="J63" s="569"/>
      <c r="K63" s="918">
        <v>2166</v>
      </c>
      <c r="L63" s="542" t="e">
        <f>'통장내역(환율표)'!#REF!</f>
        <v>#REF!</v>
      </c>
      <c r="M63" s="912" t="e">
        <f t="shared" si="6"/>
        <v>#REF!</v>
      </c>
      <c r="N63" s="928" t="e">
        <f t="shared" si="5"/>
        <v>#REF!</v>
      </c>
      <c r="O63" s="928" t="e">
        <f t="shared" si="7"/>
        <v>#REF!</v>
      </c>
      <c r="P63" s="911" t="s">
        <v>1340</v>
      </c>
      <c r="Q63" s="641"/>
      <c r="R63" s="641"/>
      <c r="S63" s="883" t="e">
        <f t="shared" si="12"/>
        <v>#REF!</v>
      </c>
      <c r="T63" s="461"/>
      <c r="V63" s="461"/>
      <c r="W63" s="461"/>
      <c r="X63" s="461"/>
      <c r="Y63" s="461"/>
      <c r="Z63" s="461"/>
      <c r="AA63" s="461"/>
      <c r="AB63" s="461"/>
      <c r="AC63" s="461"/>
    </row>
    <row r="64" spans="1:29" s="574" customFormat="1" ht="11.25" customHeight="1">
      <c r="A64" s="544"/>
      <c r="B64" s="568">
        <v>45558</v>
      </c>
      <c r="C64" s="916" t="s">
        <v>997</v>
      </c>
      <c r="D64" s="921"/>
      <c r="E64" s="917">
        <v>14</v>
      </c>
      <c r="F64" s="569" t="s">
        <v>1053</v>
      </c>
      <c r="G64" s="569" t="s">
        <v>1054</v>
      </c>
      <c r="H64" s="569"/>
      <c r="I64" s="569"/>
      <c r="J64" s="569"/>
      <c r="K64" s="918">
        <v>333</v>
      </c>
      <c r="L64" s="542" t="e">
        <f>'통장내역(환율표)'!#REF!</f>
        <v>#REF!</v>
      </c>
      <c r="M64" s="912" t="e">
        <f t="shared" si="6"/>
        <v>#REF!</v>
      </c>
      <c r="N64" s="928" t="e">
        <f t="shared" si="5"/>
        <v>#REF!</v>
      </c>
      <c r="O64" s="928" t="e">
        <f t="shared" si="7"/>
        <v>#REF!</v>
      </c>
      <c r="P64" s="911" t="s">
        <v>1340</v>
      </c>
      <c r="Q64" s="641"/>
      <c r="R64" s="641"/>
      <c r="S64" s="883" t="e">
        <f t="shared" si="12"/>
        <v>#REF!</v>
      </c>
      <c r="T64" s="461"/>
      <c r="V64" s="461"/>
      <c r="W64" s="461"/>
      <c r="X64" s="461"/>
      <c r="Y64" s="461"/>
      <c r="Z64" s="461"/>
      <c r="AA64" s="461"/>
      <c r="AB64" s="461"/>
      <c r="AC64" s="461"/>
    </row>
    <row r="65" spans="1:29" s="574" customFormat="1" ht="11.25" customHeight="1">
      <c r="A65" s="544"/>
      <c r="B65" s="568">
        <v>45558</v>
      </c>
      <c r="C65" s="916" t="s">
        <v>250</v>
      </c>
      <c r="D65" s="921"/>
      <c r="E65" s="917">
        <v>15</v>
      </c>
      <c r="F65" s="569" t="s">
        <v>1344</v>
      </c>
      <c r="G65" s="569"/>
      <c r="H65" s="569"/>
      <c r="I65" s="569"/>
      <c r="J65" s="569"/>
      <c r="K65" s="918">
        <v>3.6</v>
      </c>
      <c r="L65" s="542" t="e">
        <f>'통장내역(환율표)'!#REF!</f>
        <v>#REF!</v>
      </c>
      <c r="M65" s="912" t="e">
        <f t="shared" si="6"/>
        <v>#REF!</v>
      </c>
      <c r="N65" s="928" t="e">
        <f t="shared" si="5"/>
        <v>#REF!</v>
      </c>
      <c r="O65" s="928" t="e">
        <f t="shared" si="7"/>
        <v>#REF!</v>
      </c>
      <c r="P65" s="911" t="s">
        <v>1340</v>
      </c>
      <c r="Q65" s="641"/>
      <c r="R65" s="641"/>
      <c r="S65" s="883" t="e">
        <f t="shared" si="12"/>
        <v>#REF!</v>
      </c>
      <c r="T65" s="461"/>
      <c r="V65" s="461"/>
      <c r="W65" s="461"/>
      <c r="X65" s="461"/>
      <c r="Y65" s="461"/>
      <c r="Z65" s="461"/>
      <c r="AA65" s="461"/>
      <c r="AB65" s="461"/>
      <c r="AC65" s="461"/>
    </row>
    <row r="66" spans="1:29" s="574" customFormat="1" ht="11.25" customHeight="1">
      <c r="A66" s="544"/>
      <c r="B66" s="568">
        <v>45558</v>
      </c>
      <c r="C66" s="916" t="s">
        <v>995</v>
      </c>
      <c r="D66" s="921"/>
      <c r="E66" s="917">
        <v>16</v>
      </c>
      <c r="F66" s="569" t="s">
        <v>1053</v>
      </c>
      <c r="G66" s="569" t="s">
        <v>1054</v>
      </c>
      <c r="H66" s="569"/>
      <c r="I66" s="569"/>
      <c r="J66" s="569"/>
      <c r="K66" s="918">
        <v>195</v>
      </c>
      <c r="L66" s="542" t="e">
        <f>'통장내역(환율표)'!#REF!</f>
        <v>#REF!</v>
      </c>
      <c r="M66" s="912" t="e">
        <f t="shared" si="6"/>
        <v>#REF!</v>
      </c>
      <c r="N66" s="928" t="e">
        <f t="shared" si="5"/>
        <v>#REF!</v>
      </c>
      <c r="O66" s="928" t="e">
        <f t="shared" si="7"/>
        <v>#REF!</v>
      </c>
      <c r="P66" s="911" t="s">
        <v>1340</v>
      </c>
      <c r="Q66" s="641"/>
      <c r="R66" s="641"/>
      <c r="S66" s="883" t="e">
        <f t="shared" si="12"/>
        <v>#REF!</v>
      </c>
      <c r="T66" s="461"/>
      <c r="V66" s="461"/>
      <c r="W66" s="461"/>
      <c r="X66" s="461"/>
      <c r="Y66" s="461"/>
      <c r="Z66" s="461"/>
      <c r="AA66" s="461"/>
      <c r="AB66" s="461"/>
      <c r="AC66" s="461"/>
    </row>
    <row r="67" spans="1:29" s="574" customFormat="1" ht="11.25" customHeight="1">
      <c r="A67" s="544"/>
      <c r="B67" s="568">
        <v>45558</v>
      </c>
      <c r="C67" s="916" t="s">
        <v>996</v>
      </c>
      <c r="D67" s="921"/>
      <c r="E67" s="917">
        <v>17</v>
      </c>
      <c r="F67" s="569" t="s">
        <v>1053</v>
      </c>
      <c r="G67" s="569" t="s">
        <v>1054</v>
      </c>
      <c r="H67" s="569"/>
      <c r="I67" s="569"/>
      <c r="J67" s="569"/>
      <c r="K67" s="918">
        <v>1873</v>
      </c>
      <c r="L67" s="542" t="e">
        <f>'통장내역(환율표)'!#REF!</f>
        <v>#REF!</v>
      </c>
      <c r="M67" s="912" t="e">
        <f t="shared" si="6"/>
        <v>#REF!</v>
      </c>
      <c r="N67" s="928" t="e">
        <f t="shared" si="5"/>
        <v>#REF!</v>
      </c>
      <c r="O67" s="928" t="e">
        <f t="shared" si="7"/>
        <v>#REF!</v>
      </c>
      <c r="P67" s="911" t="s">
        <v>1340</v>
      </c>
      <c r="Q67" s="641"/>
      <c r="R67" s="925"/>
      <c r="S67" s="883" t="e">
        <f t="shared" si="12"/>
        <v>#REF!</v>
      </c>
      <c r="T67" s="461"/>
      <c r="V67" s="461"/>
      <c r="W67" s="461"/>
      <c r="X67" s="461"/>
      <c r="Y67" s="461"/>
      <c r="Z67" s="461"/>
      <c r="AA67" s="461"/>
      <c r="AB67" s="461"/>
      <c r="AC67" s="461"/>
    </row>
    <row r="68" spans="1:29" s="574" customFormat="1" ht="11.25" customHeight="1">
      <c r="A68" s="544"/>
      <c r="B68" s="568">
        <v>45558</v>
      </c>
      <c r="C68" s="916" t="s">
        <v>994</v>
      </c>
      <c r="D68" s="921"/>
      <c r="E68" s="917">
        <v>18</v>
      </c>
      <c r="F68" s="569" t="s">
        <v>1053</v>
      </c>
      <c r="G68" s="569" t="s">
        <v>1054</v>
      </c>
      <c r="H68" s="571"/>
      <c r="I68" s="686"/>
      <c r="J68" s="572"/>
      <c r="K68" s="918">
        <v>268</v>
      </c>
      <c r="L68" s="542" t="e">
        <f>'통장내역(환율표)'!#REF!</f>
        <v>#REF!</v>
      </c>
      <c r="M68" s="912" t="e">
        <f t="shared" si="6"/>
        <v>#REF!</v>
      </c>
      <c r="N68" s="928" t="e">
        <f t="shared" si="5"/>
        <v>#REF!</v>
      </c>
      <c r="O68" s="928" t="e">
        <f t="shared" si="7"/>
        <v>#REF!</v>
      </c>
      <c r="P68" s="911" t="s">
        <v>1340</v>
      </c>
      <c r="Q68" s="641"/>
      <c r="R68" s="925"/>
      <c r="S68" s="883" t="e">
        <f t="shared" si="12"/>
        <v>#REF!</v>
      </c>
      <c r="T68" s="461"/>
      <c r="V68" s="461"/>
      <c r="W68" s="461"/>
      <c r="X68" s="461"/>
      <c r="Y68" s="461"/>
      <c r="Z68" s="461"/>
      <c r="AA68" s="461"/>
      <c r="AB68" s="461"/>
      <c r="AC68" s="461"/>
    </row>
    <row r="69" spans="1:29" s="574" customFormat="1" ht="11.25" customHeight="1">
      <c r="A69" s="544"/>
      <c r="B69" s="568">
        <v>45558</v>
      </c>
      <c r="C69" s="916" t="s">
        <v>250</v>
      </c>
      <c r="D69" s="921"/>
      <c r="E69" s="917">
        <v>19</v>
      </c>
      <c r="F69" s="569" t="s">
        <v>1344</v>
      </c>
      <c r="G69" s="569"/>
      <c r="H69" s="569"/>
      <c r="I69" s="686"/>
      <c r="J69" s="572"/>
      <c r="K69" s="919">
        <v>3.6</v>
      </c>
      <c r="L69" s="542" t="e">
        <f>'통장내역(환율표)'!#REF!</f>
        <v>#REF!</v>
      </c>
      <c r="M69" s="912" t="e">
        <f t="shared" si="6"/>
        <v>#REF!</v>
      </c>
      <c r="N69" s="928" t="e">
        <f t="shared" si="5"/>
        <v>#REF!</v>
      </c>
      <c r="O69" s="928" t="e">
        <f t="shared" si="7"/>
        <v>#REF!</v>
      </c>
      <c r="P69" s="911" t="s">
        <v>1340</v>
      </c>
      <c r="Q69" s="641"/>
      <c r="R69" s="925"/>
      <c r="S69" s="883" t="e">
        <f t="shared" si="12"/>
        <v>#REF!</v>
      </c>
      <c r="T69" s="461"/>
      <c r="V69" s="461"/>
      <c r="W69" s="461"/>
      <c r="X69" s="461"/>
      <c r="Y69" s="461"/>
      <c r="Z69" s="461"/>
      <c r="AA69" s="461"/>
      <c r="AB69" s="461"/>
      <c r="AC69" s="461"/>
    </row>
    <row r="70" spans="1:29" s="574" customFormat="1" ht="11.25" customHeight="1">
      <c r="A70" s="544"/>
      <c r="B70" s="568">
        <v>45558</v>
      </c>
      <c r="C70" s="921" t="s">
        <v>1313</v>
      </c>
      <c r="D70" s="921"/>
      <c r="E70" s="917">
        <v>20</v>
      </c>
      <c r="F70" s="569" t="s">
        <v>1052</v>
      </c>
      <c r="G70" s="569" t="s">
        <v>1346</v>
      </c>
      <c r="H70" s="569"/>
      <c r="I70" s="686"/>
      <c r="J70" s="572"/>
      <c r="K70" s="919">
        <v>168</v>
      </c>
      <c r="L70" s="542" t="e">
        <f>'통장내역(환율표)'!#REF!</f>
        <v>#REF!</v>
      </c>
      <c r="M70" s="912" t="e">
        <f t="shared" si="6"/>
        <v>#REF!</v>
      </c>
      <c r="N70" s="928" t="e">
        <f t="shared" si="5"/>
        <v>#REF!</v>
      </c>
      <c r="O70" s="928" t="e">
        <f t="shared" si="7"/>
        <v>#REF!</v>
      </c>
      <c r="P70" s="911" t="s">
        <v>1340</v>
      </c>
      <c r="Q70" s="641"/>
      <c r="R70" s="925"/>
      <c r="S70" s="883" t="e">
        <f t="shared" si="12"/>
        <v>#REF!</v>
      </c>
      <c r="T70" s="461"/>
      <c r="V70" s="461"/>
      <c r="W70" s="461"/>
      <c r="X70" s="461"/>
      <c r="Y70" s="461"/>
      <c r="Z70" s="461"/>
      <c r="AA70" s="461"/>
      <c r="AB70" s="461"/>
      <c r="AC70" s="461"/>
    </row>
    <row r="71" spans="1:29" s="574" customFormat="1" ht="11.25" customHeight="1">
      <c r="A71" s="544"/>
      <c r="B71" s="568">
        <v>45558</v>
      </c>
      <c r="C71" s="921" t="s">
        <v>1007</v>
      </c>
      <c r="D71" s="921"/>
      <c r="E71" s="917">
        <v>21</v>
      </c>
      <c r="F71" s="569" t="s">
        <v>1344</v>
      </c>
      <c r="G71" s="569"/>
      <c r="H71" s="569"/>
      <c r="I71" s="686"/>
      <c r="J71" s="572"/>
      <c r="K71" s="919">
        <v>736.7</v>
      </c>
      <c r="L71" s="542" t="e">
        <f>'통장내역(환율표)'!#REF!</f>
        <v>#REF!</v>
      </c>
      <c r="M71" s="912" t="e">
        <f t="shared" si="6"/>
        <v>#REF!</v>
      </c>
      <c r="N71" s="928" t="e">
        <f t="shared" si="5"/>
        <v>#REF!</v>
      </c>
      <c r="O71" s="928" t="e">
        <f t="shared" si="7"/>
        <v>#REF!</v>
      </c>
      <c r="P71" s="911" t="s">
        <v>1340</v>
      </c>
      <c r="Q71" s="641"/>
      <c r="R71" s="925"/>
      <c r="S71" s="883" t="e">
        <f t="shared" si="12"/>
        <v>#REF!</v>
      </c>
      <c r="T71" s="461"/>
      <c r="V71" s="461"/>
      <c r="W71" s="461"/>
      <c r="X71" s="461"/>
      <c r="Y71" s="461"/>
      <c r="Z71" s="461"/>
      <c r="AA71" s="461"/>
      <c r="AB71" s="461"/>
      <c r="AC71" s="461"/>
    </row>
    <row r="72" spans="1:29" s="574" customFormat="1" ht="11.25" customHeight="1">
      <c r="A72" s="544"/>
      <c r="B72" s="568">
        <v>45558</v>
      </c>
      <c r="C72" s="921" t="s">
        <v>1011</v>
      </c>
      <c r="D72" s="921"/>
      <c r="E72" s="917">
        <v>22</v>
      </c>
      <c r="F72" s="569" t="s">
        <v>1347</v>
      </c>
      <c r="G72" s="569" t="s">
        <v>1348</v>
      </c>
      <c r="H72" s="569"/>
      <c r="I72" s="686"/>
      <c r="J72" s="572"/>
      <c r="K72" s="919">
        <v>212.59</v>
      </c>
      <c r="L72" s="542" t="e">
        <f>'통장내역(환율표)'!#REF!</f>
        <v>#REF!</v>
      </c>
      <c r="M72" s="912" t="e">
        <f t="shared" si="6"/>
        <v>#REF!</v>
      </c>
      <c r="N72" s="928" t="e">
        <f t="shared" si="5"/>
        <v>#REF!</v>
      </c>
      <c r="O72" s="928" t="e">
        <f t="shared" si="7"/>
        <v>#REF!</v>
      </c>
      <c r="P72" s="911" t="s">
        <v>1340</v>
      </c>
      <c r="Q72" s="641"/>
      <c r="R72" s="925"/>
      <c r="S72" s="883" t="e">
        <f t="shared" si="12"/>
        <v>#REF!</v>
      </c>
      <c r="T72" s="461"/>
      <c r="V72" s="461"/>
      <c r="W72" s="461"/>
      <c r="X72" s="461"/>
      <c r="Y72" s="461"/>
      <c r="Z72" s="461"/>
      <c r="AA72" s="461"/>
      <c r="AB72" s="461"/>
      <c r="AC72" s="461"/>
    </row>
    <row r="73" spans="1:29" s="574" customFormat="1" ht="11.25" customHeight="1">
      <c r="A73" s="544"/>
      <c r="B73" s="568">
        <v>45558</v>
      </c>
      <c r="C73" s="921" t="s">
        <v>1090</v>
      </c>
      <c r="D73" s="921"/>
      <c r="E73" s="917">
        <v>23</v>
      </c>
      <c r="F73" s="569" t="s">
        <v>1053</v>
      </c>
      <c r="G73" s="569" t="s">
        <v>1054</v>
      </c>
      <c r="H73" s="569"/>
      <c r="I73" s="686"/>
      <c r="J73" s="572"/>
      <c r="K73" s="919">
        <v>202.82</v>
      </c>
      <c r="L73" s="542" t="e">
        <f>'통장내역(환율표)'!#REF!</f>
        <v>#REF!</v>
      </c>
      <c r="M73" s="912" t="e">
        <f t="shared" si="6"/>
        <v>#REF!</v>
      </c>
      <c r="N73" s="928" t="e">
        <f t="shared" si="5"/>
        <v>#REF!</v>
      </c>
      <c r="O73" s="928" t="e">
        <f t="shared" si="7"/>
        <v>#REF!</v>
      </c>
      <c r="P73" s="911" t="s">
        <v>1340</v>
      </c>
      <c r="Q73" s="641"/>
      <c r="R73" s="925"/>
      <c r="S73" s="883" t="e">
        <f t="shared" si="12"/>
        <v>#REF!</v>
      </c>
      <c r="T73" s="461"/>
      <c r="V73" s="461"/>
      <c r="W73" s="461"/>
      <c r="X73" s="461"/>
      <c r="Y73" s="461"/>
      <c r="Z73" s="461"/>
      <c r="AA73" s="461"/>
      <c r="AB73" s="461"/>
      <c r="AC73" s="461"/>
    </row>
    <row r="74" spans="1:29" s="574" customFormat="1" ht="11.25" customHeight="1">
      <c r="A74" s="544"/>
      <c r="B74" s="568">
        <v>45558</v>
      </c>
      <c r="C74" s="921" t="s">
        <v>1335</v>
      </c>
      <c r="D74" s="921"/>
      <c r="E74" s="917">
        <v>24</v>
      </c>
      <c r="F74" s="569" t="s">
        <v>1344</v>
      </c>
      <c r="G74" s="569"/>
      <c r="H74" s="569"/>
      <c r="I74" s="686"/>
      <c r="J74" s="572"/>
      <c r="K74" s="919">
        <v>476.5</v>
      </c>
      <c r="L74" s="542" t="e">
        <f>'통장내역(환율표)'!#REF!</f>
        <v>#REF!</v>
      </c>
      <c r="M74" s="912" t="e">
        <f t="shared" si="6"/>
        <v>#REF!</v>
      </c>
      <c r="N74" s="928" t="e">
        <f t="shared" si="5"/>
        <v>#REF!</v>
      </c>
      <c r="O74" s="928" t="e">
        <f t="shared" si="7"/>
        <v>#REF!</v>
      </c>
      <c r="P74" s="911" t="s">
        <v>1340</v>
      </c>
      <c r="Q74" s="641"/>
      <c r="R74" s="925"/>
      <c r="S74" s="883" t="e">
        <f t="shared" si="12"/>
        <v>#REF!</v>
      </c>
      <c r="T74" s="461"/>
      <c r="V74" s="461"/>
      <c r="W74" s="461"/>
      <c r="X74" s="461"/>
      <c r="Y74" s="461"/>
      <c r="Z74" s="461"/>
      <c r="AA74" s="461"/>
      <c r="AB74" s="461"/>
      <c r="AC74" s="461"/>
    </row>
    <row r="75" spans="1:29" s="574" customFormat="1" ht="11.25" customHeight="1">
      <c r="A75" s="544"/>
      <c r="B75" s="568">
        <v>45558</v>
      </c>
      <c r="C75" s="916" t="s">
        <v>250</v>
      </c>
      <c r="D75" s="921"/>
      <c r="E75" s="917">
        <v>25</v>
      </c>
      <c r="F75" s="569" t="s">
        <v>1344</v>
      </c>
      <c r="G75" s="569"/>
      <c r="H75" s="569"/>
      <c r="I75" s="686"/>
      <c r="J75" s="572"/>
      <c r="K75" s="919">
        <v>3.6</v>
      </c>
      <c r="L75" s="542" t="e">
        <f>'통장내역(환율표)'!#REF!</f>
        <v>#REF!</v>
      </c>
      <c r="M75" s="912" t="e">
        <f t="shared" si="6"/>
        <v>#REF!</v>
      </c>
      <c r="N75" s="928" t="e">
        <f t="shared" si="5"/>
        <v>#REF!</v>
      </c>
      <c r="O75" s="928" t="e">
        <f t="shared" si="7"/>
        <v>#REF!</v>
      </c>
      <c r="P75" s="911" t="s">
        <v>1340</v>
      </c>
      <c r="Q75" s="641"/>
      <c r="R75" s="925"/>
      <c r="S75" s="883" t="e">
        <f t="shared" si="12"/>
        <v>#REF!</v>
      </c>
      <c r="T75" s="461"/>
      <c r="V75" s="461"/>
      <c r="W75" s="461"/>
      <c r="X75" s="461"/>
      <c r="Y75" s="461"/>
      <c r="Z75" s="461"/>
      <c r="AA75" s="461"/>
      <c r="AB75" s="461"/>
      <c r="AC75" s="461"/>
    </row>
    <row r="76" spans="1:29" s="574" customFormat="1" ht="11.25" customHeight="1">
      <c r="A76" s="544"/>
      <c r="B76" s="568">
        <v>45558</v>
      </c>
      <c r="C76" s="921" t="s">
        <v>1153</v>
      </c>
      <c r="D76" s="921"/>
      <c r="E76" s="917">
        <v>26</v>
      </c>
      <c r="F76" s="569" t="s">
        <v>1053</v>
      </c>
      <c r="G76" s="569" t="s">
        <v>1054</v>
      </c>
      <c r="H76" s="569"/>
      <c r="I76" s="686"/>
      <c r="J76" s="572"/>
      <c r="K76" s="919">
        <v>7165</v>
      </c>
      <c r="L76" s="542" t="e">
        <f>'통장내역(환율표)'!#REF!</f>
        <v>#REF!</v>
      </c>
      <c r="M76" s="912" t="e">
        <f t="shared" si="6"/>
        <v>#REF!</v>
      </c>
      <c r="N76" s="928" t="e">
        <f t="shared" si="5"/>
        <v>#REF!</v>
      </c>
      <c r="O76" s="928" t="e">
        <f t="shared" si="7"/>
        <v>#REF!</v>
      </c>
      <c r="P76" s="911" t="s">
        <v>1340</v>
      </c>
      <c r="Q76" s="641"/>
      <c r="R76" s="925"/>
      <c r="S76" s="883" t="e">
        <f t="shared" si="12"/>
        <v>#REF!</v>
      </c>
      <c r="T76" s="461"/>
      <c r="V76" s="461"/>
      <c r="W76" s="461"/>
      <c r="X76" s="461"/>
      <c r="Y76" s="461"/>
      <c r="Z76" s="461"/>
      <c r="AA76" s="461"/>
      <c r="AB76" s="461"/>
      <c r="AC76" s="461"/>
    </row>
    <row r="77" spans="1:29" s="574" customFormat="1" ht="11.25" customHeight="1">
      <c r="A77" s="544"/>
      <c r="B77" s="568">
        <v>45558</v>
      </c>
      <c r="C77" s="921" t="s">
        <v>1323</v>
      </c>
      <c r="D77" s="921"/>
      <c r="E77" s="917">
        <v>27</v>
      </c>
      <c r="F77" s="569" t="s">
        <v>1053</v>
      </c>
      <c r="G77" s="569" t="s">
        <v>1054</v>
      </c>
      <c r="H77" s="571"/>
      <c r="I77" s="686"/>
      <c r="J77" s="572"/>
      <c r="K77" s="919">
        <v>452.09</v>
      </c>
      <c r="L77" s="542" t="e">
        <f>'통장내역(환율표)'!#REF!</f>
        <v>#REF!</v>
      </c>
      <c r="M77" s="912" t="e">
        <f t="shared" si="6"/>
        <v>#REF!</v>
      </c>
      <c r="N77" s="928" t="e">
        <f t="shared" si="5"/>
        <v>#REF!</v>
      </c>
      <c r="O77" s="928" t="e">
        <f t="shared" si="7"/>
        <v>#REF!</v>
      </c>
      <c r="P77" s="911" t="s">
        <v>1340</v>
      </c>
      <c r="Q77" s="641"/>
      <c r="R77" s="925"/>
      <c r="S77" s="883" t="e">
        <f t="shared" si="12"/>
        <v>#REF!</v>
      </c>
      <c r="T77" s="461"/>
      <c r="V77" s="461"/>
      <c r="W77" s="461"/>
      <c r="X77" s="461"/>
      <c r="Y77" s="461"/>
      <c r="Z77" s="461"/>
      <c r="AA77" s="461"/>
      <c r="AB77" s="461"/>
      <c r="AC77" s="461"/>
    </row>
    <row r="78" spans="1:29" s="574" customFormat="1" ht="11.25" customHeight="1">
      <c r="A78" s="544"/>
      <c r="B78" s="568">
        <v>45558</v>
      </c>
      <c r="C78" s="921" t="s">
        <v>1336</v>
      </c>
      <c r="D78" s="921"/>
      <c r="E78" s="917">
        <v>28</v>
      </c>
      <c r="F78" s="569" t="s">
        <v>1344</v>
      </c>
      <c r="G78" s="569"/>
      <c r="H78" s="571"/>
      <c r="I78" s="686"/>
      <c r="J78" s="572"/>
      <c r="K78" s="919">
        <v>861.1</v>
      </c>
      <c r="L78" s="542" t="e">
        <f>'통장내역(환율표)'!#REF!</f>
        <v>#REF!</v>
      </c>
      <c r="M78" s="912" t="e">
        <f t="shared" si="6"/>
        <v>#REF!</v>
      </c>
      <c r="N78" s="928" t="e">
        <f t="shared" si="5"/>
        <v>#REF!</v>
      </c>
      <c r="O78" s="928" t="e">
        <f t="shared" si="7"/>
        <v>#REF!</v>
      </c>
      <c r="P78" s="911" t="s">
        <v>1340</v>
      </c>
      <c r="Q78" s="641"/>
      <c r="R78" s="925"/>
      <c r="S78" s="883" t="e">
        <f t="shared" si="12"/>
        <v>#REF!</v>
      </c>
      <c r="T78" s="461"/>
      <c r="V78" s="461"/>
      <c r="W78" s="461"/>
      <c r="X78" s="461"/>
      <c r="Y78" s="461"/>
      <c r="Z78" s="461"/>
      <c r="AA78" s="461"/>
      <c r="AB78" s="461"/>
      <c r="AC78" s="461"/>
    </row>
    <row r="79" spans="1:29" s="574" customFormat="1" ht="11.25" customHeight="1">
      <c r="A79" s="544"/>
      <c r="B79" s="568">
        <v>45558</v>
      </c>
      <c r="C79" s="921" t="s">
        <v>851</v>
      </c>
      <c r="D79" s="921"/>
      <c r="E79" s="917">
        <v>29</v>
      </c>
      <c r="F79" s="569" t="s">
        <v>1347</v>
      </c>
      <c r="G79" s="569" t="s">
        <v>1348</v>
      </c>
      <c r="H79" s="571"/>
      <c r="I79" s="686"/>
      <c r="J79" s="572"/>
      <c r="K79" s="919">
        <v>114.1</v>
      </c>
      <c r="L79" s="542" t="e">
        <f>'통장내역(환율표)'!#REF!</f>
        <v>#REF!</v>
      </c>
      <c r="M79" s="912" t="e">
        <f t="shared" si="6"/>
        <v>#REF!</v>
      </c>
      <c r="N79" s="928" t="e">
        <f t="shared" si="5"/>
        <v>#REF!</v>
      </c>
      <c r="O79" s="928" t="e">
        <f t="shared" si="7"/>
        <v>#REF!</v>
      </c>
      <c r="P79" s="911" t="s">
        <v>1340</v>
      </c>
      <c r="Q79" s="641"/>
      <c r="R79" s="925"/>
      <c r="S79" s="883" t="e">
        <f t="shared" si="12"/>
        <v>#REF!</v>
      </c>
      <c r="T79" s="461"/>
      <c r="V79" s="461"/>
      <c r="W79" s="461"/>
      <c r="X79" s="461"/>
      <c r="Y79" s="461"/>
      <c r="Z79" s="461"/>
      <c r="AA79" s="461"/>
      <c r="AB79" s="461"/>
      <c r="AC79" s="461"/>
    </row>
    <row r="80" spans="1:29" s="574" customFormat="1" ht="11.25" customHeight="1">
      <c r="A80" s="544"/>
      <c r="B80" s="568">
        <v>45558</v>
      </c>
      <c r="C80" s="916" t="s">
        <v>250</v>
      </c>
      <c r="D80" s="921"/>
      <c r="E80" s="917">
        <v>30</v>
      </c>
      <c r="F80" s="569" t="s">
        <v>1344</v>
      </c>
      <c r="G80" s="569"/>
      <c r="H80" s="571"/>
      <c r="I80" s="686"/>
      <c r="J80" s="572"/>
      <c r="K80" s="919">
        <v>3.6</v>
      </c>
      <c r="L80" s="542" t="e">
        <f>'통장내역(환율표)'!#REF!</f>
        <v>#REF!</v>
      </c>
      <c r="M80" s="912" t="e">
        <f t="shared" si="6"/>
        <v>#REF!</v>
      </c>
      <c r="N80" s="928" t="e">
        <f t="shared" si="5"/>
        <v>#REF!</v>
      </c>
      <c r="O80" s="928" t="e">
        <f t="shared" si="7"/>
        <v>#REF!</v>
      </c>
      <c r="P80" s="911" t="s">
        <v>1340</v>
      </c>
      <c r="Q80" s="641"/>
      <c r="R80" s="925"/>
      <c r="S80" s="883" t="e">
        <f t="shared" si="12"/>
        <v>#REF!</v>
      </c>
      <c r="T80" s="461"/>
      <c r="V80" s="461"/>
      <c r="W80" s="461"/>
      <c r="X80" s="461"/>
      <c r="Y80" s="461"/>
      <c r="Z80" s="461"/>
      <c r="AA80" s="461"/>
      <c r="AB80" s="461"/>
      <c r="AC80" s="461"/>
    </row>
    <row r="81" spans="2:19" ht="11.25" customHeight="1">
      <c r="B81" s="568">
        <v>45558</v>
      </c>
      <c r="C81" s="921" t="s">
        <v>1098</v>
      </c>
      <c r="D81" s="921"/>
      <c r="E81" s="917">
        <v>31</v>
      </c>
      <c r="F81" s="569" t="s">
        <v>1053</v>
      </c>
      <c r="G81" s="569" t="s">
        <v>1054</v>
      </c>
      <c r="H81" s="571"/>
      <c r="I81" s="686"/>
      <c r="J81" s="572"/>
      <c r="K81" s="919">
        <v>6027.64</v>
      </c>
      <c r="L81" s="542" t="e">
        <f>'통장내역(환율표)'!#REF!</f>
        <v>#REF!</v>
      </c>
      <c r="M81" s="912" t="e">
        <f t="shared" si="6"/>
        <v>#REF!</v>
      </c>
      <c r="N81" s="928" t="e">
        <f t="shared" si="5"/>
        <v>#REF!</v>
      </c>
      <c r="O81" s="928" t="e">
        <f t="shared" si="7"/>
        <v>#REF!</v>
      </c>
      <c r="P81" s="911" t="s">
        <v>1340</v>
      </c>
      <c r="Q81" s="641"/>
      <c r="R81" s="925"/>
      <c r="S81" s="883" t="e">
        <f t="shared" si="12"/>
        <v>#REF!</v>
      </c>
    </row>
    <row r="82" spans="2:19" ht="11.25" customHeight="1">
      <c r="B82" s="568">
        <v>45558</v>
      </c>
      <c r="C82" s="921" t="s">
        <v>857</v>
      </c>
      <c r="D82" s="921"/>
      <c r="E82" s="917">
        <v>32</v>
      </c>
      <c r="F82" s="569" t="s">
        <v>1344</v>
      </c>
      <c r="G82" s="569"/>
      <c r="H82" s="571"/>
      <c r="I82" s="686"/>
      <c r="J82" s="572"/>
      <c r="K82" s="919">
        <v>34</v>
      </c>
      <c r="L82" s="542" t="e">
        <f>'통장내역(환율표)'!#REF!</f>
        <v>#REF!</v>
      </c>
      <c r="M82" s="912" t="e">
        <f t="shared" si="6"/>
        <v>#REF!</v>
      </c>
      <c r="N82" s="928" t="e">
        <f t="shared" si="5"/>
        <v>#REF!</v>
      </c>
      <c r="O82" s="928" t="e">
        <f t="shared" si="7"/>
        <v>#REF!</v>
      </c>
      <c r="P82" s="911" t="s">
        <v>1340</v>
      </c>
      <c r="Q82" s="641"/>
      <c r="R82" s="925"/>
      <c r="S82" s="883" t="e">
        <f t="shared" si="12"/>
        <v>#REF!</v>
      </c>
    </row>
    <row r="83" spans="2:19" ht="11.25" customHeight="1">
      <c r="B83" s="568">
        <v>45558</v>
      </c>
      <c r="C83" s="921" t="s">
        <v>1324</v>
      </c>
      <c r="D83" s="921"/>
      <c r="E83" s="917">
        <v>33</v>
      </c>
      <c r="F83" s="569" t="s">
        <v>1347</v>
      </c>
      <c r="G83" s="569" t="s">
        <v>1348</v>
      </c>
      <c r="H83" s="571"/>
      <c r="I83" s="686"/>
      <c r="J83" s="572"/>
      <c r="K83" s="919">
        <v>917</v>
      </c>
      <c r="L83" s="542" t="e">
        <f>'통장내역(환율표)'!#REF!</f>
        <v>#REF!</v>
      </c>
      <c r="M83" s="912" t="e">
        <f t="shared" si="6"/>
        <v>#REF!</v>
      </c>
      <c r="N83" s="928" t="e">
        <f t="shared" si="5"/>
        <v>#REF!</v>
      </c>
      <c r="O83" s="928" t="e">
        <f t="shared" si="7"/>
        <v>#REF!</v>
      </c>
      <c r="P83" s="911" t="s">
        <v>1340</v>
      </c>
      <c r="Q83" s="543"/>
      <c r="R83" s="925"/>
      <c r="S83" s="883" t="e">
        <f t="shared" si="12"/>
        <v>#REF!</v>
      </c>
    </row>
    <row r="84" spans="2:19" ht="11.25" customHeight="1">
      <c r="B84" s="568">
        <v>45558</v>
      </c>
      <c r="C84" s="921" t="s">
        <v>845</v>
      </c>
      <c r="D84" s="921"/>
      <c r="E84" s="917">
        <v>34</v>
      </c>
      <c r="F84" s="569" t="s">
        <v>1052</v>
      </c>
      <c r="G84" s="569" t="s">
        <v>1346</v>
      </c>
      <c r="H84" s="571"/>
      <c r="I84" s="686"/>
      <c r="J84" s="572"/>
      <c r="K84" s="919">
        <v>2345.67</v>
      </c>
      <c r="L84" s="542" t="e">
        <f>'통장내역(환율표)'!#REF!</f>
        <v>#REF!</v>
      </c>
      <c r="M84" s="912" t="e">
        <f t="shared" si="6"/>
        <v>#REF!</v>
      </c>
      <c r="N84" s="928" t="e">
        <f t="shared" si="5"/>
        <v>#REF!</v>
      </c>
      <c r="O84" s="928" t="e">
        <f t="shared" si="7"/>
        <v>#REF!</v>
      </c>
      <c r="P84" s="911" t="s">
        <v>1340</v>
      </c>
      <c r="Q84" s="543"/>
      <c r="R84" s="925"/>
      <c r="S84" s="883" t="e">
        <f t="shared" si="12"/>
        <v>#REF!</v>
      </c>
    </row>
    <row r="85" spans="2:19" ht="11.25" customHeight="1">
      <c r="B85" s="568">
        <v>45558</v>
      </c>
      <c r="C85" s="921" t="s">
        <v>1337</v>
      </c>
      <c r="D85" s="921"/>
      <c r="E85" s="917">
        <v>35</v>
      </c>
      <c r="F85" s="569" t="s">
        <v>1052</v>
      </c>
      <c r="G85" s="569" t="s">
        <v>1346</v>
      </c>
      <c r="H85" s="571"/>
      <c r="I85" s="686"/>
      <c r="J85" s="572"/>
      <c r="K85" s="919">
        <v>11500</v>
      </c>
      <c r="L85" s="542" t="e">
        <f>'통장내역(환율표)'!#REF!</f>
        <v>#REF!</v>
      </c>
      <c r="M85" s="912" t="e">
        <f t="shared" si="6"/>
        <v>#REF!</v>
      </c>
      <c r="N85" s="928" t="e">
        <f t="shared" si="5"/>
        <v>#REF!</v>
      </c>
      <c r="O85" s="928" t="e">
        <f t="shared" si="7"/>
        <v>#REF!</v>
      </c>
      <c r="P85" s="911" t="s">
        <v>1340</v>
      </c>
      <c r="Q85" s="543"/>
      <c r="R85" s="925"/>
      <c r="S85" s="883" t="e">
        <f t="shared" si="12"/>
        <v>#REF!</v>
      </c>
    </row>
    <row r="86" spans="2:19" ht="11.25" customHeight="1">
      <c r="B86" s="568">
        <v>45558</v>
      </c>
      <c r="C86" s="916" t="s">
        <v>250</v>
      </c>
      <c r="D86" s="921"/>
      <c r="E86" s="917">
        <v>36</v>
      </c>
      <c r="F86" s="569" t="s">
        <v>1344</v>
      </c>
      <c r="G86" s="569"/>
      <c r="H86" s="571"/>
      <c r="I86" s="686"/>
      <c r="J86" s="572"/>
      <c r="K86" s="919">
        <v>7.2</v>
      </c>
      <c r="L86" s="542" t="e">
        <f>'통장내역(환율표)'!#REF!</f>
        <v>#REF!</v>
      </c>
      <c r="M86" s="912" t="e">
        <f t="shared" ref="M86:M98" si="13">K86/L86</f>
        <v>#REF!</v>
      </c>
      <c r="N86" s="928" t="e">
        <f t="shared" ref="N86:N98" si="14">N85+H86-K86</f>
        <v>#REF!</v>
      </c>
      <c r="O86" s="928" t="e">
        <f t="shared" ref="O86:O98" si="15">O85+J86-M86</f>
        <v>#REF!</v>
      </c>
      <c r="P86" s="911" t="s">
        <v>1340</v>
      </c>
      <c r="Q86" s="641"/>
      <c r="R86" s="925"/>
      <c r="S86" s="883" t="e">
        <f t="shared" si="12"/>
        <v>#REF!</v>
      </c>
    </row>
    <row r="87" spans="2:19" ht="11.25" customHeight="1">
      <c r="B87" s="568">
        <v>45558</v>
      </c>
      <c r="C87" s="921" t="s">
        <v>1339</v>
      </c>
      <c r="D87" s="921"/>
      <c r="E87" s="917">
        <v>37</v>
      </c>
      <c r="F87" s="569" t="s">
        <v>1053</v>
      </c>
      <c r="G87" s="569" t="s">
        <v>1054</v>
      </c>
      <c r="H87" s="571"/>
      <c r="I87" s="686"/>
      <c r="J87" s="572"/>
      <c r="K87" s="919">
        <v>4120.8900000000003</v>
      </c>
      <c r="L87" s="542" t="e">
        <f>'통장내역(환율표)'!#REF!</f>
        <v>#REF!</v>
      </c>
      <c r="M87" s="912" t="e">
        <f t="shared" si="13"/>
        <v>#REF!</v>
      </c>
      <c r="N87" s="928" t="e">
        <f t="shared" si="14"/>
        <v>#REF!</v>
      </c>
      <c r="O87" s="928" t="e">
        <f t="shared" si="15"/>
        <v>#REF!</v>
      </c>
      <c r="P87" s="911" t="s">
        <v>1340</v>
      </c>
      <c r="Q87" s="543"/>
      <c r="R87" s="925"/>
      <c r="S87" s="883" t="e">
        <f t="shared" si="12"/>
        <v>#REF!</v>
      </c>
    </row>
    <row r="88" spans="2:19" ht="11.25" customHeight="1">
      <c r="B88" s="568">
        <v>45558</v>
      </c>
      <c r="C88" s="921" t="s">
        <v>1248</v>
      </c>
      <c r="D88" s="921"/>
      <c r="E88" s="917">
        <v>38</v>
      </c>
      <c r="F88" s="569" t="s">
        <v>1347</v>
      </c>
      <c r="G88" s="569" t="s">
        <v>1348</v>
      </c>
      <c r="H88" s="571"/>
      <c r="I88" s="686"/>
      <c r="J88" s="572"/>
      <c r="K88" s="919">
        <v>301.27999999999997</v>
      </c>
      <c r="L88" s="542" t="e">
        <f>'통장내역(환율표)'!#REF!</f>
        <v>#REF!</v>
      </c>
      <c r="M88" s="912" t="e">
        <f t="shared" si="13"/>
        <v>#REF!</v>
      </c>
      <c r="N88" s="928" t="e">
        <f t="shared" si="14"/>
        <v>#REF!</v>
      </c>
      <c r="O88" s="928" t="e">
        <f t="shared" si="15"/>
        <v>#REF!</v>
      </c>
      <c r="P88" s="911" t="s">
        <v>1340</v>
      </c>
      <c r="Q88" s="543"/>
      <c r="R88" s="925"/>
      <c r="S88" s="883" t="e">
        <f t="shared" si="12"/>
        <v>#REF!</v>
      </c>
    </row>
    <row r="89" spans="2:19" ht="11.25" customHeight="1">
      <c r="B89" s="568">
        <v>45558</v>
      </c>
      <c r="C89" s="921" t="s">
        <v>1292</v>
      </c>
      <c r="D89" s="921"/>
      <c r="E89" s="917">
        <v>39</v>
      </c>
      <c r="F89" s="569" t="s">
        <v>1052</v>
      </c>
      <c r="G89" s="569" t="s">
        <v>1346</v>
      </c>
      <c r="H89" s="571"/>
      <c r="I89" s="686"/>
      <c r="J89" s="572"/>
      <c r="K89" s="919">
        <v>4519.43</v>
      </c>
      <c r="L89" s="542" t="e">
        <f>'통장내역(환율표)'!#REF!</f>
        <v>#REF!</v>
      </c>
      <c r="M89" s="912" t="e">
        <f>K89/L89</f>
        <v>#REF!</v>
      </c>
      <c r="N89" s="928" t="e">
        <f>N88+H89-K89</f>
        <v>#REF!</v>
      </c>
      <c r="O89" s="928" t="e">
        <f t="shared" si="15"/>
        <v>#REF!</v>
      </c>
      <c r="P89" s="911" t="s">
        <v>1340</v>
      </c>
      <c r="Q89" s="543"/>
      <c r="R89" s="925"/>
      <c r="S89" s="883" t="e">
        <f>S88-M89+J89</f>
        <v>#REF!</v>
      </c>
    </row>
    <row r="90" spans="2:19" ht="11.25" customHeight="1">
      <c r="B90" s="568">
        <v>45558</v>
      </c>
      <c r="C90" s="921" t="s">
        <v>1341</v>
      </c>
      <c r="D90" s="921"/>
      <c r="E90" s="917">
        <v>40</v>
      </c>
      <c r="F90" s="569" t="s">
        <v>1344</v>
      </c>
      <c r="G90" s="569"/>
      <c r="H90" s="571"/>
      <c r="I90" s="686"/>
      <c r="J90" s="572"/>
      <c r="K90" s="919">
        <v>222.88</v>
      </c>
      <c r="L90" s="542" t="e">
        <f>'통장내역(환율표)'!#REF!</f>
        <v>#REF!</v>
      </c>
      <c r="M90" s="912" t="e">
        <f>K90/L90</f>
        <v>#REF!</v>
      </c>
      <c r="N90" s="928" t="e">
        <f t="shared" ref="N90" si="16">N89+H90-K90</f>
        <v>#REF!</v>
      </c>
      <c r="O90" s="928" t="e">
        <f t="shared" si="15"/>
        <v>#REF!</v>
      </c>
      <c r="P90" s="911" t="s">
        <v>1340</v>
      </c>
      <c r="Q90" s="543"/>
      <c r="R90" s="925"/>
      <c r="S90" s="883" t="e">
        <f>S89-M90+J90</f>
        <v>#REF!</v>
      </c>
    </row>
    <row r="91" spans="2:19" ht="11.25" customHeight="1">
      <c r="B91" s="568">
        <v>45558</v>
      </c>
      <c r="C91" s="921" t="s">
        <v>1315</v>
      </c>
      <c r="D91" s="921"/>
      <c r="E91" s="917">
        <v>41</v>
      </c>
      <c r="F91" s="569" t="s">
        <v>1053</v>
      </c>
      <c r="G91" s="569" t="s">
        <v>1054</v>
      </c>
      <c r="H91" s="571"/>
      <c r="I91" s="686"/>
      <c r="J91" s="572"/>
      <c r="K91" s="919">
        <v>348.89</v>
      </c>
      <c r="L91" s="542" t="e">
        <f>'통장내역(환율표)'!#REF!</f>
        <v>#REF!</v>
      </c>
      <c r="M91" s="912" t="e">
        <f t="shared" si="13"/>
        <v>#REF!</v>
      </c>
      <c r="N91" s="928" t="e">
        <f>N90+H91-K91</f>
        <v>#REF!</v>
      </c>
      <c r="O91" s="928" t="e">
        <f t="shared" si="15"/>
        <v>#REF!</v>
      </c>
      <c r="P91" s="911" t="s">
        <v>1340</v>
      </c>
      <c r="Q91" s="543"/>
      <c r="R91" s="925"/>
      <c r="S91" s="883" t="e">
        <f t="shared" ref="S91:S98" si="17">S90-M91+J91</f>
        <v>#REF!</v>
      </c>
    </row>
    <row r="92" spans="2:19" ht="11.25" customHeight="1">
      <c r="B92" s="568">
        <v>45558</v>
      </c>
      <c r="C92" s="921" t="s">
        <v>1249</v>
      </c>
      <c r="D92" s="921"/>
      <c r="E92" s="917">
        <v>42</v>
      </c>
      <c r="F92" s="569" t="s">
        <v>1344</v>
      </c>
      <c r="G92" s="569"/>
      <c r="H92" s="571"/>
      <c r="I92" s="686"/>
      <c r="J92" s="572"/>
      <c r="K92" s="919">
        <v>31</v>
      </c>
      <c r="L92" s="542" t="e">
        <f>'통장내역(환율표)'!#REF!</f>
        <v>#REF!</v>
      </c>
      <c r="M92" s="912" t="e">
        <f t="shared" si="13"/>
        <v>#REF!</v>
      </c>
      <c r="N92" s="928" t="e">
        <f t="shared" si="14"/>
        <v>#REF!</v>
      </c>
      <c r="O92" s="928" t="e">
        <f t="shared" si="15"/>
        <v>#REF!</v>
      </c>
      <c r="P92" s="911" t="s">
        <v>1340</v>
      </c>
      <c r="Q92" s="543"/>
      <c r="R92" s="925"/>
      <c r="S92" s="883" t="e">
        <f t="shared" si="17"/>
        <v>#REF!</v>
      </c>
    </row>
    <row r="93" spans="2:19" ht="11.25" customHeight="1">
      <c r="B93" s="568">
        <v>45558</v>
      </c>
      <c r="C93" s="916" t="s">
        <v>250</v>
      </c>
      <c r="D93" s="921"/>
      <c r="E93" s="917">
        <v>43</v>
      </c>
      <c r="F93" s="569" t="s">
        <v>1344</v>
      </c>
      <c r="G93" s="569"/>
      <c r="H93" s="571"/>
      <c r="I93" s="686"/>
      <c r="J93" s="572"/>
      <c r="K93" s="919">
        <v>3.6</v>
      </c>
      <c r="L93" s="542" t="e">
        <f>'통장내역(환율표)'!#REF!</f>
        <v>#REF!</v>
      </c>
      <c r="M93" s="912" t="e">
        <f t="shared" si="13"/>
        <v>#REF!</v>
      </c>
      <c r="N93" s="928" t="e">
        <f t="shared" si="14"/>
        <v>#REF!</v>
      </c>
      <c r="O93" s="928" t="e">
        <f t="shared" si="15"/>
        <v>#REF!</v>
      </c>
      <c r="P93" s="911" t="s">
        <v>1340</v>
      </c>
      <c r="Q93" s="543"/>
      <c r="R93" s="925"/>
      <c r="S93" s="883" t="e">
        <f t="shared" si="17"/>
        <v>#REF!</v>
      </c>
    </row>
    <row r="94" spans="2:19" ht="11.25" customHeight="1">
      <c r="B94" s="568">
        <v>45558</v>
      </c>
      <c r="C94" s="921" t="s">
        <v>1338</v>
      </c>
      <c r="D94" s="921"/>
      <c r="E94" s="917">
        <v>44</v>
      </c>
      <c r="F94" s="569" t="s">
        <v>1053</v>
      </c>
      <c r="G94" s="569" t="s">
        <v>1054</v>
      </c>
      <c r="H94" s="571"/>
      <c r="I94" s="686"/>
      <c r="J94" s="572"/>
      <c r="K94" s="919">
        <v>109.54</v>
      </c>
      <c r="L94" s="542" t="e">
        <f>'통장내역(환율표)'!#REF!</f>
        <v>#REF!</v>
      </c>
      <c r="M94" s="912" t="e">
        <f t="shared" si="13"/>
        <v>#REF!</v>
      </c>
      <c r="N94" s="928" t="e">
        <f t="shared" si="14"/>
        <v>#REF!</v>
      </c>
      <c r="O94" s="928" t="e">
        <f t="shared" si="15"/>
        <v>#REF!</v>
      </c>
      <c r="P94" s="911" t="s">
        <v>1340</v>
      </c>
      <c r="Q94" s="543"/>
      <c r="R94" s="925"/>
      <c r="S94" s="883" t="e">
        <f t="shared" si="17"/>
        <v>#REF!</v>
      </c>
    </row>
    <row r="95" spans="2:19" ht="11.25" customHeight="1">
      <c r="B95" s="568">
        <v>45558</v>
      </c>
      <c r="C95" s="921" t="s">
        <v>1327</v>
      </c>
      <c r="D95" s="921"/>
      <c r="E95" s="917">
        <v>45</v>
      </c>
      <c r="F95" s="569" t="s">
        <v>1347</v>
      </c>
      <c r="G95" s="569" t="s">
        <v>1348</v>
      </c>
      <c r="H95" s="571"/>
      <c r="I95" s="686"/>
      <c r="J95" s="572"/>
      <c r="K95" s="918">
        <v>500</v>
      </c>
      <c r="L95" s="542" t="e">
        <f>'통장내역(환율표)'!#REF!</f>
        <v>#REF!</v>
      </c>
      <c r="M95" s="912" t="e">
        <f t="shared" si="13"/>
        <v>#REF!</v>
      </c>
      <c r="N95" s="928" t="e">
        <f t="shared" si="14"/>
        <v>#REF!</v>
      </c>
      <c r="O95" s="928" t="e">
        <f t="shared" si="15"/>
        <v>#REF!</v>
      </c>
      <c r="P95" s="911" t="s">
        <v>1340</v>
      </c>
      <c r="Q95" s="543"/>
      <c r="R95" s="925"/>
      <c r="S95" s="883" t="e">
        <f t="shared" si="17"/>
        <v>#REF!</v>
      </c>
    </row>
    <row r="96" spans="2:19" ht="11.25" customHeight="1">
      <c r="B96" s="568">
        <v>45558</v>
      </c>
      <c r="C96" s="921" t="s">
        <v>1328</v>
      </c>
      <c r="D96" s="921"/>
      <c r="E96" s="917">
        <v>46</v>
      </c>
      <c r="F96" s="569" t="s">
        <v>1053</v>
      </c>
      <c r="G96" s="569" t="s">
        <v>1054</v>
      </c>
      <c r="H96" s="571"/>
      <c r="I96" s="686"/>
      <c r="J96" s="572"/>
      <c r="K96" s="918">
        <v>13957.09</v>
      </c>
      <c r="L96" s="542" t="e">
        <f>'통장내역(환율표)'!#REF!</f>
        <v>#REF!</v>
      </c>
      <c r="M96" s="912" t="e">
        <f t="shared" si="13"/>
        <v>#REF!</v>
      </c>
      <c r="N96" s="928" t="e">
        <f t="shared" si="14"/>
        <v>#REF!</v>
      </c>
      <c r="O96" s="928" t="e">
        <f t="shared" si="15"/>
        <v>#REF!</v>
      </c>
      <c r="P96" s="911" t="s">
        <v>1340</v>
      </c>
      <c r="Q96" s="543"/>
      <c r="R96" s="925"/>
      <c r="S96" s="883" t="e">
        <f t="shared" si="17"/>
        <v>#REF!</v>
      </c>
    </row>
    <row r="97" spans="1:29" ht="11.25" customHeight="1">
      <c r="B97" s="568">
        <v>45558</v>
      </c>
      <c r="C97" s="921" t="s">
        <v>839</v>
      </c>
      <c r="D97" s="921"/>
      <c r="E97" s="917">
        <v>47</v>
      </c>
      <c r="F97" s="569" t="s">
        <v>1052</v>
      </c>
      <c r="G97" s="569" t="s">
        <v>1346</v>
      </c>
      <c r="H97" s="571"/>
      <c r="I97" s="686"/>
      <c r="J97" s="572"/>
      <c r="K97" s="918">
        <v>8797.43</v>
      </c>
      <c r="L97" s="542" t="e">
        <f>'통장내역(환율표)'!#REF!</f>
        <v>#REF!</v>
      </c>
      <c r="M97" s="912" t="e">
        <f>K97/L97</f>
        <v>#REF!</v>
      </c>
      <c r="N97" s="928" t="e">
        <f>N96+H97-K97</f>
        <v>#REF!</v>
      </c>
      <c r="O97" s="928" t="e">
        <f t="shared" si="15"/>
        <v>#REF!</v>
      </c>
      <c r="P97" s="911" t="s">
        <v>1340</v>
      </c>
      <c r="Q97" s="543"/>
      <c r="R97" s="925"/>
      <c r="S97" s="883" t="e">
        <f>S96-M97+J97</f>
        <v>#REF!</v>
      </c>
    </row>
    <row r="98" spans="1:29" ht="11.25" customHeight="1">
      <c r="B98" s="568">
        <v>45558</v>
      </c>
      <c r="C98" s="916" t="s">
        <v>250</v>
      </c>
      <c r="D98" s="921"/>
      <c r="E98" s="917">
        <v>48</v>
      </c>
      <c r="F98" s="569" t="s">
        <v>1344</v>
      </c>
      <c r="G98" s="569"/>
      <c r="H98" s="571"/>
      <c r="I98" s="686"/>
      <c r="J98" s="572"/>
      <c r="K98" s="918">
        <v>7.2</v>
      </c>
      <c r="L98" s="542" t="e">
        <f>'통장내역(환율표)'!#REF!</f>
        <v>#REF!</v>
      </c>
      <c r="M98" s="912" t="e">
        <f t="shared" si="13"/>
        <v>#REF!</v>
      </c>
      <c r="N98" s="931" t="e">
        <f t="shared" si="14"/>
        <v>#REF!</v>
      </c>
      <c r="O98" s="931" t="e">
        <f t="shared" si="15"/>
        <v>#REF!</v>
      </c>
      <c r="P98" s="911" t="s">
        <v>1340</v>
      </c>
      <c r="Q98" s="543"/>
      <c r="R98" s="925"/>
      <c r="S98" s="932" t="e">
        <f t="shared" si="17"/>
        <v>#REF!</v>
      </c>
    </row>
    <row r="99" spans="1:29" s="489" customFormat="1" ht="11.25" customHeight="1">
      <c r="A99" s="544"/>
      <c r="B99" s="519"/>
      <c r="C99" s="519"/>
      <c r="D99" s="519"/>
      <c r="E99" s="519"/>
      <c r="F99" s="519"/>
      <c r="G99" s="461"/>
      <c r="H99" s="461"/>
      <c r="I99" s="461"/>
      <c r="J99" s="461"/>
      <c r="K99" s="461"/>
      <c r="L99" s="461"/>
      <c r="M99" s="461"/>
      <c r="N99" s="461"/>
      <c r="O99" s="461"/>
      <c r="P99" s="461"/>
      <c r="Q99" s="461"/>
      <c r="S99" s="492"/>
      <c r="T99" s="461"/>
      <c r="U99" s="574"/>
      <c r="V99" s="461"/>
      <c r="W99" s="461"/>
      <c r="X99" s="461"/>
      <c r="Y99" s="461"/>
      <c r="Z99" s="461"/>
      <c r="AA99" s="461"/>
      <c r="AB99" s="461"/>
      <c r="AC99" s="461"/>
    </row>
    <row r="100" spans="1:29" s="489" customFormat="1" ht="11.25" customHeight="1">
      <c r="A100" s="544"/>
      <c r="B100" s="519"/>
      <c r="C100" s="519"/>
      <c r="D100" s="519"/>
      <c r="E100" s="519"/>
      <c r="F100" s="519"/>
      <c r="G100" s="46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S100" s="492"/>
      <c r="T100" s="461"/>
      <c r="U100" s="574"/>
      <c r="V100" s="461"/>
      <c r="W100" s="461"/>
      <c r="X100" s="461"/>
      <c r="Y100" s="461"/>
      <c r="Z100" s="461"/>
      <c r="AA100" s="461"/>
      <c r="AB100" s="461"/>
      <c r="AC100" s="461"/>
    </row>
    <row r="101" spans="1:29" s="489" customFormat="1" ht="11.25" customHeight="1">
      <c r="A101" s="544"/>
      <c r="B101" s="519"/>
      <c r="C101" s="519"/>
      <c r="D101" s="519"/>
      <c r="E101" s="519"/>
      <c r="F101" s="519"/>
      <c r="G101" s="461"/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S101" s="492"/>
      <c r="T101" s="461"/>
      <c r="U101" s="574"/>
      <c r="V101" s="461"/>
      <c r="W101" s="461"/>
      <c r="X101" s="461"/>
      <c r="Y101" s="461"/>
      <c r="Z101" s="461"/>
      <c r="AA101" s="461"/>
      <c r="AB101" s="461"/>
      <c r="AC101" s="461"/>
    </row>
    <row r="102" spans="1:29" s="489" customFormat="1" ht="11.25" customHeight="1">
      <c r="A102" s="544"/>
      <c r="B102" s="519"/>
      <c r="C102" s="519"/>
      <c r="D102" s="519"/>
      <c r="E102" s="519"/>
      <c r="F102" s="519"/>
      <c r="G102" s="461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S102" s="492"/>
      <c r="T102" s="461"/>
      <c r="U102" s="574"/>
      <c r="V102" s="461"/>
      <c r="W102" s="461"/>
      <c r="X102" s="461"/>
      <c r="Y102" s="461"/>
      <c r="Z102" s="461"/>
      <c r="AA102" s="461"/>
      <c r="AB102" s="461"/>
      <c r="AC102" s="461"/>
    </row>
    <row r="103" spans="1:29" s="489" customFormat="1" ht="11.25" customHeight="1">
      <c r="A103" s="544"/>
      <c r="B103" s="519"/>
      <c r="C103" s="519"/>
      <c r="D103" s="519"/>
      <c r="E103" s="519"/>
      <c r="F103" s="519"/>
      <c r="G103" s="461"/>
      <c r="H103" s="461"/>
      <c r="I103" s="461"/>
      <c r="J103" s="461"/>
      <c r="K103" s="461"/>
      <c r="L103" s="461"/>
      <c r="M103" s="461"/>
      <c r="N103" s="461"/>
      <c r="O103" s="461"/>
      <c r="P103" s="461"/>
      <c r="Q103" s="461"/>
      <c r="S103" s="492"/>
      <c r="T103" s="461"/>
      <c r="U103" s="574"/>
      <c r="V103" s="461"/>
      <c r="W103" s="461"/>
      <c r="X103" s="461"/>
      <c r="Y103" s="461"/>
      <c r="Z103" s="461"/>
      <c r="AA103" s="461"/>
      <c r="AB103" s="461"/>
      <c r="AC103" s="461"/>
    </row>
    <row r="104" spans="1:29" s="489" customFormat="1" ht="11.25" customHeight="1">
      <c r="A104" s="544"/>
      <c r="B104" s="519"/>
      <c r="C104" s="519"/>
      <c r="D104" s="519"/>
      <c r="E104" s="519"/>
      <c r="F104" s="519"/>
      <c r="G104" s="461"/>
      <c r="H104" s="461"/>
      <c r="I104" s="461"/>
      <c r="J104" s="461"/>
      <c r="K104" s="461"/>
      <c r="L104" s="461"/>
      <c r="M104" s="461"/>
      <c r="N104" s="461"/>
      <c r="O104" s="461"/>
      <c r="P104" s="461"/>
      <c r="Q104" s="461"/>
      <c r="S104" s="492"/>
      <c r="T104" s="461"/>
      <c r="U104" s="574"/>
      <c r="V104" s="461"/>
      <c r="W104" s="461"/>
      <c r="X104" s="461"/>
      <c r="Y104" s="461"/>
      <c r="Z104" s="461"/>
      <c r="AA104" s="461"/>
      <c r="AB104" s="461"/>
      <c r="AC104" s="461"/>
    </row>
    <row r="105" spans="1:29" s="489" customFormat="1" ht="11.25" customHeight="1">
      <c r="A105" s="544"/>
      <c r="B105" s="519"/>
      <c r="C105" s="519"/>
      <c r="D105" s="519"/>
      <c r="E105" s="519"/>
      <c r="F105" s="519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S105" s="492"/>
      <c r="T105" s="461"/>
      <c r="U105" s="574"/>
      <c r="V105" s="461"/>
      <c r="W105" s="461"/>
      <c r="X105" s="461"/>
      <c r="Y105" s="461"/>
      <c r="Z105" s="461"/>
      <c r="AA105" s="461"/>
      <c r="AB105" s="461"/>
      <c r="AC105" s="461"/>
    </row>
    <row r="106" spans="1:29" s="489" customFormat="1" ht="11.25" customHeight="1">
      <c r="A106" s="544"/>
      <c r="B106" s="519"/>
      <c r="C106" s="519"/>
      <c r="D106" s="519"/>
      <c r="E106" s="519"/>
      <c r="F106" s="519"/>
      <c r="G106" s="461"/>
      <c r="H106" s="461"/>
      <c r="I106" s="461"/>
      <c r="J106" s="461"/>
      <c r="K106" s="461"/>
      <c r="L106" s="461"/>
      <c r="M106" s="461"/>
      <c r="N106" s="461"/>
      <c r="O106" s="461"/>
      <c r="P106" s="461"/>
      <c r="Q106" s="461"/>
      <c r="S106" s="492"/>
      <c r="T106" s="461"/>
      <c r="U106" s="574"/>
      <c r="V106" s="461"/>
      <c r="W106" s="461"/>
      <c r="X106" s="461"/>
      <c r="Y106" s="461"/>
      <c r="Z106" s="461"/>
      <c r="AA106" s="461"/>
      <c r="AB106" s="461"/>
      <c r="AC106" s="461"/>
    </row>
    <row r="107" spans="1:29" s="489" customFormat="1" ht="11.25" customHeight="1">
      <c r="A107" s="544"/>
      <c r="B107" s="519"/>
      <c r="C107" s="519"/>
      <c r="D107" s="519"/>
      <c r="E107" s="519"/>
      <c r="F107" s="519"/>
      <c r="G107" s="461"/>
      <c r="H107" s="461"/>
      <c r="I107" s="461"/>
      <c r="J107" s="461"/>
      <c r="K107" s="461"/>
      <c r="L107" s="461"/>
      <c r="M107" s="461"/>
      <c r="N107" s="461"/>
      <c r="O107" s="461"/>
      <c r="P107" s="461"/>
      <c r="Q107" s="461"/>
      <c r="S107" s="492"/>
      <c r="T107" s="461"/>
      <c r="U107" s="574"/>
      <c r="V107" s="461"/>
      <c r="W107" s="461"/>
      <c r="X107" s="461"/>
      <c r="Y107" s="461"/>
      <c r="Z107" s="461"/>
      <c r="AA107" s="461"/>
      <c r="AB107" s="461"/>
      <c r="AC107" s="461"/>
    </row>
    <row r="108" spans="1:29" s="489" customFormat="1" ht="11.25" customHeight="1">
      <c r="A108" s="544"/>
      <c r="B108" s="519"/>
      <c r="C108" s="519"/>
      <c r="D108" s="519"/>
      <c r="E108" s="519"/>
      <c r="F108" s="519"/>
      <c r="G108" s="519"/>
      <c r="H108" s="519"/>
      <c r="I108" s="461"/>
      <c r="L108" s="461"/>
      <c r="M108" s="461"/>
      <c r="N108" s="461"/>
      <c r="O108" s="461"/>
      <c r="P108" s="461"/>
      <c r="Q108" s="461"/>
      <c r="S108" s="492"/>
      <c r="T108" s="461"/>
      <c r="U108" s="574"/>
      <c r="V108" s="461"/>
      <c r="W108" s="461"/>
      <c r="X108" s="461"/>
      <c r="Y108" s="461"/>
      <c r="Z108" s="461"/>
      <c r="AA108" s="461"/>
      <c r="AB108" s="461"/>
      <c r="AC108" s="461"/>
    </row>
  </sheetData>
  <autoFilter ref="B18:R98" xr:uid="{00000000-0009-0000-0000-000001000000}">
    <filterColumn colId="14" showButton="0"/>
    <sortState xmlns:xlrd2="http://schemas.microsoft.com/office/spreadsheetml/2017/richdata2" ref="B21:R85">
      <sortCondition sortBy="cellColor" ref="M18:M95" dxfId="20"/>
    </sortState>
  </autoFilter>
  <mergeCells count="5">
    <mergeCell ref="H17:J17"/>
    <mergeCell ref="K17:M17"/>
    <mergeCell ref="N17:O17"/>
    <mergeCell ref="P17:Q17"/>
    <mergeCell ref="P18:Q18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0B521-A6DF-41D9-84C9-B03E1E12384A}">
  <sheetPr>
    <tabColor rgb="FFF8DA90"/>
  </sheetPr>
  <dimension ref="A1:AC104"/>
  <sheetViews>
    <sheetView showGridLines="0" zoomScaleNormal="100" workbookViewId="0">
      <pane ySplit="19" topLeftCell="A20" activePane="bottomLeft" state="frozen"/>
      <selection activeCell="G142" sqref="G142"/>
      <selection pane="bottomLeft" activeCell="D46" sqref="D46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1330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1333</v>
      </c>
      <c r="C3" s="477"/>
      <c r="D3" s="477"/>
      <c r="E3" s="477"/>
      <c r="F3" s="715">
        <v>1339.5</v>
      </c>
      <c r="G3" s="480"/>
      <c r="H3" s="476" t="s">
        <v>1353</v>
      </c>
      <c r="I3" s="477"/>
      <c r="K3" s="478"/>
      <c r="L3" s="715">
        <v>1347.8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9644.2999999999993</v>
      </c>
      <c r="K5" s="693">
        <v>1365.56</v>
      </c>
      <c r="L5" s="651">
        <f>ROUND(K5*$L$3,0)</f>
        <v>1840502</v>
      </c>
      <c r="M5" s="889">
        <f>L5+F5</f>
        <v>1840502</v>
      </c>
      <c r="N5" s="852"/>
      <c r="O5" s="900"/>
      <c r="P5" s="900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/>
      <c r="E6" s="500"/>
      <c r="F6" s="497">
        <f t="shared" ref="F6:F12" si="0">ROUND(E6*$F$3,0)</f>
        <v>0</v>
      </c>
      <c r="G6" s="502"/>
      <c r="H6" s="499" t="s">
        <v>13</v>
      </c>
      <c r="I6" s="499" t="s">
        <v>14</v>
      </c>
      <c r="J6" s="693">
        <v>24915.97</v>
      </c>
      <c r="K6" s="693">
        <v>3527.92</v>
      </c>
      <c r="L6" s="651">
        <f t="shared" ref="L6:L11" si="1">ROUND(K6*$L$3,0)</f>
        <v>4754931</v>
      </c>
      <c r="M6" s="889">
        <f t="shared" ref="M6:M13" si="2">L6+F6</f>
        <v>4754931</v>
      </c>
      <c r="N6" s="852"/>
      <c r="O6" s="900"/>
      <c r="P6" s="900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1448.45</v>
      </c>
      <c r="E7" s="500">
        <v>203.81</v>
      </c>
      <c r="F7" s="497">
        <f t="shared" si="0"/>
        <v>273003</v>
      </c>
      <c r="G7" s="503"/>
      <c r="H7" s="499" t="s">
        <v>15</v>
      </c>
      <c r="I7" s="499" t="s">
        <v>1055</v>
      </c>
      <c r="J7" s="694">
        <v>23096.55</v>
      </c>
      <c r="K7" s="694">
        <v>3270.31</v>
      </c>
      <c r="L7" s="651">
        <f>ROUND(K7*$L$3,0)</f>
        <v>4407724</v>
      </c>
      <c r="M7" s="889">
        <f t="shared" si="2"/>
        <v>4680727</v>
      </c>
      <c r="N7" s="852"/>
      <c r="O7" s="900"/>
      <c r="P7" s="900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694">
        <v>2477.88</v>
      </c>
      <c r="L8" s="651">
        <f>ROUND(K8*$L$3,0)</f>
        <v>3339687</v>
      </c>
      <c r="M8" s="889">
        <f t="shared" si="2"/>
        <v>3339687</v>
      </c>
      <c r="N8" s="852"/>
      <c r="O8" s="900"/>
      <c r="P8" s="900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1457.88</v>
      </c>
      <c r="K9" s="693">
        <v>206.43</v>
      </c>
      <c r="L9" s="651">
        <f t="shared" si="1"/>
        <v>278226</v>
      </c>
      <c r="M9" s="889">
        <f t="shared" si="2"/>
        <v>278226</v>
      </c>
      <c r="N9" s="852"/>
      <c r="O9" s="900"/>
      <c r="P9" s="900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60082.82</v>
      </c>
      <c r="E10" s="500">
        <v>8454.27</v>
      </c>
      <c r="F10" s="497">
        <f t="shared" si="0"/>
        <v>11324495</v>
      </c>
      <c r="G10" s="505"/>
      <c r="H10" s="499" t="s">
        <v>21</v>
      </c>
      <c r="I10" s="499"/>
      <c r="J10" s="693">
        <v>249399.01000000004</v>
      </c>
      <c r="K10" s="693">
        <v>35364.129999999997</v>
      </c>
      <c r="L10" s="651">
        <f t="shared" si="1"/>
        <v>47663774</v>
      </c>
      <c r="M10" s="889">
        <f t="shared" si="2"/>
        <v>58988269</v>
      </c>
      <c r="N10" s="852"/>
      <c r="O10" s="900"/>
      <c r="P10" s="900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1339.4999815201522</v>
      </c>
      <c r="H11" s="506" t="s">
        <v>1057</v>
      </c>
      <c r="I11" s="507" t="s">
        <v>1279</v>
      </c>
      <c r="J11" s="511"/>
      <c r="K11" s="855"/>
      <c r="L11" s="854">
        <f t="shared" si="1"/>
        <v>0</v>
      </c>
      <c r="M11" s="889">
        <f t="shared" si="2"/>
        <v>0</v>
      </c>
      <c r="N11" s="853"/>
      <c r="O11" s="852"/>
      <c r="P11" s="901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926"/>
      <c r="E12" s="500"/>
      <c r="F12" s="497">
        <f t="shared" si="0"/>
        <v>0</v>
      </c>
      <c r="G12" s="512">
        <f>E13+Q13+AB13</f>
        <v>8658.08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89">
        <f t="shared" si="2"/>
        <v>0</v>
      </c>
      <c r="N12" s="852"/>
      <c r="O12" s="852"/>
      <c r="P12" s="901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61531.27</v>
      </c>
      <c r="E13" s="515">
        <f>SUM(E5:E11)-E12</f>
        <v>8658.08</v>
      </c>
      <c r="F13" s="870">
        <f>SUM(F5:F11)-F12</f>
        <v>11597498</v>
      </c>
      <c r="G13" s="518">
        <f>F13+R13+AC13</f>
        <v>11597498</v>
      </c>
      <c r="H13" s="868" t="s">
        <v>22</v>
      </c>
      <c r="I13" s="869"/>
      <c r="J13" s="515">
        <f>SUM(J5:J11)-J12</f>
        <v>326013.71000000008</v>
      </c>
      <c r="K13" s="515">
        <f>SUM(K5:K11)-K12</f>
        <v>46212.229999999996</v>
      </c>
      <c r="L13" s="870">
        <f>SUM(L5:L11)-L12</f>
        <v>62284844</v>
      </c>
      <c r="M13" s="889">
        <f t="shared" si="2"/>
        <v>73882342</v>
      </c>
      <c r="N13" s="872"/>
      <c r="O13" s="873"/>
      <c r="P13" s="776"/>
      <c r="Q13" s="776"/>
      <c r="R13" s="776"/>
      <c r="S13" s="874"/>
      <c r="U13" s="850"/>
      <c r="X13" s="875">
        <f>F13+R13</f>
        <v>11597498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3">SUM(D7:D10)</f>
        <v>61531.27</v>
      </c>
      <c r="E14" s="739">
        <f t="shared" si="3"/>
        <v>8658.08</v>
      </c>
      <c r="F14" s="739">
        <f>SUM(F7:F10)</f>
        <v>11597498</v>
      </c>
      <c r="G14" s="524"/>
      <c r="J14" s="929">
        <f>J13+D13</f>
        <v>387544.9800000001</v>
      </c>
      <c r="K14" s="929">
        <f t="shared" ref="K14" si="4">K13+E13</f>
        <v>54870.31</v>
      </c>
      <c r="L14" s="904">
        <f>L13+F13</f>
        <v>73882342</v>
      </c>
      <c r="M14" s="865" t="e">
        <f>M16-E12</f>
        <v>#REF!</v>
      </c>
      <c r="O14" s="525"/>
      <c r="P14" s="844">
        <f>P13+D13+J13</f>
        <v>387544.9800000001</v>
      </c>
      <c r="Q14" s="844">
        <f>Q13+E13+K13</f>
        <v>54870.31</v>
      </c>
      <c r="R14" s="845">
        <f>R13+F13+L13</f>
        <v>73882342</v>
      </c>
      <c r="X14" s="470"/>
      <c r="Y14" s="525"/>
      <c r="AB14" s="525"/>
      <c r="AC14" s="489"/>
    </row>
    <row r="15" spans="1:29" ht="14.25" customHeight="1">
      <c r="A15" s="449"/>
      <c r="C15" s="520"/>
      <c r="D15" s="739"/>
      <c r="E15" s="739"/>
      <c r="F15" s="739"/>
      <c r="G15" s="524"/>
      <c r="L15" s="489"/>
      <c r="M15" s="489"/>
      <c r="O15" s="525"/>
      <c r="P15" s="844"/>
      <c r="Q15" s="844"/>
      <c r="R15" s="845"/>
      <c r="X15" s="470"/>
      <c r="Y15" s="525"/>
      <c r="AB15" s="525"/>
      <c r="AC15" s="489"/>
    </row>
    <row r="16" spans="1:29" ht="18.75" customHeight="1" thickBot="1">
      <c r="A16" s="449"/>
      <c r="C16" s="520"/>
      <c r="D16" s="520"/>
      <c r="E16" s="523"/>
      <c r="F16" s="523"/>
      <c r="G16" s="524"/>
      <c r="I16" s="525"/>
      <c r="J16" s="526"/>
      <c r="K16" s="652" t="e">
        <f>SUBTOTAL(9,K19:K118)</f>
        <v>#REF!</v>
      </c>
      <c r="L16" s="137"/>
      <c r="M16" s="652" t="e">
        <f>SUBTOTAL(9,M19:M118)</f>
        <v>#REF!</v>
      </c>
      <c r="N16" s="525"/>
      <c r="Q16" s="525"/>
    </row>
    <row r="17" spans="1:29" ht="11.25" customHeight="1">
      <c r="A17" s="449"/>
      <c r="B17" s="527" t="s">
        <v>24</v>
      </c>
      <c r="C17" s="528" t="s">
        <v>25</v>
      </c>
      <c r="D17" s="528" t="s">
        <v>1061</v>
      </c>
      <c r="E17" s="530" t="s">
        <v>26</v>
      </c>
      <c r="F17" s="531" t="s">
        <v>1</v>
      </c>
      <c r="G17" s="532" t="s">
        <v>2</v>
      </c>
      <c r="H17" s="2072" t="s">
        <v>29</v>
      </c>
      <c r="I17" s="2073"/>
      <c r="J17" s="2073"/>
      <c r="K17" s="2072" t="s">
        <v>30</v>
      </c>
      <c r="L17" s="2073"/>
      <c r="M17" s="2074"/>
      <c r="N17" s="2075" t="s">
        <v>31</v>
      </c>
      <c r="O17" s="2076"/>
      <c r="P17" s="2077"/>
      <c r="Q17" s="2077"/>
      <c r="R17" s="533" t="s">
        <v>1062</v>
      </c>
    </row>
    <row r="18" spans="1:29" ht="11.25" customHeight="1">
      <c r="A18" s="449"/>
      <c r="B18" s="534" t="s">
        <v>1063</v>
      </c>
      <c r="C18" s="535" t="s">
        <v>1064</v>
      </c>
      <c r="D18" s="535" t="s">
        <v>1065</v>
      </c>
      <c r="E18" s="537" t="s">
        <v>1066</v>
      </c>
      <c r="F18" s="538" t="s">
        <v>1067</v>
      </c>
      <c r="G18" s="539" t="s">
        <v>1068</v>
      </c>
      <c r="H18" s="540" t="s">
        <v>1069</v>
      </c>
      <c r="I18" s="540" t="s">
        <v>1070</v>
      </c>
      <c r="J18" s="541" t="s">
        <v>34</v>
      </c>
      <c r="K18" s="541" t="s">
        <v>1069</v>
      </c>
      <c r="L18" s="540" t="s">
        <v>1070</v>
      </c>
      <c r="M18" s="606" t="s">
        <v>34</v>
      </c>
      <c r="N18" s="609" t="s">
        <v>1069</v>
      </c>
      <c r="O18" s="610" t="s">
        <v>34</v>
      </c>
      <c r="P18" s="2081" t="s">
        <v>32</v>
      </c>
      <c r="Q18" s="2081"/>
      <c r="R18" s="905" t="s">
        <v>1062</v>
      </c>
    </row>
    <row r="19" spans="1:29" ht="11.25" customHeight="1">
      <c r="B19" s="657">
        <v>45565</v>
      </c>
      <c r="C19" s="658"/>
      <c r="D19" s="658"/>
      <c r="E19" s="660"/>
      <c r="F19" s="863"/>
      <c r="G19" s="661"/>
      <c r="H19" s="662"/>
      <c r="I19" s="658"/>
      <c r="J19" s="661"/>
      <c r="K19" s="664"/>
      <c r="L19" s="663"/>
      <c r="M19" s="906"/>
      <c r="N19" s="907">
        <v>61454.880000000099</v>
      </c>
      <c r="O19" s="907">
        <v>8658.0823681391776</v>
      </c>
      <c r="P19" s="908"/>
      <c r="Q19" s="660"/>
      <c r="R19" s="665"/>
      <c r="S19" s="846">
        <v>8658.0831455880834</v>
      </c>
    </row>
    <row r="20" spans="1:29" s="574" customFormat="1" ht="12" customHeight="1">
      <c r="A20" s="544"/>
      <c r="B20" s="568">
        <v>45576</v>
      </c>
      <c r="C20" s="916" t="s">
        <v>1350</v>
      </c>
      <c r="D20" s="921"/>
      <c r="E20" s="917">
        <v>1</v>
      </c>
      <c r="F20" s="569" t="s">
        <v>107</v>
      </c>
      <c r="G20" s="569"/>
      <c r="H20" s="569"/>
      <c r="I20" s="569"/>
      <c r="J20" s="569"/>
      <c r="K20" s="918">
        <v>46475.62</v>
      </c>
      <c r="L20" s="542" t="e">
        <f>'통장내역(환율표)'!#REF!</f>
        <v>#REF!</v>
      </c>
      <c r="M20" s="912" t="e">
        <f>K20/L20</f>
        <v>#REF!</v>
      </c>
      <c r="N20" s="928">
        <f t="shared" ref="N20:N51" si="5">N19+H20-K20</f>
        <v>14979.260000000097</v>
      </c>
      <c r="O20" s="928" t="e">
        <f t="shared" ref="O20:O51" si="6">O19+J20-M20</f>
        <v>#REF!</v>
      </c>
      <c r="P20" s="911" t="s">
        <v>1340</v>
      </c>
      <c r="Q20" s="641"/>
      <c r="R20" s="641"/>
      <c r="S20" s="883" t="e">
        <f>S19-M20</f>
        <v>#REF!</v>
      </c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568">
        <v>45576</v>
      </c>
      <c r="C21" s="916" t="s">
        <v>1351</v>
      </c>
      <c r="D21" s="921"/>
      <c r="E21" s="917">
        <v>2</v>
      </c>
      <c r="F21" s="569" t="s">
        <v>107</v>
      </c>
      <c r="G21" s="569"/>
      <c r="H21" s="569"/>
      <c r="I21" s="569"/>
      <c r="J21" s="569"/>
      <c r="K21" s="918">
        <v>13600</v>
      </c>
      <c r="L21" s="542" t="e">
        <f>'통장내역(환율표)'!#REF!</f>
        <v>#REF!</v>
      </c>
      <c r="M21" s="912" t="e">
        <f>K21/L21</f>
        <v>#REF!</v>
      </c>
      <c r="N21" s="928">
        <f t="shared" si="5"/>
        <v>1379.2600000000966</v>
      </c>
      <c r="O21" s="928" t="e">
        <f t="shared" si="6"/>
        <v>#REF!</v>
      </c>
      <c r="P21" s="911" t="s">
        <v>1340</v>
      </c>
      <c r="Q21" s="641"/>
      <c r="R21" s="641"/>
      <c r="S21" s="883" t="e">
        <f t="shared" ref="S21:S22" si="7">S20-M21</f>
        <v>#REF!</v>
      </c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customHeight="1">
      <c r="A22" s="544"/>
      <c r="B22" s="568">
        <v>45576</v>
      </c>
      <c r="C22" s="916" t="s">
        <v>445</v>
      </c>
      <c r="D22" s="921"/>
      <c r="E22" s="917">
        <v>3</v>
      </c>
      <c r="F22" s="569" t="s">
        <v>107</v>
      </c>
      <c r="G22" s="569"/>
      <c r="H22" s="569"/>
      <c r="I22" s="569"/>
      <c r="J22" s="569"/>
      <c r="K22" s="918">
        <v>7.2</v>
      </c>
      <c r="L22" s="542" t="e">
        <f>'통장내역(환율표)'!#REF!</f>
        <v>#REF!</v>
      </c>
      <c r="M22" s="912" t="e">
        <f>K22/L22</f>
        <v>#REF!</v>
      </c>
      <c r="N22" s="928">
        <f t="shared" si="5"/>
        <v>1372.0600000000966</v>
      </c>
      <c r="O22" s="928" t="e">
        <f t="shared" si="6"/>
        <v>#REF!</v>
      </c>
      <c r="P22" s="911" t="s">
        <v>1340</v>
      </c>
      <c r="Q22" s="641"/>
      <c r="R22" s="641"/>
      <c r="S22" s="883" t="e">
        <f t="shared" si="7"/>
        <v>#REF!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customHeight="1">
      <c r="A23" s="544"/>
      <c r="B23" s="744">
        <v>45579</v>
      </c>
      <c r="C23" s="933" t="s">
        <v>823</v>
      </c>
      <c r="D23" s="934"/>
      <c r="E23" s="935">
        <v>4</v>
      </c>
      <c r="F23" s="747"/>
      <c r="G23" s="747"/>
      <c r="H23" s="936">
        <v>423947.75</v>
      </c>
      <c r="I23" s="937"/>
      <c r="J23" s="936">
        <v>60079</v>
      </c>
      <c r="K23" s="938"/>
      <c r="L23" s="751"/>
      <c r="M23" s="939"/>
      <c r="N23" s="939">
        <f t="shared" si="5"/>
        <v>425319.81000000011</v>
      </c>
      <c r="O23" s="939" t="e">
        <f t="shared" si="6"/>
        <v>#REF!</v>
      </c>
      <c r="P23" s="940"/>
      <c r="Q23" s="941"/>
      <c r="R23" s="941"/>
      <c r="S23" s="883"/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customHeight="1">
      <c r="A24" s="544"/>
      <c r="B24" s="744">
        <v>45579</v>
      </c>
      <c r="C24" s="933" t="s">
        <v>250</v>
      </c>
      <c r="D24" s="934"/>
      <c r="E24" s="935">
        <v>4</v>
      </c>
      <c r="F24" s="747" t="s">
        <v>107</v>
      </c>
      <c r="G24" s="747"/>
      <c r="H24" s="747"/>
      <c r="I24" s="747"/>
      <c r="J24" s="747"/>
      <c r="K24" s="938"/>
      <c r="L24" s="751"/>
      <c r="M24" s="909">
        <v>51</v>
      </c>
      <c r="N24" s="939">
        <f t="shared" si="5"/>
        <v>425319.81000000011</v>
      </c>
      <c r="O24" s="939" t="e">
        <f t="shared" si="6"/>
        <v>#REF!</v>
      </c>
      <c r="P24" s="940" t="s">
        <v>1358</v>
      </c>
      <c r="Q24" s="941"/>
      <c r="R24" s="941"/>
      <c r="S24" s="883"/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2" customHeight="1">
      <c r="A25" s="544"/>
      <c r="B25" s="568">
        <v>45580</v>
      </c>
      <c r="C25" s="916" t="s">
        <v>1352</v>
      </c>
      <c r="D25" s="921"/>
      <c r="E25" s="917">
        <v>5</v>
      </c>
      <c r="F25" s="569" t="s">
        <v>105</v>
      </c>
      <c r="G25" s="569" t="s">
        <v>1122</v>
      </c>
      <c r="H25" s="569"/>
      <c r="I25" s="569"/>
      <c r="J25" s="569"/>
      <c r="K25" s="918" t="e">
        <f>L25*M25</f>
        <v>#REF!</v>
      </c>
      <c r="L25" s="542" t="e">
        <f>'통장내역(환율표)'!#REF!</f>
        <v>#REF!</v>
      </c>
      <c r="M25" s="912">
        <v>203.81129762608651</v>
      </c>
      <c r="N25" s="928" t="e">
        <f t="shared" si="5"/>
        <v>#REF!</v>
      </c>
      <c r="O25" s="928" t="e">
        <f t="shared" si="6"/>
        <v>#REF!</v>
      </c>
      <c r="P25" s="911" t="s">
        <v>1340</v>
      </c>
      <c r="Q25" s="641"/>
      <c r="R25" s="641"/>
      <c r="S25" s="883" t="e">
        <f>S22-M25</f>
        <v>#REF!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574" customFormat="1" ht="12" customHeight="1">
      <c r="A26" s="544"/>
      <c r="B26" s="568">
        <v>45580</v>
      </c>
      <c r="C26" s="916" t="s">
        <v>1352</v>
      </c>
      <c r="D26" s="921"/>
      <c r="E26" s="917">
        <v>5</v>
      </c>
      <c r="F26" s="569" t="s">
        <v>105</v>
      </c>
      <c r="G26" s="569" t="s">
        <v>1122</v>
      </c>
      <c r="H26" s="569"/>
      <c r="I26" s="569"/>
      <c r="J26" s="569"/>
      <c r="K26" s="918" t="e">
        <f>24545-K25</f>
        <v>#REF!</v>
      </c>
      <c r="L26" s="542">
        <v>7.0625</v>
      </c>
      <c r="M26" s="909" t="e">
        <f t="shared" ref="M26:M57" si="8">K26/L26</f>
        <v>#REF!</v>
      </c>
      <c r="N26" s="928" t="e">
        <f t="shared" si="5"/>
        <v>#REF!</v>
      </c>
      <c r="O26" s="928" t="e">
        <f t="shared" si="6"/>
        <v>#REF!</v>
      </c>
      <c r="P26" s="911" t="s">
        <v>1357</v>
      </c>
      <c r="Q26" s="641"/>
      <c r="R26" s="641"/>
      <c r="S26" s="883" t="e">
        <f>60028-M26</f>
        <v>#REF!</v>
      </c>
      <c r="T26" s="461"/>
      <c r="V26" s="461"/>
      <c r="W26" s="461"/>
      <c r="X26" s="461"/>
      <c r="Y26" s="461"/>
      <c r="Z26" s="461"/>
      <c r="AA26" s="461"/>
      <c r="AB26" s="461"/>
      <c r="AC26" s="461"/>
    </row>
    <row r="27" spans="1:29" s="574" customFormat="1" ht="12" customHeight="1">
      <c r="A27" s="544"/>
      <c r="B27" s="568">
        <v>45580</v>
      </c>
      <c r="C27" s="916" t="s">
        <v>445</v>
      </c>
      <c r="D27" s="921"/>
      <c r="E27" s="917">
        <v>6</v>
      </c>
      <c r="F27" s="569" t="s">
        <v>107</v>
      </c>
      <c r="G27" s="569"/>
      <c r="H27" s="569"/>
      <c r="I27" s="569"/>
      <c r="J27" s="569"/>
      <c r="K27" s="918">
        <v>7.2</v>
      </c>
      <c r="L27" s="542">
        <v>7.0625</v>
      </c>
      <c r="M27" s="909">
        <f t="shared" si="8"/>
        <v>1.0194690265486726</v>
      </c>
      <c r="N27" s="928" t="e">
        <f t="shared" si="5"/>
        <v>#REF!</v>
      </c>
      <c r="O27" s="928" t="e">
        <f t="shared" si="6"/>
        <v>#REF!</v>
      </c>
      <c r="P27" s="911" t="s">
        <v>1357</v>
      </c>
      <c r="Q27" s="641"/>
      <c r="R27" s="641"/>
      <c r="S27" s="883" t="e">
        <f>S26-M27</f>
        <v>#REF!</v>
      </c>
      <c r="T27" s="461"/>
      <c r="V27" s="461"/>
      <c r="W27" s="461"/>
      <c r="X27" s="461"/>
      <c r="Y27" s="461"/>
      <c r="Z27" s="461"/>
      <c r="AA27" s="461"/>
      <c r="AB27" s="461"/>
      <c r="AC27" s="461"/>
    </row>
    <row r="28" spans="1:29" s="574" customFormat="1" ht="12" customHeight="1">
      <c r="A28" s="544"/>
      <c r="B28" s="568">
        <v>45582</v>
      </c>
      <c r="C28" s="916" t="s">
        <v>1276</v>
      </c>
      <c r="D28" s="921"/>
      <c r="E28" s="917">
        <v>9</v>
      </c>
      <c r="F28" s="569" t="s">
        <v>146</v>
      </c>
      <c r="G28" s="569" t="s">
        <v>147</v>
      </c>
      <c r="H28" s="569"/>
      <c r="I28" s="569"/>
      <c r="J28" s="569"/>
      <c r="K28" s="918">
        <v>1600</v>
      </c>
      <c r="L28" s="542">
        <v>7.0625</v>
      </c>
      <c r="M28" s="909">
        <f t="shared" si="8"/>
        <v>226.54867256637169</v>
      </c>
      <c r="N28" s="928" t="e">
        <f t="shared" si="5"/>
        <v>#REF!</v>
      </c>
      <c r="O28" s="928" t="e">
        <f t="shared" si="6"/>
        <v>#REF!</v>
      </c>
      <c r="P28" s="911" t="s">
        <v>1357</v>
      </c>
      <c r="Q28" s="641"/>
      <c r="R28" s="641"/>
      <c r="S28" s="883" t="e">
        <f t="shared" ref="S28:S91" si="9">S27-M28</f>
        <v>#REF!</v>
      </c>
      <c r="T28" s="461"/>
      <c r="V28" s="461"/>
      <c r="W28" s="461"/>
      <c r="X28" s="461"/>
      <c r="Y28" s="461"/>
      <c r="Z28" s="461"/>
      <c r="AA28" s="461"/>
      <c r="AB28" s="461"/>
      <c r="AC28" s="461"/>
    </row>
    <row r="29" spans="1:29" s="574" customFormat="1" ht="12" customHeight="1">
      <c r="A29" s="544"/>
      <c r="B29" s="568">
        <v>45582</v>
      </c>
      <c r="C29" s="916" t="s">
        <v>445</v>
      </c>
      <c r="D29" s="921"/>
      <c r="E29" s="917">
        <v>10</v>
      </c>
      <c r="F29" s="569" t="s">
        <v>107</v>
      </c>
      <c r="G29" s="569"/>
      <c r="H29" s="569"/>
      <c r="I29" s="569"/>
      <c r="J29" s="569"/>
      <c r="K29" s="918">
        <v>3.6</v>
      </c>
      <c r="L29" s="542">
        <v>7.0625</v>
      </c>
      <c r="M29" s="909">
        <f t="shared" si="8"/>
        <v>0.50973451327433628</v>
      </c>
      <c r="N29" s="928" t="e">
        <f t="shared" si="5"/>
        <v>#REF!</v>
      </c>
      <c r="O29" s="928" t="e">
        <f t="shared" si="6"/>
        <v>#REF!</v>
      </c>
      <c r="P29" s="911" t="s">
        <v>1357</v>
      </c>
      <c r="Q29" s="641"/>
      <c r="R29" s="641"/>
      <c r="S29" s="883" t="e">
        <f t="shared" si="9"/>
        <v>#REF!</v>
      </c>
      <c r="T29" s="461"/>
      <c r="V29" s="461"/>
      <c r="W29" s="461"/>
      <c r="X29" s="461"/>
      <c r="Y29" s="461"/>
      <c r="Z29" s="461"/>
      <c r="AA29" s="461"/>
      <c r="AB29" s="461"/>
      <c r="AC29" s="461"/>
    </row>
    <row r="30" spans="1:29" s="574" customFormat="1" ht="12" customHeight="1">
      <c r="A30" s="544"/>
      <c r="B30" s="568">
        <v>45586</v>
      </c>
      <c r="C30" s="916" t="s">
        <v>306</v>
      </c>
      <c r="D30" s="921"/>
      <c r="E30" s="917">
        <v>11</v>
      </c>
      <c r="F30" s="569" t="s">
        <v>107</v>
      </c>
      <c r="G30" s="569"/>
      <c r="H30" s="569"/>
      <c r="I30" s="569"/>
      <c r="J30" s="569"/>
      <c r="K30" s="918">
        <v>1010</v>
      </c>
      <c r="L30" s="542">
        <v>7.0625</v>
      </c>
      <c r="M30" s="909">
        <f t="shared" si="8"/>
        <v>143.00884955752213</v>
      </c>
      <c r="N30" s="928" t="e">
        <f t="shared" si="5"/>
        <v>#REF!</v>
      </c>
      <c r="O30" s="928" t="e">
        <f t="shared" si="6"/>
        <v>#REF!</v>
      </c>
      <c r="P30" s="911" t="s">
        <v>1357</v>
      </c>
      <c r="Q30" s="641"/>
      <c r="R30" s="641"/>
      <c r="S30" s="883" t="e">
        <f t="shared" si="9"/>
        <v>#REF!</v>
      </c>
      <c r="T30" s="461"/>
      <c r="V30" s="461"/>
      <c r="W30" s="461"/>
      <c r="X30" s="461"/>
      <c r="Y30" s="461"/>
      <c r="Z30" s="461"/>
      <c r="AA30" s="461"/>
      <c r="AB30" s="461"/>
      <c r="AC30" s="461"/>
    </row>
    <row r="31" spans="1:29" s="574" customFormat="1" ht="12" customHeight="1">
      <c r="A31" s="544"/>
      <c r="B31" s="568">
        <v>45586</v>
      </c>
      <c r="C31" s="916" t="s">
        <v>445</v>
      </c>
      <c r="D31" s="921"/>
      <c r="E31" s="917">
        <v>12</v>
      </c>
      <c r="F31" s="569" t="s">
        <v>107</v>
      </c>
      <c r="G31" s="569"/>
      <c r="H31" s="569"/>
      <c r="I31" s="569"/>
      <c r="J31" s="569"/>
      <c r="K31" s="918">
        <v>3.6</v>
      </c>
      <c r="L31" s="542">
        <v>7.0625</v>
      </c>
      <c r="M31" s="909">
        <f t="shared" si="8"/>
        <v>0.50973451327433628</v>
      </c>
      <c r="N31" s="928" t="e">
        <f t="shared" si="5"/>
        <v>#REF!</v>
      </c>
      <c r="O31" s="928" t="e">
        <f t="shared" si="6"/>
        <v>#REF!</v>
      </c>
      <c r="P31" s="911" t="s">
        <v>1357</v>
      </c>
      <c r="Q31" s="641"/>
      <c r="R31" s="641"/>
      <c r="S31" s="883" t="e">
        <f t="shared" si="9"/>
        <v>#REF!</v>
      </c>
      <c r="T31" s="461"/>
      <c r="V31" s="461"/>
      <c r="W31" s="461"/>
      <c r="X31" s="461"/>
      <c r="Y31" s="461"/>
      <c r="Z31" s="461"/>
      <c r="AA31" s="461"/>
      <c r="AB31" s="461"/>
      <c r="AC31" s="461"/>
    </row>
    <row r="32" spans="1:29" s="574" customFormat="1" ht="12" customHeight="1">
      <c r="A32" s="544"/>
      <c r="B32" s="568">
        <v>45586</v>
      </c>
      <c r="C32" s="916" t="s">
        <v>998</v>
      </c>
      <c r="D32" s="921"/>
      <c r="E32" s="917">
        <v>13</v>
      </c>
      <c r="F32" s="569" t="s">
        <v>146</v>
      </c>
      <c r="G32" s="569" t="s">
        <v>147</v>
      </c>
      <c r="H32" s="569"/>
      <c r="I32" s="569"/>
      <c r="J32" s="569"/>
      <c r="K32" s="918">
        <v>223</v>
      </c>
      <c r="L32" s="542">
        <v>7.0625</v>
      </c>
      <c r="M32" s="909">
        <f t="shared" si="8"/>
        <v>31.575221238938052</v>
      </c>
      <c r="N32" s="928" t="e">
        <f t="shared" si="5"/>
        <v>#REF!</v>
      </c>
      <c r="O32" s="928" t="e">
        <f t="shared" si="6"/>
        <v>#REF!</v>
      </c>
      <c r="P32" s="911" t="s">
        <v>1357</v>
      </c>
      <c r="Q32" s="641"/>
      <c r="R32" s="641"/>
      <c r="S32" s="883" t="e">
        <f t="shared" si="9"/>
        <v>#REF!</v>
      </c>
      <c r="T32" s="461"/>
      <c r="V32" s="461"/>
      <c r="W32" s="461"/>
      <c r="X32" s="461"/>
      <c r="Y32" s="461"/>
      <c r="Z32" s="461"/>
      <c r="AA32" s="461"/>
      <c r="AB32" s="461"/>
      <c r="AC32" s="461"/>
    </row>
    <row r="33" spans="1:29" s="574" customFormat="1" ht="12" customHeight="1">
      <c r="A33" s="544"/>
      <c r="B33" s="568">
        <v>45586</v>
      </c>
      <c r="C33" s="916" t="s">
        <v>999</v>
      </c>
      <c r="D33" s="921"/>
      <c r="E33" s="917">
        <v>14</v>
      </c>
      <c r="F33" s="569" t="s">
        <v>146</v>
      </c>
      <c r="G33" s="569" t="s">
        <v>147</v>
      </c>
      <c r="H33" s="569"/>
      <c r="I33" s="569"/>
      <c r="J33" s="569"/>
      <c r="K33" s="918">
        <v>2221.94</v>
      </c>
      <c r="L33" s="542">
        <v>7.0625</v>
      </c>
      <c r="M33" s="909">
        <f t="shared" si="8"/>
        <v>314.61097345132742</v>
      </c>
      <c r="N33" s="928" t="e">
        <f t="shared" si="5"/>
        <v>#REF!</v>
      </c>
      <c r="O33" s="928" t="e">
        <f t="shared" si="6"/>
        <v>#REF!</v>
      </c>
      <c r="P33" s="911" t="s">
        <v>1357</v>
      </c>
      <c r="Q33" s="641"/>
      <c r="R33" s="641"/>
      <c r="S33" s="883" t="e">
        <f t="shared" si="9"/>
        <v>#REF!</v>
      </c>
      <c r="T33" s="461"/>
      <c r="V33" s="461"/>
      <c r="W33" s="461"/>
      <c r="X33" s="461"/>
      <c r="Y33" s="461"/>
      <c r="Z33" s="461"/>
      <c r="AA33" s="461"/>
      <c r="AB33" s="461"/>
      <c r="AC33" s="461"/>
    </row>
    <row r="34" spans="1:29" s="574" customFormat="1" ht="12" customHeight="1">
      <c r="A34" s="544"/>
      <c r="B34" s="568">
        <v>45586</v>
      </c>
      <c r="C34" s="916" t="s">
        <v>997</v>
      </c>
      <c r="D34" s="921"/>
      <c r="E34" s="917">
        <v>15</v>
      </c>
      <c r="F34" s="569" t="s">
        <v>146</v>
      </c>
      <c r="G34" s="569" t="s">
        <v>147</v>
      </c>
      <c r="H34" s="569"/>
      <c r="I34" s="569"/>
      <c r="J34" s="569"/>
      <c r="K34" s="918">
        <v>168</v>
      </c>
      <c r="L34" s="542">
        <v>7.0625</v>
      </c>
      <c r="M34" s="909">
        <f t="shared" si="8"/>
        <v>23.787610619469028</v>
      </c>
      <c r="N34" s="928" t="e">
        <f t="shared" si="5"/>
        <v>#REF!</v>
      </c>
      <c r="O34" s="928" t="e">
        <f t="shared" si="6"/>
        <v>#REF!</v>
      </c>
      <c r="P34" s="911" t="s">
        <v>1357</v>
      </c>
      <c r="Q34" s="641"/>
      <c r="R34" s="641"/>
      <c r="S34" s="883" t="e">
        <f t="shared" si="9"/>
        <v>#REF!</v>
      </c>
      <c r="T34" s="461"/>
      <c r="V34" s="461"/>
      <c r="W34" s="461"/>
      <c r="X34" s="461"/>
      <c r="Y34" s="461"/>
      <c r="Z34" s="461"/>
      <c r="AA34" s="461"/>
      <c r="AB34" s="461"/>
      <c r="AC34" s="461"/>
    </row>
    <row r="35" spans="1:29" s="574" customFormat="1" ht="12" customHeight="1">
      <c r="A35" s="544"/>
      <c r="B35" s="568">
        <v>45586</v>
      </c>
      <c r="C35" s="916" t="s">
        <v>250</v>
      </c>
      <c r="D35" s="921"/>
      <c r="E35" s="917">
        <v>16</v>
      </c>
      <c r="F35" s="569" t="s">
        <v>107</v>
      </c>
      <c r="G35" s="569"/>
      <c r="H35" s="569"/>
      <c r="I35" s="569"/>
      <c r="J35" s="569"/>
      <c r="K35" s="918">
        <v>3.6</v>
      </c>
      <c r="L35" s="542">
        <v>7.0625</v>
      </c>
      <c r="M35" s="909">
        <f t="shared" si="8"/>
        <v>0.50973451327433628</v>
      </c>
      <c r="N35" s="928" t="e">
        <f t="shared" si="5"/>
        <v>#REF!</v>
      </c>
      <c r="O35" s="928" t="e">
        <f t="shared" si="6"/>
        <v>#REF!</v>
      </c>
      <c r="P35" s="911" t="s">
        <v>1357</v>
      </c>
      <c r="Q35" s="641"/>
      <c r="R35" s="641"/>
      <c r="S35" s="883" t="e">
        <f t="shared" si="9"/>
        <v>#REF!</v>
      </c>
      <c r="T35" s="461"/>
      <c r="V35" s="461"/>
      <c r="W35" s="461"/>
      <c r="X35" s="461"/>
      <c r="Y35" s="461"/>
      <c r="Z35" s="461"/>
      <c r="AA35" s="461"/>
      <c r="AB35" s="461"/>
      <c r="AC35" s="461"/>
    </row>
    <row r="36" spans="1:29" s="574" customFormat="1" ht="12" customHeight="1">
      <c r="A36" s="544"/>
      <c r="B36" s="568">
        <v>45586</v>
      </c>
      <c r="C36" s="916" t="s">
        <v>995</v>
      </c>
      <c r="D36" s="921"/>
      <c r="E36" s="917">
        <v>17</v>
      </c>
      <c r="F36" s="569" t="s">
        <v>146</v>
      </c>
      <c r="G36" s="569" t="s">
        <v>147</v>
      </c>
      <c r="H36" s="569"/>
      <c r="I36" s="569"/>
      <c r="J36" s="569"/>
      <c r="K36" s="918">
        <v>246</v>
      </c>
      <c r="L36" s="542">
        <v>7.0625</v>
      </c>
      <c r="M36" s="909">
        <f t="shared" si="8"/>
        <v>34.831858407079643</v>
      </c>
      <c r="N36" s="928" t="e">
        <f t="shared" si="5"/>
        <v>#REF!</v>
      </c>
      <c r="O36" s="928" t="e">
        <f t="shared" si="6"/>
        <v>#REF!</v>
      </c>
      <c r="P36" s="911" t="s">
        <v>1357</v>
      </c>
      <c r="Q36" s="641"/>
      <c r="R36" s="641"/>
      <c r="S36" s="883" t="e">
        <f t="shared" si="9"/>
        <v>#REF!</v>
      </c>
      <c r="T36" s="461"/>
      <c r="V36" s="461"/>
      <c r="W36" s="461"/>
      <c r="X36" s="461"/>
      <c r="Y36" s="461"/>
      <c r="Z36" s="461"/>
      <c r="AA36" s="461"/>
      <c r="AB36" s="461"/>
      <c r="AC36" s="461"/>
    </row>
    <row r="37" spans="1:29" s="574" customFormat="1" ht="12" customHeight="1">
      <c r="A37" s="544"/>
      <c r="B37" s="568">
        <v>45586</v>
      </c>
      <c r="C37" s="916" t="s">
        <v>996</v>
      </c>
      <c r="D37" s="921"/>
      <c r="E37" s="917">
        <v>18</v>
      </c>
      <c r="F37" s="569" t="s">
        <v>146</v>
      </c>
      <c r="G37" s="569" t="s">
        <v>147</v>
      </c>
      <c r="H37" s="569"/>
      <c r="I37" s="569"/>
      <c r="J37" s="569"/>
      <c r="K37" s="918">
        <v>1530</v>
      </c>
      <c r="L37" s="542">
        <v>7.0625</v>
      </c>
      <c r="M37" s="909">
        <f t="shared" si="8"/>
        <v>216.63716814159292</v>
      </c>
      <c r="N37" s="928" t="e">
        <f t="shared" si="5"/>
        <v>#REF!</v>
      </c>
      <c r="O37" s="928" t="e">
        <f t="shared" si="6"/>
        <v>#REF!</v>
      </c>
      <c r="P37" s="911" t="s">
        <v>1357</v>
      </c>
      <c r="Q37" s="641"/>
      <c r="R37" s="641"/>
      <c r="S37" s="883" t="e">
        <f t="shared" si="9"/>
        <v>#REF!</v>
      </c>
      <c r="T37" s="461"/>
      <c r="V37" s="461"/>
      <c r="W37" s="461"/>
      <c r="X37" s="461"/>
      <c r="Y37" s="461"/>
      <c r="Z37" s="461"/>
      <c r="AA37" s="461"/>
      <c r="AB37" s="461"/>
      <c r="AC37" s="461"/>
    </row>
    <row r="38" spans="1:29" s="574" customFormat="1" ht="12" customHeight="1">
      <c r="A38" s="544"/>
      <c r="B38" s="568">
        <v>45586</v>
      </c>
      <c r="C38" s="916" t="s">
        <v>994</v>
      </c>
      <c r="D38" s="921"/>
      <c r="E38" s="917">
        <v>19</v>
      </c>
      <c r="F38" s="569" t="s">
        <v>146</v>
      </c>
      <c r="G38" s="569" t="s">
        <v>147</v>
      </c>
      <c r="H38" s="569"/>
      <c r="I38" s="569"/>
      <c r="J38" s="569"/>
      <c r="K38" s="918">
        <v>136</v>
      </c>
      <c r="L38" s="542">
        <v>7.0625</v>
      </c>
      <c r="M38" s="909">
        <f t="shared" si="8"/>
        <v>19.256637168141594</v>
      </c>
      <c r="N38" s="928" t="e">
        <f t="shared" si="5"/>
        <v>#REF!</v>
      </c>
      <c r="O38" s="928" t="e">
        <f t="shared" si="6"/>
        <v>#REF!</v>
      </c>
      <c r="P38" s="911" t="s">
        <v>1357</v>
      </c>
      <c r="Q38" s="641"/>
      <c r="R38" s="641"/>
      <c r="S38" s="883" t="e">
        <f t="shared" si="9"/>
        <v>#REF!</v>
      </c>
      <c r="T38" s="461"/>
      <c r="V38" s="461"/>
      <c r="W38" s="461"/>
      <c r="X38" s="461"/>
      <c r="Y38" s="461"/>
      <c r="Z38" s="461"/>
      <c r="AA38" s="461"/>
      <c r="AB38" s="461"/>
      <c r="AC38" s="461"/>
    </row>
    <row r="39" spans="1:29" s="574" customFormat="1" ht="12" customHeight="1">
      <c r="A39" s="544"/>
      <c r="B39" s="568">
        <v>45586</v>
      </c>
      <c r="C39" s="916" t="s">
        <v>250</v>
      </c>
      <c r="D39" s="921"/>
      <c r="E39" s="917">
        <v>20</v>
      </c>
      <c r="F39" s="569" t="s">
        <v>107</v>
      </c>
      <c r="G39" s="569"/>
      <c r="H39" s="569"/>
      <c r="I39" s="569"/>
      <c r="J39" s="569"/>
      <c r="K39" s="918">
        <v>3.6</v>
      </c>
      <c r="L39" s="542">
        <v>7.0625</v>
      </c>
      <c r="M39" s="909">
        <f t="shared" si="8"/>
        <v>0.50973451327433628</v>
      </c>
      <c r="N39" s="928" t="e">
        <f t="shared" si="5"/>
        <v>#REF!</v>
      </c>
      <c r="O39" s="928" t="e">
        <f t="shared" si="6"/>
        <v>#REF!</v>
      </c>
      <c r="P39" s="911" t="s">
        <v>1357</v>
      </c>
      <c r="Q39" s="641"/>
      <c r="R39" s="641"/>
      <c r="S39" s="883" t="e">
        <f t="shared" si="9"/>
        <v>#REF!</v>
      </c>
      <c r="T39" s="461"/>
      <c r="V39" s="461"/>
      <c r="W39" s="461"/>
      <c r="X39" s="461"/>
      <c r="Y39" s="461"/>
      <c r="Z39" s="461"/>
      <c r="AA39" s="461"/>
      <c r="AB39" s="461"/>
      <c r="AC39" s="461"/>
    </row>
    <row r="40" spans="1:29" s="574" customFormat="1" ht="12" customHeight="1">
      <c r="A40" s="544"/>
      <c r="B40" s="568">
        <v>45586</v>
      </c>
      <c r="C40" s="916" t="s">
        <v>1011</v>
      </c>
      <c r="D40" s="921"/>
      <c r="E40" s="917">
        <v>21</v>
      </c>
      <c r="F40" s="569" t="s">
        <v>116</v>
      </c>
      <c r="G40" s="569" t="s">
        <v>140</v>
      </c>
      <c r="H40" s="569"/>
      <c r="I40" s="569"/>
      <c r="J40" s="569"/>
      <c r="K40" s="918">
        <v>199.6</v>
      </c>
      <c r="L40" s="542">
        <v>7.0625</v>
      </c>
      <c r="M40" s="909">
        <f t="shared" si="8"/>
        <v>28.261946902654866</v>
      </c>
      <c r="N40" s="928" t="e">
        <f t="shared" si="5"/>
        <v>#REF!</v>
      </c>
      <c r="O40" s="928" t="e">
        <f t="shared" si="6"/>
        <v>#REF!</v>
      </c>
      <c r="P40" s="911" t="s">
        <v>1357</v>
      </c>
      <c r="Q40" s="641"/>
      <c r="R40" s="641"/>
      <c r="S40" s="883" t="e">
        <f t="shared" si="9"/>
        <v>#REF!</v>
      </c>
      <c r="T40" s="461"/>
      <c r="V40" s="461"/>
      <c r="W40" s="461"/>
      <c r="X40" s="461"/>
      <c r="Y40" s="461"/>
      <c r="Z40" s="461"/>
      <c r="AA40" s="461"/>
      <c r="AB40" s="461"/>
      <c r="AC40" s="461"/>
    </row>
    <row r="41" spans="1:29" s="574" customFormat="1" ht="12" customHeight="1">
      <c r="A41" s="544"/>
      <c r="B41" s="568">
        <v>45586</v>
      </c>
      <c r="C41" s="916" t="s">
        <v>1090</v>
      </c>
      <c r="D41" s="921"/>
      <c r="E41" s="917">
        <v>22</v>
      </c>
      <c r="F41" s="569" t="s">
        <v>146</v>
      </c>
      <c r="G41" s="569" t="s">
        <v>147</v>
      </c>
      <c r="H41" s="569"/>
      <c r="I41" s="569"/>
      <c r="J41" s="569"/>
      <c r="K41" s="918">
        <v>61.77</v>
      </c>
      <c r="L41" s="542">
        <v>7.0625</v>
      </c>
      <c r="M41" s="909">
        <f t="shared" si="8"/>
        <v>8.7461946902654866</v>
      </c>
      <c r="N41" s="928" t="e">
        <f t="shared" si="5"/>
        <v>#REF!</v>
      </c>
      <c r="O41" s="928" t="e">
        <f t="shared" si="6"/>
        <v>#REF!</v>
      </c>
      <c r="P41" s="911" t="s">
        <v>1357</v>
      </c>
      <c r="Q41" s="641"/>
      <c r="R41" s="641"/>
      <c r="S41" s="883" t="e">
        <f t="shared" si="9"/>
        <v>#REF!</v>
      </c>
      <c r="T41" s="461"/>
      <c r="V41" s="461"/>
      <c r="W41" s="461"/>
      <c r="X41" s="461"/>
      <c r="Y41" s="461"/>
      <c r="Z41" s="461"/>
      <c r="AA41" s="461"/>
      <c r="AB41" s="461"/>
      <c r="AC41" s="461"/>
    </row>
    <row r="42" spans="1:29" s="574" customFormat="1" ht="12" customHeight="1">
      <c r="A42" s="544"/>
      <c r="B42" s="568">
        <v>45586</v>
      </c>
      <c r="C42" s="916" t="s">
        <v>1354</v>
      </c>
      <c r="D42" s="921"/>
      <c r="E42" s="917">
        <v>23</v>
      </c>
      <c r="F42" s="569" t="s">
        <v>107</v>
      </c>
      <c r="G42" s="569"/>
      <c r="H42" s="569"/>
      <c r="I42" s="569"/>
      <c r="J42" s="569"/>
      <c r="K42" s="918">
        <v>516.54999999999995</v>
      </c>
      <c r="L42" s="542">
        <v>7.0625</v>
      </c>
      <c r="M42" s="909">
        <f t="shared" si="8"/>
        <v>73.139823008849547</v>
      </c>
      <c r="N42" s="928" t="e">
        <f t="shared" si="5"/>
        <v>#REF!</v>
      </c>
      <c r="O42" s="928" t="e">
        <f t="shared" si="6"/>
        <v>#REF!</v>
      </c>
      <c r="P42" s="911" t="s">
        <v>1357</v>
      </c>
      <c r="Q42" s="641"/>
      <c r="R42" s="641"/>
      <c r="S42" s="883" t="e">
        <f t="shared" si="9"/>
        <v>#REF!</v>
      </c>
      <c r="T42" s="461"/>
      <c r="V42" s="461"/>
      <c r="W42" s="461"/>
      <c r="X42" s="461"/>
      <c r="Y42" s="461"/>
      <c r="Z42" s="461"/>
      <c r="AA42" s="461"/>
      <c r="AB42" s="461"/>
      <c r="AC42" s="461"/>
    </row>
    <row r="43" spans="1:29" s="574" customFormat="1" ht="12" customHeight="1">
      <c r="A43" s="544"/>
      <c r="B43" s="568">
        <v>45586</v>
      </c>
      <c r="C43" s="916" t="s">
        <v>250</v>
      </c>
      <c r="D43" s="921"/>
      <c r="E43" s="917">
        <v>24</v>
      </c>
      <c r="F43" s="569" t="s">
        <v>107</v>
      </c>
      <c r="G43" s="569"/>
      <c r="H43" s="569"/>
      <c r="I43" s="569"/>
      <c r="J43" s="569"/>
      <c r="K43" s="918">
        <v>3.6</v>
      </c>
      <c r="L43" s="542">
        <v>7.0625</v>
      </c>
      <c r="M43" s="909">
        <f t="shared" si="8"/>
        <v>0.50973451327433628</v>
      </c>
      <c r="N43" s="928" t="e">
        <f t="shared" si="5"/>
        <v>#REF!</v>
      </c>
      <c r="O43" s="928" t="e">
        <f t="shared" si="6"/>
        <v>#REF!</v>
      </c>
      <c r="P43" s="911" t="s">
        <v>1357</v>
      </c>
      <c r="Q43" s="641"/>
      <c r="R43" s="641"/>
      <c r="S43" s="883" t="e">
        <f t="shared" si="9"/>
        <v>#REF!</v>
      </c>
      <c r="T43" s="461"/>
      <c r="V43" s="461"/>
      <c r="W43" s="461"/>
      <c r="X43" s="461"/>
      <c r="Y43" s="461"/>
      <c r="Z43" s="461"/>
      <c r="AA43" s="461"/>
      <c r="AB43" s="461"/>
      <c r="AC43" s="461"/>
    </row>
    <row r="44" spans="1:29" s="574" customFormat="1" ht="12" customHeight="1">
      <c r="A44" s="544"/>
      <c r="B44" s="568">
        <v>45586</v>
      </c>
      <c r="C44" s="916" t="s">
        <v>1153</v>
      </c>
      <c r="D44" s="921"/>
      <c r="E44" s="917">
        <v>25</v>
      </c>
      <c r="F44" s="569" t="s">
        <v>146</v>
      </c>
      <c r="G44" s="569" t="s">
        <v>147</v>
      </c>
      <c r="H44" s="569"/>
      <c r="I44" s="569"/>
      <c r="J44" s="569"/>
      <c r="K44" s="918">
        <v>5507.69</v>
      </c>
      <c r="L44" s="542">
        <v>7.0625</v>
      </c>
      <c r="M44" s="909">
        <f t="shared" si="8"/>
        <v>779.84991150442477</v>
      </c>
      <c r="N44" s="928" t="e">
        <f t="shared" si="5"/>
        <v>#REF!</v>
      </c>
      <c r="O44" s="928" t="e">
        <f t="shared" si="6"/>
        <v>#REF!</v>
      </c>
      <c r="P44" s="911" t="s">
        <v>1357</v>
      </c>
      <c r="Q44" s="641"/>
      <c r="R44" s="641"/>
      <c r="S44" s="883" t="e">
        <f t="shared" si="9"/>
        <v>#REF!</v>
      </c>
      <c r="T44" s="461"/>
      <c r="V44" s="461"/>
      <c r="W44" s="461"/>
      <c r="X44" s="461"/>
      <c r="Y44" s="461"/>
      <c r="Z44" s="461"/>
      <c r="AA44" s="461"/>
      <c r="AB44" s="461"/>
      <c r="AC44" s="461"/>
    </row>
    <row r="45" spans="1:29" s="574" customFormat="1" ht="12" customHeight="1">
      <c r="A45" s="544"/>
      <c r="B45" s="568">
        <v>45586</v>
      </c>
      <c r="C45" s="916" t="s">
        <v>1323</v>
      </c>
      <c r="D45" s="921"/>
      <c r="E45" s="917">
        <v>26</v>
      </c>
      <c r="F45" s="569" t="s">
        <v>146</v>
      </c>
      <c r="G45" s="569" t="s">
        <v>147</v>
      </c>
      <c r="H45" s="569"/>
      <c r="I45" s="569"/>
      <c r="J45" s="569"/>
      <c r="K45" s="918">
        <v>218.5</v>
      </c>
      <c r="L45" s="542">
        <v>7.0625</v>
      </c>
      <c r="M45" s="909">
        <f t="shared" si="8"/>
        <v>30.938053097345133</v>
      </c>
      <c r="N45" s="928" t="e">
        <f t="shared" si="5"/>
        <v>#REF!</v>
      </c>
      <c r="O45" s="928" t="e">
        <f t="shared" si="6"/>
        <v>#REF!</v>
      </c>
      <c r="P45" s="911" t="s">
        <v>1357</v>
      </c>
      <c r="Q45" s="641"/>
      <c r="R45" s="641"/>
      <c r="S45" s="883" t="e">
        <f t="shared" si="9"/>
        <v>#REF!</v>
      </c>
      <c r="T45" s="461"/>
      <c r="V45" s="461"/>
      <c r="W45" s="461"/>
      <c r="X45" s="461"/>
      <c r="Y45" s="461"/>
      <c r="Z45" s="461"/>
      <c r="AA45" s="461"/>
      <c r="AB45" s="461"/>
      <c r="AC45" s="461"/>
    </row>
    <row r="46" spans="1:29" s="574" customFormat="1" ht="12" customHeight="1">
      <c r="A46" s="544"/>
      <c r="B46" s="568">
        <v>45586</v>
      </c>
      <c r="C46" s="916" t="s">
        <v>1336</v>
      </c>
      <c r="D46" s="921"/>
      <c r="E46" s="917">
        <v>27</v>
      </c>
      <c r="F46" s="569" t="s">
        <v>107</v>
      </c>
      <c r="G46" s="569"/>
      <c r="H46" s="569"/>
      <c r="I46" s="569"/>
      <c r="J46" s="569"/>
      <c r="K46" s="918">
        <v>901.53</v>
      </c>
      <c r="L46" s="542">
        <v>7.0625</v>
      </c>
      <c r="M46" s="909">
        <f t="shared" si="8"/>
        <v>127.65026548672566</v>
      </c>
      <c r="N46" s="928" t="e">
        <f t="shared" si="5"/>
        <v>#REF!</v>
      </c>
      <c r="O46" s="928" t="e">
        <f t="shared" si="6"/>
        <v>#REF!</v>
      </c>
      <c r="P46" s="911" t="s">
        <v>1357</v>
      </c>
      <c r="Q46" s="641"/>
      <c r="R46" s="641"/>
      <c r="S46" s="883" t="e">
        <f t="shared" si="9"/>
        <v>#REF!</v>
      </c>
      <c r="T46" s="461"/>
      <c r="V46" s="461"/>
      <c r="W46" s="461"/>
      <c r="X46" s="461"/>
      <c r="Y46" s="461"/>
      <c r="Z46" s="461"/>
      <c r="AA46" s="461"/>
      <c r="AB46" s="461"/>
      <c r="AC46" s="461"/>
    </row>
    <row r="47" spans="1:29" s="574" customFormat="1" ht="12" customHeight="1">
      <c r="A47" s="544"/>
      <c r="B47" s="568">
        <v>45586</v>
      </c>
      <c r="C47" s="916" t="s">
        <v>851</v>
      </c>
      <c r="D47" s="921"/>
      <c r="E47" s="917">
        <v>28</v>
      </c>
      <c r="F47" s="569" t="s">
        <v>116</v>
      </c>
      <c r="G47" s="569" t="s">
        <v>140</v>
      </c>
      <c r="H47" s="569"/>
      <c r="I47" s="569"/>
      <c r="J47" s="569"/>
      <c r="K47" s="918">
        <v>140.4</v>
      </c>
      <c r="L47" s="542">
        <v>7.0625</v>
      </c>
      <c r="M47" s="909">
        <f t="shared" si="8"/>
        <v>19.879646017699116</v>
      </c>
      <c r="N47" s="928" t="e">
        <f t="shared" si="5"/>
        <v>#REF!</v>
      </c>
      <c r="O47" s="928" t="e">
        <f t="shared" si="6"/>
        <v>#REF!</v>
      </c>
      <c r="P47" s="911" t="s">
        <v>1357</v>
      </c>
      <c r="Q47" s="641"/>
      <c r="R47" s="641"/>
      <c r="S47" s="883" t="e">
        <f t="shared" si="9"/>
        <v>#REF!</v>
      </c>
      <c r="T47" s="461"/>
      <c r="V47" s="461"/>
      <c r="W47" s="461"/>
      <c r="X47" s="461"/>
      <c r="Y47" s="461"/>
      <c r="Z47" s="461"/>
      <c r="AA47" s="461"/>
      <c r="AB47" s="461"/>
      <c r="AC47" s="461"/>
    </row>
    <row r="48" spans="1:29" s="574" customFormat="1" ht="12" customHeight="1">
      <c r="A48" s="544"/>
      <c r="B48" s="568">
        <v>45586</v>
      </c>
      <c r="C48" s="916" t="s">
        <v>1355</v>
      </c>
      <c r="D48" s="921"/>
      <c r="E48" s="917">
        <v>29</v>
      </c>
      <c r="F48" s="569" t="s">
        <v>125</v>
      </c>
      <c r="G48" s="569" t="s">
        <v>145</v>
      </c>
      <c r="H48" s="569"/>
      <c r="I48" s="569"/>
      <c r="J48" s="569"/>
      <c r="K48" s="918">
        <v>38</v>
      </c>
      <c r="L48" s="542">
        <v>7.0625</v>
      </c>
      <c r="M48" s="909">
        <f t="shared" si="8"/>
        <v>5.3805309734513278</v>
      </c>
      <c r="N48" s="928" t="e">
        <f t="shared" si="5"/>
        <v>#REF!</v>
      </c>
      <c r="O48" s="928" t="e">
        <f t="shared" si="6"/>
        <v>#REF!</v>
      </c>
      <c r="P48" s="911" t="s">
        <v>1357</v>
      </c>
      <c r="Q48" s="641"/>
      <c r="R48" s="641"/>
      <c r="S48" s="883" t="e">
        <f t="shared" si="9"/>
        <v>#REF!</v>
      </c>
      <c r="T48" s="461"/>
      <c r="V48" s="461"/>
      <c r="W48" s="461"/>
      <c r="X48" s="461"/>
      <c r="Y48" s="461"/>
      <c r="Z48" s="461"/>
      <c r="AA48" s="461"/>
      <c r="AB48" s="461"/>
      <c r="AC48" s="461"/>
    </row>
    <row r="49" spans="1:29" s="574" customFormat="1" ht="12" customHeight="1">
      <c r="A49" s="544"/>
      <c r="B49" s="568">
        <v>45586</v>
      </c>
      <c r="C49" s="916" t="s">
        <v>250</v>
      </c>
      <c r="D49" s="921"/>
      <c r="E49" s="917">
        <v>30</v>
      </c>
      <c r="F49" s="569" t="s">
        <v>107</v>
      </c>
      <c r="G49" s="569"/>
      <c r="H49" s="569"/>
      <c r="I49" s="569"/>
      <c r="J49" s="569"/>
      <c r="K49" s="918">
        <v>3.6</v>
      </c>
      <c r="L49" s="542">
        <v>7.0625</v>
      </c>
      <c r="M49" s="909">
        <f t="shared" si="8"/>
        <v>0.50973451327433628</v>
      </c>
      <c r="N49" s="928" t="e">
        <f t="shared" si="5"/>
        <v>#REF!</v>
      </c>
      <c r="O49" s="928" t="e">
        <f t="shared" si="6"/>
        <v>#REF!</v>
      </c>
      <c r="P49" s="911" t="s">
        <v>1357</v>
      </c>
      <c r="Q49" s="641"/>
      <c r="R49" s="641"/>
      <c r="S49" s="883" t="e">
        <f t="shared" si="9"/>
        <v>#REF!</v>
      </c>
      <c r="T49" s="461"/>
      <c r="V49" s="461"/>
      <c r="W49" s="461"/>
      <c r="X49" s="461"/>
      <c r="Y49" s="461"/>
      <c r="Z49" s="461"/>
      <c r="AA49" s="461"/>
      <c r="AB49" s="461"/>
      <c r="AC49" s="461"/>
    </row>
    <row r="50" spans="1:29" s="574" customFormat="1" ht="12" customHeight="1">
      <c r="A50" s="544"/>
      <c r="B50" s="568">
        <v>45586</v>
      </c>
      <c r="C50" s="916" t="s">
        <v>842</v>
      </c>
      <c r="D50" s="921"/>
      <c r="E50" s="917">
        <v>31</v>
      </c>
      <c r="F50" s="569" t="s">
        <v>107</v>
      </c>
      <c r="G50" s="569"/>
      <c r="H50" s="569"/>
      <c r="I50" s="569"/>
      <c r="J50" s="569"/>
      <c r="K50" s="918">
        <v>16303</v>
      </c>
      <c r="L50" s="542">
        <v>7.0625</v>
      </c>
      <c r="M50" s="909">
        <f t="shared" si="8"/>
        <v>2308.3893805309735</v>
      </c>
      <c r="N50" s="928" t="e">
        <f t="shared" si="5"/>
        <v>#REF!</v>
      </c>
      <c r="O50" s="928" t="e">
        <f t="shared" si="6"/>
        <v>#REF!</v>
      </c>
      <c r="P50" s="911" t="s">
        <v>1357</v>
      </c>
      <c r="Q50" s="641"/>
      <c r="R50" s="641"/>
      <c r="S50" s="883" t="e">
        <f t="shared" si="9"/>
        <v>#REF!</v>
      </c>
      <c r="T50" s="461"/>
      <c r="V50" s="461"/>
      <c r="W50" s="461"/>
      <c r="X50" s="461"/>
      <c r="Y50" s="461"/>
      <c r="Z50" s="461"/>
      <c r="AA50" s="461"/>
      <c r="AB50" s="461"/>
      <c r="AC50" s="461"/>
    </row>
    <row r="51" spans="1:29" s="574" customFormat="1" ht="12" customHeight="1">
      <c r="A51" s="544"/>
      <c r="B51" s="568">
        <v>45586</v>
      </c>
      <c r="C51" s="916" t="s">
        <v>1324</v>
      </c>
      <c r="D51" s="921"/>
      <c r="E51" s="917">
        <v>32</v>
      </c>
      <c r="F51" s="569" t="s">
        <v>116</v>
      </c>
      <c r="G51" s="569" t="s">
        <v>140</v>
      </c>
      <c r="H51" s="569"/>
      <c r="I51" s="569"/>
      <c r="J51" s="569"/>
      <c r="K51" s="918">
        <v>418.2</v>
      </c>
      <c r="L51" s="542">
        <v>7.0625</v>
      </c>
      <c r="M51" s="909">
        <f t="shared" si="8"/>
        <v>59.214159292035397</v>
      </c>
      <c r="N51" s="928" t="e">
        <f t="shared" si="5"/>
        <v>#REF!</v>
      </c>
      <c r="O51" s="928" t="e">
        <f t="shared" si="6"/>
        <v>#REF!</v>
      </c>
      <c r="P51" s="911" t="s">
        <v>1357</v>
      </c>
      <c r="Q51" s="641"/>
      <c r="R51" s="641"/>
      <c r="S51" s="883" t="e">
        <f t="shared" si="9"/>
        <v>#REF!</v>
      </c>
      <c r="T51" s="461"/>
      <c r="V51" s="461"/>
      <c r="W51" s="461"/>
      <c r="X51" s="461"/>
      <c r="Y51" s="461"/>
      <c r="Z51" s="461"/>
      <c r="AA51" s="461"/>
      <c r="AB51" s="461"/>
      <c r="AC51" s="461"/>
    </row>
    <row r="52" spans="1:29" s="574" customFormat="1" ht="12" customHeight="1">
      <c r="A52" s="544"/>
      <c r="B52" s="568">
        <v>45586</v>
      </c>
      <c r="C52" s="916" t="s">
        <v>1356</v>
      </c>
      <c r="D52" s="921"/>
      <c r="E52" s="917">
        <v>33</v>
      </c>
      <c r="F52" s="569" t="s">
        <v>107</v>
      </c>
      <c r="G52" s="569"/>
      <c r="H52" s="569"/>
      <c r="I52" s="569"/>
      <c r="J52" s="569"/>
      <c r="K52" s="918">
        <v>157</v>
      </c>
      <c r="L52" s="542">
        <v>7.0625</v>
      </c>
      <c r="M52" s="909">
        <f t="shared" si="8"/>
        <v>22.23008849557522</v>
      </c>
      <c r="N52" s="928" t="e">
        <f t="shared" ref="N52:N83" si="10">N51+H52-K52</f>
        <v>#REF!</v>
      </c>
      <c r="O52" s="928" t="e">
        <f t="shared" ref="O52:O83" si="11">O51+J52-M52</f>
        <v>#REF!</v>
      </c>
      <c r="P52" s="911" t="s">
        <v>1357</v>
      </c>
      <c r="Q52" s="641"/>
      <c r="R52" s="641"/>
      <c r="S52" s="883" t="e">
        <f t="shared" si="9"/>
        <v>#REF!</v>
      </c>
      <c r="T52" s="461"/>
      <c r="V52" s="461"/>
      <c r="W52" s="461"/>
      <c r="X52" s="461"/>
      <c r="Y52" s="461"/>
      <c r="Z52" s="461"/>
      <c r="AA52" s="461"/>
      <c r="AB52" s="461"/>
      <c r="AC52" s="461"/>
    </row>
    <row r="53" spans="1:29" s="574" customFormat="1" ht="12" customHeight="1">
      <c r="A53" s="544"/>
      <c r="B53" s="568">
        <v>45586</v>
      </c>
      <c r="C53" s="916" t="s">
        <v>250</v>
      </c>
      <c r="D53" s="921"/>
      <c r="E53" s="917">
        <v>34</v>
      </c>
      <c r="F53" s="569" t="s">
        <v>107</v>
      </c>
      <c r="G53" s="569"/>
      <c r="H53" s="569"/>
      <c r="I53" s="569"/>
      <c r="J53" s="569"/>
      <c r="K53" s="918">
        <v>7.2</v>
      </c>
      <c r="L53" s="542">
        <v>7.0625</v>
      </c>
      <c r="M53" s="909">
        <f t="shared" si="8"/>
        <v>1.0194690265486726</v>
      </c>
      <c r="N53" s="928" t="e">
        <f t="shared" si="10"/>
        <v>#REF!</v>
      </c>
      <c r="O53" s="928" t="e">
        <f t="shared" si="11"/>
        <v>#REF!</v>
      </c>
      <c r="P53" s="911" t="s">
        <v>1357</v>
      </c>
      <c r="Q53" s="641"/>
      <c r="R53" s="641"/>
      <c r="S53" s="883" t="e">
        <f t="shared" si="9"/>
        <v>#REF!</v>
      </c>
      <c r="T53" s="461"/>
      <c r="V53" s="461"/>
      <c r="W53" s="461"/>
      <c r="X53" s="461"/>
      <c r="Y53" s="461"/>
      <c r="Z53" s="461"/>
      <c r="AA53" s="461"/>
      <c r="AB53" s="461"/>
      <c r="AC53" s="461"/>
    </row>
    <row r="54" spans="1:29" s="574" customFormat="1" ht="12" customHeight="1">
      <c r="A54" s="544"/>
      <c r="B54" s="568">
        <v>45586</v>
      </c>
      <c r="C54" s="916" t="s">
        <v>1248</v>
      </c>
      <c r="D54" s="921"/>
      <c r="E54" s="917">
        <v>35</v>
      </c>
      <c r="F54" s="569" t="s">
        <v>116</v>
      </c>
      <c r="G54" s="569" t="s">
        <v>140</v>
      </c>
      <c r="H54" s="569"/>
      <c r="I54" s="569"/>
      <c r="J54" s="569"/>
      <c r="K54" s="918">
        <v>299.68</v>
      </c>
      <c r="L54" s="542">
        <v>7.0625</v>
      </c>
      <c r="M54" s="909">
        <f t="shared" si="8"/>
        <v>42.432566371681418</v>
      </c>
      <c r="N54" s="928" t="e">
        <f t="shared" si="10"/>
        <v>#REF!</v>
      </c>
      <c r="O54" s="928" t="e">
        <f t="shared" si="11"/>
        <v>#REF!</v>
      </c>
      <c r="P54" s="911" t="s">
        <v>1357</v>
      </c>
      <c r="Q54" s="641"/>
      <c r="R54" s="641"/>
      <c r="S54" s="883" t="e">
        <f t="shared" si="9"/>
        <v>#REF!</v>
      </c>
      <c r="T54" s="461"/>
      <c r="V54" s="461"/>
      <c r="W54" s="461"/>
      <c r="X54" s="461"/>
      <c r="Y54" s="461"/>
      <c r="Z54" s="461"/>
      <c r="AA54" s="461"/>
      <c r="AB54" s="461"/>
      <c r="AC54" s="461"/>
    </row>
    <row r="55" spans="1:29" s="574" customFormat="1" ht="12" customHeight="1">
      <c r="A55" s="544"/>
      <c r="B55" s="568">
        <v>45586</v>
      </c>
      <c r="C55" s="916" t="s">
        <v>1292</v>
      </c>
      <c r="D55" s="921"/>
      <c r="E55" s="917">
        <v>36</v>
      </c>
      <c r="F55" s="569" t="s">
        <v>125</v>
      </c>
      <c r="G55" s="569" t="s">
        <v>145</v>
      </c>
      <c r="H55" s="569"/>
      <c r="I55" s="569"/>
      <c r="J55" s="569"/>
      <c r="K55" s="918">
        <v>3089.98</v>
      </c>
      <c r="L55" s="542">
        <v>7.0625</v>
      </c>
      <c r="M55" s="909">
        <f t="shared" si="8"/>
        <v>437.51929203539822</v>
      </c>
      <c r="N55" s="928" t="e">
        <f t="shared" si="10"/>
        <v>#REF!</v>
      </c>
      <c r="O55" s="928" t="e">
        <f t="shared" si="11"/>
        <v>#REF!</v>
      </c>
      <c r="P55" s="911" t="s">
        <v>1357</v>
      </c>
      <c r="Q55" s="641"/>
      <c r="R55" s="641"/>
      <c r="S55" s="883" t="e">
        <f t="shared" si="9"/>
        <v>#REF!</v>
      </c>
      <c r="T55" s="461"/>
      <c r="V55" s="461"/>
      <c r="W55" s="461"/>
      <c r="X55" s="461"/>
      <c r="Y55" s="461"/>
      <c r="Z55" s="461"/>
      <c r="AA55" s="461"/>
      <c r="AB55" s="461"/>
      <c r="AC55" s="461"/>
    </row>
    <row r="56" spans="1:29" s="574" customFormat="1" ht="12" customHeight="1">
      <c r="A56" s="544"/>
      <c r="B56" s="568">
        <v>45586</v>
      </c>
      <c r="C56" s="916" t="s">
        <v>1293</v>
      </c>
      <c r="D56" s="921"/>
      <c r="E56" s="917">
        <v>37</v>
      </c>
      <c r="F56" s="569" t="s">
        <v>146</v>
      </c>
      <c r="G56" s="569" t="s">
        <v>147</v>
      </c>
      <c r="H56" s="569"/>
      <c r="I56" s="569"/>
      <c r="J56" s="569"/>
      <c r="K56" s="918">
        <v>95.76</v>
      </c>
      <c r="L56" s="542">
        <v>7.0625</v>
      </c>
      <c r="M56" s="909">
        <f t="shared" si="8"/>
        <v>13.558938053097346</v>
      </c>
      <c r="N56" s="928" t="e">
        <f t="shared" si="10"/>
        <v>#REF!</v>
      </c>
      <c r="O56" s="928" t="e">
        <f t="shared" si="11"/>
        <v>#REF!</v>
      </c>
      <c r="P56" s="911" t="s">
        <v>1357</v>
      </c>
      <c r="Q56" s="641"/>
      <c r="R56" s="641"/>
      <c r="S56" s="883" t="e">
        <f t="shared" si="9"/>
        <v>#REF!</v>
      </c>
      <c r="T56" s="461"/>
      <c r="V56" s="461"/>
      <c r="W56" s="461"/>
      <c r="X56" s="461"/>
      <c r="Y56" s="461"/>
      <c r="Z56" s="461"/>
      <c r="AA56" s="461"/>
      <c r="AB56" s="461"/>
      <c r="AC56" s="461"/>
    </row>
    <row r="57" spans="1:29" s="574" customFormat="1" ht="12" customHeight="1">
      <c r="A57" s="544"/>
      <c r="B57" s="568">
        <v>45586</v>
      </c>
      <c r="C57" s="916" t="s">
        <v>1249</v>
      </c>
      <c r="D57" s="921"/>
      <c r="E57" s="917">
        <v>38</v>
      </c>
      <c r="F57" s="569" t="s">
        <v>107</v>
      </c>
      <c r="G57" s="569"/>
      <c r="H57" s="569"/>
      <c r="I57" s="569"/>
      <c r="J57" s="569"/>
      <c r="K57" s="918">
        <v>12</v>
      </c>
      <c r="L57" s="542">
        <v>7.0625</v>
      </c>
      <c r="M57" s="909">
        <f t="shared" si="8"/>
        <v>1.6991150442477876</v>
      </c>
      <c r="N57" s="928" t="e">
        <f t="shared" si="10"/>
        <v>#REF!</v>
      </c>
      <c r="O57" s="928" t="e">
        <f t="shared" si="11"/>
        <v>#REF!</v>
      </c>
      <c r="P57" s="911" t="s">
        <v>1357</v>
      </c>
      <c r="Q57" s="641"/>
      <c r="R57" s="641"/>
      <c r="S57" s="883" t="e">
        <f t="shared" si="9"/>
        <v>#REF!</v>
      </c>
      <c r="T57" s="461"/>
      <c r="V57" s="461"/>
      <c r="W57" s="461"/>
      <c r="X57" s="461"/>
      <c r="Y57" s="461"/>
      <c r="Z57" s="461"/>
      <c r="AA57" s="461"/>
      <c r="AB57" s="461"/>
      <c r="AC57" s="461"/>
    </row>
    <row r="58" spans="1:29" s="574" customFormat="1" ht="12" customHeight="1">
      <c r="A58" s="544"/>
      <c r="B58" s="568">
        <v>45586</v>
      </c>
      <c r="C58" s="916" t="s">
        <v>250</v>
      </c>
      <c r="D58" s="921"/>
      <c r="E58" s="917">
        <v>39</v>
      </c>
      <c r="F58" s="569" t="s">
        <v>107</v>
      </c>
      <c r="G58" s="569"/>
      <c r="H58" s="569"/>
      <c r="I58" s="569"/>
      <c r="J58" s="569"/>
      <c r="K58" s="918">
        <v>3.6</v>
      </c>
      <c r="L58" s="542">
        <v>7.0625</v>
      </c>
      <c r="M58" s="909">
        <f t="shared" ref="M58:M89" si="12">K58/L58</f>
        <v>0.50973451327433628</v>
      </c>
      <c r="N58" s="928" t="e">
        <f t="shared" si="10"/>
        <v>#REF!</v>
      </c>
      <c r="O58" s="928" t="e">
        <f t="shared" si="11"/>
        <v>#REF!</v>
      </c>
      <c r="P58" s="911" t="s">
        <v>1357</v>
      </c>
      <c r="Q58" s="641"/>
      <c r="R58" s="641"/>
      <c r="S58" s="883" t="e">
        <f t="shared" si="9"/>
        <v>#REF!</v>
      </c>
      <c r="T58" s="461"/>
      <c r="V58" s="461"/>
      <c r="W58" s="461"/>
      <c r="X58" s="461"/>
      <c r="Y58" s="461"/>
      <c r="Z58" s="461"/>
      <c r="AA58" s="461"/>
      <c r="AB58" s="461"/>
      <c r="AC58" s="461"/>
    </row>
    <row r="59" spans="1:29" s="574" customFormat="1" ht="12" customHeight="1">
      <c r="A59" s="544"/>
      <c r="B59" s="568">
        <v>45586</v>
      </c>
      <c r="C59" s="916" t="s">
        <v>837</v>
      </c>
      <c r="D59" s="921"/>
      <c r="E59" s="917">
        <v>40</v>
      </c>
      <c r="F59" s="569" t="s">
        <v>146</v>
      </c>
      <c r="G59" s="569" t="s">
        <v>147</v>
      </c>
      <c r="H59" s="569"/>
      <c r="I59" s="569"/>
      <c r="J59" s="569"/>
      <c r="K59" s="918">
        <v>112.03</v>
      </c>
      <c r="L59" s="542">
        <v>7.0625</v>
      </c>
      <c r="M59" s="909">
        <f t="shared" si="12"/>
        <v>15.862654867256637</v>
      </c>
      <c r="N59" s="928" t="e">
        <f t="shared" si="10"/>
        <v>#REF!</v>
      </c>
      <c r="O59" s="928" t="e">
        <f t="shared" si="11"/>
        <v>#REF!</v>
      </c>
      <c r="P59" s="911" t="s">
        <v>1357</v>
      </c>
      <c r="Q59" s="641"/>
      <c r="R59" s="641"/>
      <c r="S59" s="883" t="e">
        <f t="shared" si="9"/>
        <v>#REF!</v>
      </c>
      <c r="T59" s="461"/>
      <c r="V59" s="461"/>
      <c r="W59" s="461"/>
      <c r="X59" s="461"/>
      <c r="Y59" s="461"/>
      <c r="Z59" s="461"/>
      <c r="AA59" s="461"/>
      <c r="AB59" s="461"/>
      <c r="AC59" s="461"/>
    </row>
    <row r="60" spans="1:29" s="574" customFormat="1" ht="12" customHeight="1">
      <c r="A60" s="544"/>
      <c r="B60" s="568">
        <v>45586</v>
      </c>
      <c r="C60" s="916" t="s">
        <v>1327</v>
      </c>
      <c r="D60" s="921"/>
      <c r="E60" s="917">
        <v>41</v>
      </c>
      <c r="F60" s="569" t="s">
        <v>116</v>
      </c>
      <c r="G60" s="569" t="s">
        <v>140</v>
      </c>
      <c r="H60" s="569"/>
      <c r="I60" s="569"/>
      <c r="J60" s="569"/>
      <c r="K60" s="918">
        <v>400</v>
      </c>
      <c r="L60" s="542">
        <v>7.0625</v>
      </c>
      <c r="M60" s="909">
        <f t="shared" si="12"/>
        <v>56.637168141592923</v>
      </c>
      <c r="N60" s="928" t="e">
        <f t="shared" si="10"/>
        <v>#REF!</v>
      </c>
      <c r="O60" s="928" t="e">
        <f t="shared" si="11"/>
        <v>#REF!</v>
      </c>
      <c r="P60" s="911" t="s">
        <v>1357</v>
      </c>
      <c r="Q60" s="641"/>
      <c r="R60" s="641"/>
      <c r="S60" s="883" t="e">
        <f t="shared" si="9"/>
        <v>#REF!</v>
      </c>
      <c r="T60" s="461"/>
      <c r="V60" s="461"/>
      <c r="W60" s="461"/>
      <c r="X60" s="461"/>
      <c r="Y60" s="461"/>
      <c r="Z60" s="461"/>
      <c r="AA60" s="461"/>
      <c r="AB60" s="461"/>
      <c r="AC60" s="461"/>
    </row>
    <row r="61" spans="1:29" s="574" customFormat="1" ht="12" customHeight="1">
      <c r="A61" s="544"/>
      <c r="B61" s="568">
        <v>45586</v>
      </c>
      <c r="C61" s="916" t="s">
        <v>1328</v>
      </c>
      <c r="D61" s="921"/>
      <c r="E61" s="917">
        <v>42</v>
      </c>
      <c r="F61" s="569" t="s">
        <v>146</v>
      </c>
      <c r="G61" s="569" t="s">
        <v>147</v>
      </c>
      <c r="H61" s="569"/>
      <c r="I61" s="569"/>
      <c r="J61" s="569"/>
      <c r="K61" s="918">
        <v>12795.28</v>
      </c>
      <c r="L61" s="542">
        <v>7.0625</v>
      </c>
      <c r="M61" s="909">
        <f t="shared" si="12"/>
        <v>1811.7210619469026</v>
      </c>
      <c r="N61" s="928" t="e">
        <f t="shared" si="10"/>
        <v>#REF!</v>
      </c>
      <c r="O61" s="928" t="e">
        <f t="shared" si="11"/>
        <v>#REF!</v>
      </c>
      <c r="P61" s="911" t="s">
        <v>1357</v>
      </c>
      <c r="Q61" s="641"/>
      <c r="R61" s="641"/>
      <c r="S61" s="883" t="e">
        <f t="shared" si="9"/>
        <v>#REF!</v>
      </c>
      <c r="T61" s="461"/>
      <c r="V61" s="461"/>
      <c r="W61" s="461"/>
      <c r="X61" s="461"/>
      <c r="Y61" s="461"/>
      <c r="Z61" s="461"/>
      <c r="AA61" s="461"/>
      <c r="AB61" s="461"/>
      <c r="AC61" s="461"/>
    </row>
    <row r="62" spans="1:29" s="574" customFormat="1" ht="12" customHeight="1">
      <c r="A62" s="544"/>
      <c r="B62" s="568">
        <v>45586</v>
      </c>
      <c r="C62" s="916" t="s">
        <v>839</v>
      </c>
      <c r="D62" s="921"/>
      <c r="E62" s="917">
        <v>43</v>
      </c>
      <c r="F62" s="569" t="s">
        <v>125</v>
      </c>
      <c r="G62" s="569" t="s">
        <v>145</v>
      </c>
      <c r="H62" s="569"/>
      <c r="I62" s="569"/>
      <c r="J62" s="569"/>
      <c r="K62" s="918">
        <v>6516.32</v>
      </c>
      <c r="L62" s="542">
        <v>7.0625</v>
      </c>
      <c r="M62" s="909">
        <f t="shared" si="12"/>
        <v>922.66477876106194</v>
      </c>
      <c r="N62" s="928" t="e">
        <f t="shared" si="10"/>
        <v>#REF!</v>
      </c>
      <c r="O62" s="928" t="e">
        <f t="shared" si="11"/>
        <v>#REF!</v>
      </c>
      <c r="P62" s="911" t="s">
        <v>1357</v>
      </c>
      <c r="Q62" s="641"/>
      <c r="R62" s="641"/>
      <c r="S62" s="883" t="e">
        <f t="shared" si="9"/>
        <v>#REF!</v>
      </c>
      <c r="T62" s="461"/>
      <c r="V62" s="461"/>
      <c r="W62" s="461"/>
      <c r="X62" s="461"/>
      <c r="Y62" s="461"/>
      <c r="Z62" s="461"/>
      <c r="AA62" s="461"/>
      <c r="AB62" s="461"/>
      <c r="AC62" s="461"/>
    </row>
    <row r="63" spans="1:29" s="574" customFormat="1" ht="12" customHeight="1">
      <c r="A63" s="544"/>
      <c r="B63" s="568">
        <v>45586</v>
      </c>
      <c r="C63" s="916" t="s">
        <v>445</v>
      </c>
      <c r="D63" s="921"/>
      <c r="E63" s="917">
        <v>44</v>
      </c>
      <c r="F63" s="569" t="s">
        <v>107</v>
      </c>
      <c r="G63" s="569"/>
      <c r="H63" s="569"/>
      <c r="I63" s="569"/>
      <c r="J63" s="569"/>
      <c r="K63" s="918">
        <v>7.2</v>
      </c>
      <c r="L63" s="542">
        <v>7.0625</v>
      </c>
      <c r="M63" s="909">
        <f t="shared" si="12"/>
        <v>1.0194690265486726</v>
      </c>
      <c r="N63" s="928" t="e">
        <f t="shared" si="10"/>
        <v>#REF!</v>
      </c>
      <c r="O63" s="928" t="e">
        <f t="shared" si="11"/>
        <v>#REF!</v>
      </c>
      <c r="P63" s="911" t="s">
        <v>1357</v>
      </c>
      <c r="Q63" s="641"/>
      <c r="R63" s="641"/>
      <c r="S63" s="883" t="e">
        <f t="shared" si="9"/>
        <v>#REF!</v>
      </c>
      <c r="T63" s="461"/>
      <c r="V63" s="461"/>
      <c r="W63" s="461"/>
      <c r="X63" s="461"/>
      <c r="Y63" s="461"/>
      <c r="Z63" s="461"/>
      <c r="AA63" s="461"/>
      <c r="AB63" s="461"/>
      <c r="AC63" s="461"/>
    </row>
    <row r="64" spans="1:29" s="574" customFormat="1" ht="12" customHeight="1">
      <c r="A64" s="544"/>
      <c r="B64" s="568">
        <v>45586</v>
      </c>
      <c r="C64" s="916" t="s">
        <v>305</v>
      </c>
      <c r="D64" s="921"/>
      <c r="E64" s="917">
        <v>45</v>
      </c>
      <c r="F64" s="569" t="s">
        <v>105</v>
      </c>
      <c r="G64" s="569" t="s">
        <v>227</v>
      </c>
      <c r="H64" s="569"/>
      <c r="I64" s="569"/>
      <c r="J64" s="569"/>
      <c r="K64" s="918">
        <v>10500</v>
      </c>
      <c r="L64" s="542">
        <v>7.0625</v>
      </c>
      <c r="M64" s="909">
        <f t="shared" si="12"/>
        <v>1486.7256637168141</v>
      </c>
      <c r="N64" s="928" t="e">
        <f t="shared" si="10"/>
        <v>#REF!</v>
      </c>
      <c r="O64" s="928" t="e">
        <f t="shared" si="11"/>
        <v>#REF!</v>
      </c>
      <c r="P64" s="911" t="s">
        <v>1357</v>
      </c>
      <c r="Q64" s="641"/>
      <c r="R64" s="641"/>
      <c r="S64" s="883" t="e">
        <f t="shared" si="9"/>
        <v>#REF!</v>
      </c>
      <c r="T64" s="461"/>
      <c r="V64" s="461"/>
      <c r="W64" s="461"/>
      <c r="X64" s="461"/>
      <c r="Y64" s="461"/>
      <c r="Z64" s="461"/>
      <c r="AA64" s="461"/>
      <c r="AB64" s="461"/>
      <c r="AC64" s="461"/>
    </row>
    <row r="65" spans="1:29" s="574" customFormat="1" ht="12" customHeight="1">
      <c r="A65" s="544"/>
      <c r="B65" s="568">
        <v>45586</v>
      </c>
      <c r="C65" s="916" t="s">
        <v>1107</v>
      </c>
      <c r="D65" s="921"/>
      <c r="E65" s="917">
        <v>45</v>
      </c>
      <c r="F65" s="569" t="s">
        <v>107</v>
      </c>
      <c r="G65" s="569"/>
      <c r="H65" s="569"/>
      <c r="I65" s="569"/>
      <c r="J65" s="569"/>
      <c r="K65" s="918">
        <v>6000</v>
      </c>
      <c r="L65" s="542">
        <v>7.0625</v>
      </c>
      <c r="M65" s="909">
        <f t="shared" si="12"/>
        <v>849.55752212389382</v>
      </c>
      <c r="N65" s="928" t="e">
        <f t="shared" si="10"/>
        <v>#REF!</v>
      </c>
      <c r="O65" s="928" t="e">
        <f t="shared" si="11"/>
        <v>#REF!</v>
      </c>
      <c r="P65" s="911" t="s">
        <v>1357</v>
      </c>
      <c r="Q65" s="641"/>
      <c r="R65" s="641"/>
      <c r="S65" s="883" t="e">
        <f t="shared" si="9"/>
        <v>#REF!</v>
      </c>
      <c r="T65" s="461"/>
      <c r="V65" s="461"/>
      <c r="W65" s="461"/>
      <c r="X65" s="461"/>
      <c r="Y65" s="461"/>
      <c r="Z65" s="461"/>
      <c r="AA65" s="461"/>
      <c r="AB65" s="461"/>
      <c r="AC65" s="461"/>
    </row>
    <row r="66" spans="1:29" s="574" customFormat="1" ht="12" customHeight="1">
      <c r="A66" s="544"/>
      <c r="B66" s="568">
        <v>45586</v>
      </c>
      <c r="C66" s="916" t="s">
        <v>1108</v>
      </c>
      <c r="D66" s="921"/>
      <c r="E66" s="917">
        <v>45</v>
      </c>
      <c r="F66" s="569" t="s">
        <v>107</v>
      </c>
      <c r="G66" s="569"/>
      <c r="H66" s="569"/>
      <c r="I66" s="569"/>
      <c r="J66" s="569"/>
      <c r="K66" s="918">
        <v>490</v>
      </c>
      <c r="L66" s="542">
        <v>7.0625</v>
      </c>
      <c r="M66" s="909">
        <f t="shared" si="12"/>
        <v>69.380530973451329</v>
      </c>
      <c r="N66" s="928" t="e">
        <f t="shared" si="10"/>
        <v>#REF!</v>
      </c>
      <c r="O66" s="928" t="e">
        <f t="shared" si="11"/>
        <v>#REF!</v>
      </c>
      <c r="P66" s="911" t="s">
        <v>1357</v>
      </c>
      <c r="Q66" s="641"/>
      <c r="R66" s="641"/>
      <c r="S66" s="883" t="e">
        <f t="shared" si="9"/>
        <v>#REF!</v>
      </c>
      <c r="T66" s="461"/>
      <c r="V66" s="461"/>
      <c r="W66" s="461"/>
      <c r="X66" s="461"/>
      <c r="Y66" s="461"/>
      <c r="Z66" s="461"/>
      <c r="AA66" s="461"/>
      <c r="AB66" s="461"/>
      <c r="AC66" s="461"/>
    </row>
    <row r="67" spans="1:29" s="574" customFormat="1" ht="12" customHeight="1">
      <c r="A67" s="544"/>
      <c r="B67" s="568">
        <v>45586</v>
      </c>
      <c r="C67" s="916" t="s">
        <v>305</v>
      </c>
      <c r="D67" s="921"/>
      <c r="E67" s="917">
        <v>45</v>
      </c>
      <c r="F67" s="569" t="s">
        <v>105</v>
      </c>
      <c r="G67" s="569" t="s">
        <v>227</v>
      </c>
      <c r="H67" s="569"/>
      <c r="I67" s="569"/>
      <c r="J67" s="569"/>
      <c r="K67" s="918">
        <v>7000</v>
      </c>
      <c r="L67" s="542">
        <v>7.0625</v>
      </c>
      <c r="M67" s="909">
        <f t="shared" si="12"/>
        <v>991.15044247787614</v>
      </c>
      <c r="N67" s="928" t="e">
        <f t="shared" si="10"/>
        <v>#REF!</v>
      </c>
      <c r="O67" s="928" t="e">
        <f t="shared" si="11"/>
        <v>#REF!</v>
      </c>
      <c r="P67" s="911" t="s">
        <v>1357</v>
      </c>
      <c r="Q67" s="641"/>
      <c r="R67" s="641"/>
      <c r="S67" s="883" t="e">
        <f t="shared" si="9"/>
        <v>#REF!</v>
      </c>
      <c r="T67" s="461"/>
      <c r="V67" s="461"/>
      <c r="W67" s="461"/>
      <c r="X67" s="461"/>
      <c r="Y67" s="461"/>
      <c r="Z67" s="461"/>
      <c r="AA67" s="461"/>
      <c r="AB67" s="461"/>
      <c r="AC67" s="461"/>
    </row>
    <row r="68" spans="1:29" s="574" customFormat="1" ht="12" customHeight="1">
      <c r="A68" s="544"/>
      <c r="B68" s="568">
        <v>45586</v>
      </c>
      <c r="C68" s="916" t="s">
        <v>1107</v>
      </c>
      <c r="D68" s="921"/>
      <c r="E68" s="917">
        <v>45</v>
      </c>
      <c r="F68" s="569" t="s">
        <v>107</v>
      </c>
      <c r="G68" s="569"/>
      <c r="H68" s="569"/>
      <c r="I68" s="569"/>
      <c r="J68" s="569"/>
      <c r="K68" s="918">
        <v>6000</v>
      </c>
      <c r="L68" s="542">
        <v>7.0625</v>
      </c>
      <c r="M68" s="909">
        <f t="shared" si="12"/>
        <v>849.55752212389382</v>
      </c>
      <c r="N68" s="928" t="e">
        <f t="shared" si="10"/>
        <v>#REF!</v>
      </c>
      <c r="O68" s="928" t="e">
        <f t="shared" si="11"/>
        <v>#REF!</v>
      </c>
      <c r="P68" s="911" t="s">
        <v>1357</v>
      </c>
      <c r="Q68" s="641"/>
      <c r="R68" s="641"/>
      <c r="S68" s="883" t="e">
        <f t="shared" si="9"/>
        <v>#REF!</v>
      </c>
      <c r="T68" s="461"/>
      <c r="V68" s="461"/>
      <c r="W68" s="461"/>
      <c r="X68" s="461"/>
      <c r="Y68" s="461"/>
      <c r="Z68" s="461"/>
      <c r="AA68" s="461"/>
      <c r="AB68" s="461"/>
      <c r="AC68" s="461"/>
    </row>
    <row r="69" spans="1:29" s="574" customFormat="1" ht="12" customHeight="1">
      <c r="A69" s="544"/>
      <c r="B69" s="568">
        <v>45586</v>
      </c>
      <c r="C69" s="916" t="s">
        <v>1108</v>
      </c>
      <c r="D69" s="921"/>
      <c r="E69" s="917">
        <v>45</v>
      </c>
      <c r="F69" s="569" t="s">
        <v>107</v>
      </c>
      <c r="G69" s="569"/>
      <c r="H69" s="569"/>
      <c r="I69" s="569"/>
      <c r="J69" s="569"/>
      <c r="K69" s="918">
        <v>170</v>
      </c>
      <c r="L69" s="542">
        <v>7.0625</v>
      </c>
      <c r="M69" s="909">
        <f t="shared" si="12"/>
        <v>24.070796460176989</v>
      </c>
      <c r="N69" s="928" t="e">
        <f t="shared" si="10"/>
        <v>#REF!</v>
      </c>
      <c r="O69" s="928" t="e">
        <f t="shared" si="11"/>
        <v>#REF!</v>
      </c>
      <c r="P69" s="911" t="s">
        <v>1357</v>
      </c>
      <c r="Q69" s="641"/>
      <c r="R69" s="641"/>
      <c r="S69" s="883" t="e">
        <f t="shared" si="9"/>
        <v>#REF!</v>
      </c>
      <c r="T69" s="461"/>
      <c r="V69" s="461"/>
      <c r="W69" s="461"/>
      <c r="X69" s="461"/>
      <c r="Y69" s="461"/>
      <c r="Z69" s="461"/>
      <c r="AA69" s="461"/>
      <c r="AB69" s="461"/>
      <c r="AC69" s="461"/>
    </row>
    <row r="70" spans="1:29" s="574" customFormat="1" ht="12" customHeight="1">
      <c r="A70" s="544"/>
      <c r="B70" s="568">
        <v>45586</v>
      </c>
      <c r="C70" s="916" t="s">
        <v>445</v>
      </c>
      <c r="D70" s="921"/>
      <c r="E70" s="917">
        <v>46</v>
      </c>
      <c r="F70" s="569" t="s">
        <v>107</v>
      </c>
      <c r="G70" s="569"/>
      <c r="H70" s="569"/>
      <c r="I70" s="569"/>
      <c r="J70" s="569"/>
      <c r="K70" s="918">
        <v>7.2</v>
      </c>
      <c r="L70" s="542">
        <v>7.0625</v>
      </c>
      <c r="M70" s="909">
        <f t="shared" si="12"/>
        <v>1.0194690265486726</v>
      </c>
      <c r="N70" s="928" t="e">
        <f t="shared" si="10"/>
        <v>#REF!</v>
      </c>
      <c r="O70" s="928" t="e">
        <f t="shared" si="11"/>
        <v>#REF!</v>
      </c>
      <c r="P70" s="911" t="s">
        <v>1357</v>
      </c>
      <c r="Q70" s="641"/>
      <c r="R70" s="641"/>
      <c r="S70" s="883" t="e">
        <f t="shared" si="9"/>
        <v>#REF!</v>
      </c>
      <c r="T70" s="461"/>
      <c r="V70" s="461"/>
      <c r="W70" s="461"/>
      <c r="X70" s="461"/>
      <c r="Y70" s="461"/>
      <c r="Z70" s="461"/>
      <c r="AA70" s="461"/>
      <c r="AB70" s="461"/>
      <c r="AC70" s="461"/>
    </row>
    <row r="71" spans="1:29" s="574" customFormat="1" ht="12" customHeight="1">
      <c r="A71" s="544"/>
      <c r="B71" s="568">
        <v>45588</v>
      </c>
      <c r="C71" s="916" t="s">
        <v>885</v>
      </c>
      <c r="D71" s="921"/>
      <c r="E71" s="917">
        <v>47</v>
      </c>
      <c r="F71" s="569" t="s">
        <v>107</v>
      </c>
      <c r="G71" s="569"/>
      <c r="H71" s="569"/>
      <c r="I71" s="569"/>
      <c r="J71" s="569"/>
      <c r="K71" s="918">
        <v>16000</v>
      </c>
      <c r="L71" s="542">
        <v>7.0625</v>
      </c>
      <c r="M71" s="909">
        <f t="shared" si="12"/>
        <v>2265.4867256637167</v>
      </c>
      <c r="N71" s="928" t="e">
        <f t="shared" si="10"/>
        <v>#REF!</v>
      </c>
      <c r="O71" s="928" t="e">
        <f t="shared" si="11"/>
        <v>#REF!</v>
      </c>
      <c r="P71" s="911" t="s">
        <v>1357</v>
      </c>
      <c r="Q71" s="641"/>
      <c r="R71" s="641"/>
      <c r="S71" s="883" t="e">
        <f t="shared" si="9"/>
        <v>#REF!</v>
      </c>
      <c r="T71" s="461"/>
      <c r="V71" s="461"/>
      <c r="W71" s="461"/>
      <c r="X71" s="461"/>
      <c r="Y71" s="461"/>
      <c r="Z71" s="461"/>
      <c r="AA71" s="461"/>
      <c r="AB71" s="461"/>
      <c r="AC71" s="461"/>
    </row>
    <row r="72" spans="1:29" s="574" customFormat="1" ht="12" customHeight="1">
      <c r="A72" s="544"/>
      <c r="B72" s="568">
        <v>45588</v>
      </c>
      <c r="C72" s="916" t="s">
        <v>938</v>
      </c>
      <c r="D72" s="921"/>
      <c r="E72" s="917">
        <v>47</v>
      </c>
      <c r="F72" s="569" t="s">
        <v>107</v>
      </c>
      <c r="G72" s="569"/>
      <c r="H72" s="569"/>
      <c r="I72" s="569"/>
      <c r="J72" s="569"/>
      <c r="K72" s="918">
        <v>24000</v>
      </c>
      <c r="L72" s="542">
        <v>7.0625</v>
      </c>
      <c r="M72" s="909">
        <f t="shared" si="12"/>
        <v>3398.2300884955753</v>
      </c>
      <c r="N72" s="928" t="e">
        <f t="shared" si="10"/>
        <v>#REF!</v>
      </c>
      <c r="O72" s="928" t="e">
        <f t="shared" si="11"/>
        <v>#REF!</v>
      </c>
      <c r="P72" s="911" t="s">
        <v>1357</v>
      </c>
      <c r="Q72" s="641"/>
      <c r="R72" s="641"/>
      <c r="S72" s="883" t="e">
        <f t="shared" si="9"/>
        <v>#REF!</v>
      </c>
      <c r="T72" s="461"/>
      <c r="V72" s="461"/>
      <c r="W72" s="461"/>
      <c r="X72" s="461"/>
      <c r="Y72" s="461"/>
      <c r="Z72" s="461"/>
      <c r="AA72" s="461"/>
      <c r="AB72" s="461"/>
      <c r="AC72" s="461"/>
    </row>
    <row r="73" spans="1:29" s="574" customFormat="1" ht="12" customHeight="1">
      <c r="A73" s="544"/>
      <c r="B73" s="568">
        <v>45588</v>
      </c>
      <c r="C73" s="916" t="s">
        <v>887</v>
      </c>
      <c r="D73" s="921"/>
      <c r="E73" s="917">
        <v>47</v>
      </c>
      <c r="F73" s="569" t="s">
        <v>107</v>
      </c>
      <c r="G73" s="569"/>
      <c r="H73" s="569"/>
      <c r="I73" s="569"/>
      <c r="J73" s="569"/>
      <c r="K73" s="918">
        <v>5145.1900000000005</v>
      </c>
      <c r="L73" s="542">
        <v>7.0625</v>
      </c>
      <c r="M73" s="909">
        <f t="shared" si="12"/>
        <v>728.52247787610622</v>
      </c>
      <c r="N73" s="928" t="e">
        <f t="shared" si="10"/>
        <v>#REF!</v>
      </c>
      <c r="O73" s="928" t="e">
        <f t="shared" si="11"/>
        <v>#REF!</v>
      </c>
      <c r="P73" s="911" t="s">
        <v>1357</v>
      </c>
      <c r="Q73" s="641"/>
      <c r="R73" s="641"/>
      <c r="S73" s="883" t="e">
        <f t="shared" si="9"/>
        <v>#REF!</v>
      </c>
      <c r="T73" s="461"/>
      <c r="V73" s="461"/>
      <c r="W73" s="461"/>
      <c r="X73" s="461"/>
      <c r="Y73" s="461"/>
      <c r="Z73" s="461"/>
      <c r="AA73" s="461"/>
      <c r="AB73" s="461"/>
      <c r="AC73" s="461"/>
    </row>
    <row r="74" spans="1:29" s="574" customFormat="1" ht="12" customHeight="1">
      <c r="A74" s="544"/>
      <c r="B74" s="568">
        <v>45588</v>
      </c>
      <c r="C74" s="916" t="s">
        <v>888</v>
      </c>
      <c r="D74" s="921"/>
      <c r="E74" s="917">
        <v>47</v>
      </c>
      <c r="F74" s="569" t="s">
        <v>107</v>
      </c>
      <c r="G74" s="569"/>
      <c r="H74" s="569"/>
      <c r="I74" s="569"/>
      <c r="J74" s="569"/>
      <c r="K74" s="918">
        <v>8342</v>
      </c>
      <c r="L74" s="542">
        <v>7.0625</v>
      </c>
      <c r="M74" s="909">
        <f t="shared" si="12"/>
        <v>1181.1681415929204</v>
      </c>
      <c r="N74" s="928" t="e">
        <f t="shared" si="10"/>
        <v>#REF!</v>
      </c>
      <c r="O74" s="928" t="e">
        <f t="shared" si="11"/>
        <v>#REF!</v>
      </c>
      <c r="P74" s="911" t="s">
        <v>1357</v>
      </c>
      <c r="Q74" s="641"/>
      <c r="R74" s="641"/>
      <c r="S74" s="883" t="e">
        <f t="shared" si="9"/>
        <v>#REF!</v>
      </c>
      <c r="T74" s="461"/>
      <c r="V74" s="461"/>
      <c r="W74" s="461"/>
      <c r="X74" s="461"/>
      <c r="Y74" s="461"/>
      <c r="Z74" s="461"/>
      <c r="AA74" s="461"/>
      <c r="AB74" s="461"/>
      <c r="AC74" s="461"/>
    </row>
    <row r="75" spans="1:29" s="574" customFormat="1" ht="12" customHeight="1">
      <c r="A75" s="544"/>
      <c r="B75" s="568">
        <v>45588</v>
      </c>
      <c r="C75" s="916" t="s">
        <v>892</v>
      </c>
      <c r="D75" s="921"/>
      <c r="E75" s="917">
        <v>47</v>
      </c>
      <c r="F75" s="569" t="s">
        <v>107</v>
      </c>
      <c r="G75" s="569"/>
      <c r="H75" s="569"/>
      <c r="I75" s="569"/>
      <c r="J75" s="569"/>
      <c r="K75" s="918">
        <v>300</v>
      </c>
      <c r="L75" s="542">
        <v>7.0625</v>
      </c>
      <c r="M75" s="909">
        <f t="shared" si="12"/>
        <v>42.477876106194692</v>
      </c>
      <c r="N75" s="928" t="e">
        <f t="shared" si="10"/>
        <v>#REF!</v>
      </c>
      <c r="O75" s="928" t="e">
        <f t="shared" si="11"/>
        <v>#REF!</v>
      </c>
      <c r="P75" s="911" t="s">
        <v>1357</v>
      </c>
      <c r="Q75" s="641"/>
      <c r="R75" s="641"/>
      <c r="S75" s="883" t="e">
        <f t="shared" si="9"/>
        <v>#REF!</v>
      </c>
      <c r="T75" s="461"/>
      <c r="V75" s="461"/>
      <c r="W75" s="461"/>
      <c r="X75" s="461"/>
      <c r="Y75" s="461"/>
      <c r="Z75" s="461"/>
      <c r="AA75" s="461"/>
      <c r="AB75" s="461"/>
      <c r="AC75" s="461"/>
    </row>
    <row r="76" spans="1:29" s="574" customFormat="1" ht="12" customHeight="1">
      <c r="A76" s="544"/>
      <c r="B76" s="568">
        <v>45588</v>
      </c>
      <c r="C76" s="916" t="s">
        <v>885</v>
      </c>
      <c r="D76" s="921"/>
      <c r="E76" s="917">
        <v>47</v>
      </c>
      <c r="F76" s="569" t="s">
        <v>107</v>
      </c>
      <c r="G76" s="569"/>
      <c r="H76" s="569"/>
      <c r="I76" s="569"/>
      <c r="J76" s="569"/>
      <c r="K76" s="918">
        <v>15000</v>
      </c>
      <c r="L76" s="542">
        <v>7.0625</v>
      </c>
      <c r="M76" s="909">
        <f t="shared" si="12"/>
        <v>2123.8938053097345</v>
      </c>
      <c r="N76" s="928" t="e">
        <f t="shared" si="10"/>
        <v>#REF!</v>
      </c>
      <c r="O76" s="928" t="e">
        <f t="shared" si="11"/>
        <v>#REF!</v>
      </c>
      <c r="P76" s="911" t="s">
        <v>1357</v>
      </c>
      <c r="Q76" s="641"/>
      <c r="R76" s="641"/>
      <c r="S76" s="883" t="e">
        <f t="shared" si="9"/>
        <v>#REF!</v>
      </c>
      <c r="T76" s="461"/>
      <c r="V76" s="461"/>
      <c r="W76" s="461"/>
      <c r="X76" s="461"/>
      <c r="Y76" s="461"/>
      <c r="Z76" s="461"/>
      <c r="AA76" s="461"/>
      <c r="AB76" s="461"/>
      <c r="AC76" s="461"/>
    </row>
    <row r="77" spans="1:29" s="574" customFormat="1" ht="12" customHeight="1">
      <c r="A77" s="544"/>
      <c r="B77" s="568">
        <v>45588</v>
      </c>
      <c r="C77" s="916" t="s">
        <v>938</v>
      </c>
      <c r="D77" s="921"/>
      <c r="E77" s="917">
        <v>47</v>
      </c>
      <c r="F77" s="569" t="s">
        <v>107</v>
      </c>
      <c r="G77" s="569"/>
      <c r="H77" s="569"/>
      <c r="I77" s="569"/>
      <c r="J77" s="569"/>
      <c r="K77" s="918">
        <v>22000</v>
      </c>
      <c r="L77" s="542">
        <v>7.0625</v>
      </c>
      <c r="M77" s="909">
        <f t="shared" si="12"/>
        <v>3115.0442477876104</v>
      </c>
      <c r="N77" s="928" t="e">
        <f t="shared" si="10"/>
        <v>#REF!</v>
      </c>
      <c r="O77" s="928" t="e">
        <f t="shared" si="11"/>
        <v>#REF!</v>
      </c>
      <c r="P77" s="911" t="s">
        <v>1357</v>
      </c>
      <c r="Q77" s="641"/>
      <c r="R77" s="641"/>
      <c r="S77" s="883" t="e">
        <f t="shared" si="9"/>
        <v>#REF!</v>
      </c>
      <c r="T77" s="461"/>
      <c r="V77" s="461"/>
      <c r="W77" s="461"/>
      <c r="X77" s="461"/>
      <c r="Y77" s="461"/>
      <c r="Z77" s="461"/>
      <c r="AA77" s="461"/>
      <c r="AB77" s="461"/>
      <c r="AC77" s="461"/>
    </row>
    <row r="78" spans="1:29" s="574" customFormat="1" ht="12" customHeight="1">
      <c r="A78" s="544"/>
      <c r="B78" s="568">
        <v>45588</v>
      </c>
      <c r="C78" s="916" t="s">
        <v>887</v>
      </c>
      <c r="D78" s="921"/>
      <c r="E78" s="917">
        <v>47</v>
      </c>
      <c r="F78" s="569" t="s">
        <v>107</v>
      </c>
      <c r="G78" s="569"/>
      <c r="H78" s="569"/>
      <c r="I78" s="569"/>
      <c r="J78" s="569"/>
      <c r="K78" s="918">
        <v>8576.1899999999987</v>
      </c>
      <c r="L78" s="542">
        <v>7.0625</v>
      </c>
      <c r="M78" s="909">
        <f t="shared" si="12"/>
        <v>1214.3277876106192</v>
      </c>
      <c r="N78" s="928" t="e">
        <f t="shared" si="10"/>
        <v>#REF!</v>
      </c>
      <c r="O78" s="928" t="e">
        <f t="shared" si="11"/>
        <v>#REF!</v>
      </c>
      <c r="P78" s="911" t="s">
        <v>1357</v>
      </c>
      <c r="Q78" s="641"/>
      <c r="R78" s="641"/>
      <c r="S78" s="883" t="e">
        <f t="shared" si="9"/>
        <v>#REF!</v>
      </c>
      <c r="T78" s="461"/>
      <c r="V78" s="461"/>
      <c r="W78" s="461"/>
      <c r="X78" s="461"/>
      <c r="Y78" s="461"/>
      <c r="Z78" s="461"/>
      <c r="AA78" s="461"/>
      <c r="AB78" s="461"/>
      <c r="AC78" s="461"/>
    </row>
    <row r="79" spans="1:29" s="574" customFormat="1" ht="12" customHeight="1">
      <c r="A79" s="544"/>
      <c r="B79" s="568">
        <v>45588</v>
      </c>
      <c r="C79" s="916" t="s">
        <v>888</v>
      </c>
      <c r="D79" s="921"/>
      <c r="E79" s="917">
        <v>47</v>
      </c>
      <c r="F79" s="569" t="s">
        <v>107</v>
      </c>
      <c r="G79" s="569"/>
      <c r="H79" s="569"/>
      <c r="I79" s="569"/>
      <c r="J79" s="569"/>
      <c r="K79" s="918">
        <v>5734</v>
      </c>
      <c r="L79" s="542">
        <v>7.0625</v>
      </c>
      <c r="M79" s="909">
        <f t="shared" si="12"/>
        <v>811.89380530973449</v>
      </c>
      <c r="N79" s="928" t="e">
        <f t="shared" si="10"/>
        <v>#REF!</v>
      </c>
      <c r="O79" s="928" t="e">
        <f t="shared" si="11"/>
        <v>#REF!</v>
      </c>
      <c r="P79" s="911" t="s">
        <v>1357</v>
      </c>
      <c r="Q79" s="641"/>
      <c r="R79" s="641"/>
      <c r="S79" s="883" t="e">
        <f t="shared" si="9"/>
        <v>#REF!</v>
      </c>
      <c r="T79" s="461"/>
      <c r="V79" s="461"/>
      <c r="W79" s="461"/>
      <c r="X79" s="461"/>
      <c r="Y79" s="461"/>
      <c r="Z79" s="461"/>
      <c r="AA79" s="461"/>
      <c r="AB79" s="461"/>
      <c r="AC79" s="461"/>
    </row>
    <row r="80" spans="1:29" s="574" customFormat="1" ht="12" customHeight="1">
      <c r="A80" s="544"/>
      <c r="B80" s="568">
        <v>45588</v>
      </c>
      <c r="C80" s="916" t="s">
        <v>892</v>
      </c>
      <c r="D80" s="921"/>
      <c r="E80" s="917">
        <v>47</v>
      </c>
      <c r="F80" s="569" t="s">
        <v>107</v>
      </c>
      <c r="G80" s="569"/>
      <c r="H80" s="569"/>
      <c r="I80" s="569"/>
      <c r="J80" s="569"/>
      <c r="K80" s="918">
        <v>300</v>
      </c>
      <c r="L80" s="542">
        <v>7.0625</v>
      </c>
      <c r="M80" s="909">
        <f t="shared" si="12"/>
        <v>42.477876106194692</v>
      </c>
      <c r="N80" s="928" t="e">
        <f t="shared" si="10"/>
        <v>#REF!</v>
      </c>
      <c r="O80" s="928" t="e">
        <f t="shared" si="11"/>
        <v>#REF!</v>
      </c>
      <c r="P80" s="911" t="s">
        <v>1357</v>
      </c>
      <c r="Q80" s="641"/>
      <c r="R80" s="641"/>
      <c r="S80" s="883" t="e">
        <f t="shared" si="9"/>
        <v>#REF!</v>
      </c>
      <c r="T80" s="461"/>
      <c r="V80" s="461"/>
      <c r="W80" s="461"/>
      <c r="X80" s="461"/>
      <c r="Y80" s="461"/>
      <c r="Z80" s="461"/>
      <c r="AA80" s="461"/>
      <c r="AB80" s="461"/>
      <c r="AC80" s="461"/>
    </row>
    <row r="81" spans="1:29" s="574" customFormat="1" ht="12" customHeight="1">
      <c r="A81" s="544"/>
      <c r="B81" s="568">
        <v>45588</v>
      </c>
      <c r="C81" s="916" t="s">
        <v>891</v>
      </c>
      <c r="D81" s="921"/>
      <c r="E81" s="917">
        <v>47</v>
      </c>
      <c r="F81" s="569" t="s">
        <v>107</v>
      </c>
      <c r="G81" s="569"/>
      <c r="H81" s="569"/>
      <c r="I81" s="569"/>
      <c r="J81" s="569"/>
      <c r="K81" s="918">
        <v>25750</v>
      </c>
      <c r="L81" s="542">
        <v>7.0625</v>
      </c>
      <c r="M81" s="909">
        <f t="shared" si="12"/>
        <v>3646.0176991150443</v>
      </c>
      <c r="N81" s="928" t="e">
        <f t="shared" si="10"/>
        <v>#REF!</v>
      </c>
      <c r="O81" s="928" t="e">
        <f t="shared" si="11"/>
        <v>#REF!</v>
      </c>
      <c r="P81" s="911" t="s">
        <v>1357</v>
      </c>
      <c r="Q81" s="641"/>
      <c r="R81" s="641"/>
      <c r="S81" s="883" t="e">
        <f t="shared" si="9"/>
        <v>#REF!</v>
      </c>
      <c r="T81" s="461"/>
      <c r="V81" s="461"/>
      <c r="W81" s="461"/>
      <c r="X81" s="461"/>
      <c r="Y81" s="461"/>
      <c r="Z81" s="461"/>
      <c r="AA81" s="461"/>
      <c r="AB81" s="461"/>
      <c r="AC81" s="461"/>
    </row>
    <row r="82" spans="1:29" s="574" customFormat="1" ht="12" customHeight="1">
      <c r="A82" s="544"/>
      <c r="B82" s="568">
        <v>45588</v>
      </c>
      <c r="C82" s="916" t="s">
        <v>1109</v>
      </c>
      <c r="D82" s="921"/>
      <c r="E82" s="917">
        <v>47</v>
      </c>
      <c r="F82" s="569" t="s">
        <v>107</v>
      </c>
      <c r="G82" s="569"/>
      <c r="H82" s="569"/>
      <c r="I82" s="569"/>
      <c r="J82" s="569"/>
      <c r="K82" s="918">
        <v>13250</v>
      </c>
      <c r="L82" s="542">
        <v>7.0625</v>
      </c>
      <c r="M82" s="909">
        <f t="shared" si="12"/>
        <v>1876.1061946902655</v>
      </c>
      <c r="N82" s="928" t="e">
        <f t="shared" si="10"/>
        <v>#REF!</v>
      </c>
      <c r="O82" s="928" t="e">
        <f t="shared" si="11"/>
        <v>#REF!</v>
      </c>
      <c r="P82" s="911" t="s">
        <v>1357</v>
      </c>
      <c r="Q82" s="641"/>
      <c r="R82" s="641"/>
      <c r="S82" s="883" t="e">
        <f t="shared" si="9"/>
        <v>#REF!</v>
      </c>
      <c r="T82" s="461"/>
      <c r="V82" s="461"/>
      <c r="W82" s="461"/>
      <c r="X82" s="461"/>
      <c r="Y82" s="461"/>
      <c r="Z82" s="461"/>
      <c r="AA82" s="461"/>
      <c r="AB82" s="461"/>
      <c r="AC82" s="461"/>
    </row>
    <row r="83" spans="1:29" s="574" customFormat="1" ht="12" customHeight="1">
      <c r="A83" s="544"/>
      <c r="B83" s="568">
        <v>45588</v>
      </c>
      <c r="C83" s="916" t="s">
        <v>939</v>
      </c>
      <c r="D83" s="921"/>
      <c r="E83" s="917">
        <v>47</v>
      </c>
      <c r="F83" s="569" t="s">
        <v>107</v>
      </c>
      <c r="G83" s="569"/>
      <c r="H83" s="569"/>
      <c r="I83" s="569"/>
      <c r="J83" s="569"/>
      <c r="K83" s="918">
        <v>7173.94</v>
      </c>
      <c r="L83" s="542">
        <v>7.0625</v>
      </c>
      <c r="M83" s="909">
        <f t="shared" si="12"/>
        <v>1015.7791150442478</v>
      </c>
      <c r="N83" s="928" t="e">
        <f t="shared" si="10"/>
        <v>#REF!</v>
      </c>
      <c r="O83" s="928" t="e">
        <f t="shared" si="11"/>
        <v>#REF!</v>
      </c>
      <c r="P83" s="911" t="s">
        <v>1357</v>
      </c>
      <c r="Q83" s="641"/>
      <c r="R83" s="641"/>
      <c r="S83" s="883" t="e">
        <f t="shared" si="9"/>
        <v>#REF!</v>
      </c>
      <c r="T83" s="461"/>
      <c r="V83" s="461"/>
      <c r="W83" s="461"/>
      <c r="X83" s="461"/>
      <c r="Y83" s="461"/>
      <c r="Z83" s="461"/>
      <c r="AA83" s="461"/>
      <c r="AB83" s="461"/>
      <c r="AC83" s="461"/>
    </row>
    <row r="84" spans="1:29" s="574" customFormat="1" ht="12" customHeight="1">
      <c r="A84" s="544"/>
      <c r="B84" s="568">
        <v>45588</v>
      </c>
      <c r="C84" s="916" t="s">
        <v>892</v>
      </c>
      <c r="D84" s="921"/>
      <c r="E84" s="917">
        <v>47</v>
      </c>
      <c r="F84" s="569" t="s">
        <v>107</v>
      </c>
      <c r="G84" s="569"/>
      <c r="H84" s="569"/>
      <c r="I84" s="569"/>
      <c r="J84" s="569"/>
      <c r="K84" s="918">
        <v>300</v>
      </c>
      <c r="L84" s="542">
        <v>7.0625</v>
      </c>
      <c r="M84" s="909">
        <f t="shared" si="12"/>
        <v>42.477876106194692</v>
      </c>
      <c r="N84" s="928" t="e">
        <f t="shared" ref="N84:N94" si="13">N83+H84-K84</f>
        <v>#REF!</v>
      </c>
      <c r="O84" s="928" t="e">
        <f t="shared" ref="O84:O94" si="14">O83+J84-M84</f>
        <v>#REF!</v>
      </c>
      <c r="P84" s="911" t="s">
        <v>1357</v>
      </c>
      <c r="Q84" s="641"/>
      <c r="R84" s="641"/>
      <c r="S84" s="883" t="e">
        <f t="shared" si="9"/>
        <v>#REF!</v>
      </c>
      <c r="T84" s="461"/>
      <c r="V84" s="461"/>
      <c r="W84" s="461"/>
      <c r="X84" s="461"/>
      <c r="Y84" s="461"/>
      <c r="Z84" s="461"/>
      <c r="AA84" s="461"/>
      <c r="AB84" s="461"/>
      <c r="AC84" s="461"/>
    </row>
    <row r="85" spans="1:29" s="574" customFormat="1" ht="12" customHeight="1">
      <c r="A85" s="544"/>
      <c r="B85" s="568">
        <v>45588</v>
      </c>
      <c r="C85" s="916" t="s">
        <v>983</v>
      </c>
      <c r="D85" s="921"/>
      <c r="E85" s="917">
        <v>47</v>
      </c>
      <c r="F85" s="569" t="s">
        <v>107</v>
      </c>
      <c r="G85" s="569"/>
      <c r="H85" s="569"/>
      <c r="I85" s="569"/>
      <c r="J85" s="569"/>
      <c r="K85" s="918">
        <v>1000</v>
      </c>
      <c r="L85" s="542">
        <v>7.0625</v>
      </c>
      <c r="M85" s="909">
        <f t="shared" si="12"/>
        <v>141.59292035398229</v>
      </c>
      <c r="N85" s="928" t="e">
        <f t="shared" si="13"/>
        <v>#REF!</v>
      </c>
      <c r="O85" s="928" t="e">
        <f t="shared" si="14"/>
        <v>#REF!</v>
      </c>
      <c r="P85" s="911" t="s">
        <v>1357</v>
      </c>
      <c r="Q85" s="641"/>
      <c r="R85" s="641"/>
      <c r="S85" s="883" t="e">
        <f t="shared" si="9"/>
        <v>#REF!</v>
      </c>
      <c r="T85" s="461"/>
      <c r="V85" s="461"/>
      <c r="W85" s="461"/>
      <c r="X85" s="461"/>
      <c r="Y85" s="461"/>
      <c r="Z85" s="461"/>
      <c r="AA85" s="461"/>
      <c r="AB85" s="461"/>
      <c r="AC85" s="461"/>
    </row>
    <row r="86" spans="1:29" s="574" customFormat="1" ht="12" customHeight="1">
      <c r="A86" s="544"/>
      <c r="B86" s="568">
        <v>45588</v>
      </c>
      <c r="C86" s="916" t="s">
        <v>891</v>
      </c>
      <c r="D86" s="921"/>
      <c r="E86" s="917">
        <v>47</v>
      </c>
      <c r="F86" s="569" t="s">
        <v>107</v>
      </c>
      <c r="G86" s="569"/>
      <c r="H86" s="569"/>
      <c r="I86" s="569"/>
      <c r="J86" s="569"/>
      <c r="K86" s="918">
        <v>13390</v>
      </c>
      <c r="L86" s="542">
        <v>7.0625</v>
      </c>
      <c r="M86" s="909">
        <f t="shared" si="12"/>
        <v>1895.929203539823</v>
      </c>
      <c r="N86" s="928" t="e">
        <f t="shared" si="13"/>
        <v>#REF!</v>
      </c>
      <c r="O86" s="928" t="e">
        <f t="shared" si="14"/>
        <v>#REF!</v>
      </c>
      <c r="P86" s="911" t="s">
        <v>1357</v>
      </c>
      <c r="Q86" s="641"/>
      <c r="R86" s="641"/>
      <c r="S86" s="883" t="e">
        <f t="shared" si="9"/>
        <v>#REF!</v>
      </c>
      <c r="T86" s="461"/>
      <c r="V86" s="461"/>
      <c r="W86" s="461"/>
      <c r="X86" s="461"/>
      <c r="Y86" s="461"/>
      <c r="Z86" s="461"/>
      <c r="AA86" s="461"/>
      <c r="AB86" s="461"/>
      <c r="AC86" s="461"/>
    </row>
    <row r="87" spans="1:29" s="574" customFormat="1" ht="12" customHeight="1">
      <c r="A87" s="544"/>
      <c r="B87" s="568">
        <v>45588</v>
      </c>
      <c r="C87" s="916" t="s">
        <v>1109</v>
      </c>
      <c r="D87" s="921"/>
      <c r="E87" s="917">
        <v>47</v>
      </c>
      <c r="F87" s="569" t="s">
        <v>107</v>
      </c>
      <c r="G87" s="569"/>
      <c r="H87" s="569"/>
      <c r="I87" s="569"/>
      <c r="J87" s="569"/>
      <c r="K87" s="918">
        <v>4240</v>
      </c>
      <c r="L87" s="542">
        <v>7.0625</v>
      </c>
      <c r="M87" s="909">
        <f t="shared" si="12"/>
        <v>600.35398230088492</v>
      </c>
      <c r="N87" s="928" t="e">
        <f t="shared" si="13"/>
        <v>#REF!</v>
      </c>
      <c r="O87" s="928" t="e">
        <f t="shared" si="14"/>
        <v>#REF!</v>
      </c>
      <c r="P87" s="911" t="s">
        <v>1357</v>
      </c>
      <c r="Q87" s="641"/>
      <c r="R87" s="641"/>
      <c r="S87" s="883" t="e">
        <f t="shared" si="9"/>
        <v>#REF!</v>
      </c>
      <c r="T87" s="461"/>
      <c r="V87" s="461"/>
      <c r="W87" s="461"/>
      <c r="X87" s="461"/>
      <c r="Y87" s="461"/>
      <c r="Z87" s="461"/>
      <c r="AA87" s="461"/>
      <c r="AB87" s="461"/>
      <c r="AC87" s="461"/>
    </row>
    <row r="88" spans="1:29" s="574" customFormat="1" ht="12" customHeight="1">
      <c r="A88" s="544"/>
      <c r="B88" s="568">
        <v>45588</v>
      </c>
      <c r="C88" s="916" t="s">
        <v>939</v>
      </c>
      <c r="D88" s="921"/>
      <c r="E88" s="917">
        <v>47</v>
      </c>
      <c r="F88" s="569" t="s">
        <v>107</v>
      </c>
      <c r="G88" s="569"/>
      <c r="H88" s="569"/>
      <c r="I88" s="569"/>
      <c r="J88" s="569"/>
      <c r="K88" s="918">
        <v>3147.67</v>
      </c>
      <c r="L88" s="542">
        <v>7.0625</v>
      </c>
      <c r="M88" s="909">
        <f t="shared" si="12"/>
        <v>445.68778761061947</v>
      </c>
      <c r="N88" s="928" t="e">
        <f t="shared" si="13"/>
        <v>#REF!</v>
      </c>
      <c r="O88" s="928" t="e">
        <f t="shared" si="14"/>
        <v>#REF!</v>
      </c>
      <c r="P88" s="911" t="s">
        <v>1357</v>
      </c>
      <c r="Q88" s="641"/>
      <c r="R88" s="641"/>
      <c r="S88" s="883" t="e">
        <f t="shared" si="9"/>
        <v>#REF!</v>
      </c>
      <c r="T88" s="461"/>
      <c r="V88" s="461"/>
      <c r="W88" s="461"/>
      <c r="X88" s="461"/>
      <c r="Y88" s="461"/>
      <c r="Z88" s="461"/>
      <c r="AA88" s="461"/>
      <c r="AB88" s="461"/>
      <c r="AC88" s="461"/>
    </row>
    <row r="89" spans="1:29" s="574" customFormat="1" ht="12" customHeight="1">
      <c r="A89" s="544"/>
      <c r="B89" s="568">
        <v>45588</v>
      </c>
      <c r="C89" s="916" t="s">
        <v>892</v>
      </c>
      <c r="D89" s="921"/>
      <c r="E89" s="917">
        <v>47</v>
      </c>
      <c r="F89" s="569" t="s">
        <v>107</v>
      </c>
      <c r="G89" s="569"/>
      <c r="H89" s="569"/>
      <c r="I89" s="569"/>
      <c r="J89" s="569"/>
      <c r="K89" s="918">
        <v>300</v>
      </c>
      <c r="L89" s="542">
        <v>7.0625</v>
      </c>
      <c r="M89" s="909">
        <f t="shared" si="12"/>
        <v>42.477876106194692</v>
      </c>
      <c r="N89" s="928" t="e">
        <f t="shared" si="13"/>
        <v>#REF!</v>
      </c>
      <c r="O89" s="928" t="e">
        <f t="shared" si="14"/>
        <v>#REF!</v>
      </c>
      <c r="P89" s="911" t="s">
        <v>1357</v>
      </c>
      <c r="Q89" s="641"/>
      <c r="R89" s="641"/>
      <c r="S89" s="883" t="e">
        <f t="shared" si="9"/>
        <v>#REF!</v>
      </c>
      <c r="T89" s="461"/>
      <c r="V89" s="461"/>
      <c r="W89" s="461"/>
      <c r="X89" s="461"/>
      <c r="Y89" s="461"/>
      <c r="Z89" s="461"/>
      <c r="AA89" s="461"/>
      <c r="AB89" s="461"/>
      <c r="AC89" s="461"/>
    </row>
    <row r="90" spans="1:29" s="574" customFormat="1" ht="12" customHeight="1">
      <c r="A90" s="544"/>
      <c r="B90" s="568">
        <v>45588</v>
      </c>
      <c r="C90" s="916" t="s">
        <v>891</v>
      </c>
      <c r="D90" s="921"/>
      <c r="E90" s="917">
        <v>47</v>
      </c>
      <c r="F90" s="569" t="s">
        <v>107</v>
      </c>
      <c r="G90" s="569"/>
      <c r="H90" s="569"/>
      <c r="I90" s="569"/>
      <c r="J90" s="569"/>
      <c r="K90" s="918">
        <v>25750</v>
      </c>
      <c r="L90" s="542">
        <v>7.0625</v>
      </c>
      <c r="M90" s="909">
        <f t="shared" ref="M90" si="15">K90/L90</f>
        <v>3646.0176991150443</v>
      </c>
      <c r="N90" s="928" t="e">
        <f t="shared" si="13"/>
        <v>#REF!</v>
      </c>
      <c r="O90" s="928" t="e">
        <f t="shared" si="14"/>
        <v>#REF!</v>
      </c>
      <c r="P90" s="911" t="s">
        <v>1357</v>
      </c>
      <c r="Q90" s="641"/>
      <c r="R90" s="641"/>
      <c r="S90" s="883" t="e">
        <f t="shared" si="9"/>
        <v>#REF!</v>
      </c>
      <c r="T90" s="461"/>
      <c r="V90" s="461"/>
      <c r="W90" s="461"/>
      <c r="X90" s="461"/>
      <c r="Y90" s="461"/>
      <c r="Z90" s="461"/>
      <c r="AA90" s="461"/>
      <c r="AB90" s="461"/>
      <c r="AC90" s="461"/>
    </row>
    <row r="91" spans="1:29" s="574" customFormat="1" ht="12" customHeight="1">
      <c r="A91" s="544"/>
      <c r="B91" s="568">
        <v>45588</v>
      </c>
      <c r="C91" s="916" t="s">
        <v>1109</v>
      </c>
      <c r="D91" s="921"/>
      <c r="E91" s="917">
        <v>47</v>
      </c>
      <c r="F91" s="569" t="s">
        <v>107</v>
      </c>
      <c r="G91" s="569"/>
      <c r="H91" s="569"/>
      <c r="I91" s="569"/>
      <c r="J91" s="569"/>
      <c r="K91" s="918">
        <v>10600</v>
      </c>
      <c r="L91" s="542">
        <v>7.0625</v>
      </c>
      <c r="M91" s="909">
        <v>1500.88</v>
      </c>
      <c r="N91" s="928" t="e">
        <f t="shared" si="13"/>
        <v>#REF!</v>
      </c>
      <c r="O91" s="928" t="e">
        <f t="shared" si="14"/>
        <v>#REF!</v>
      </c>
      <c r="P91" s="911" t="s">
        <v>1357</v>
      </c>
      <c r="Q91" s="641"/>
      <c r="R91" s="641"/>
      <c r="S91" s="883" t="e">
        <f t="shared" si="9"/>
        <v>#REF!</v>
      </c>
      <c r="T91" s="461"/>
      <c r="V91" s="461"/>
      <c r="W91" s="461"/>
      <c r="X91" s="461"/>
      <c r="Y91" s="461"/>
      <c r="Z91" s="461"/>
      <c r="AA91" s="461"/>
      <c r="AB91" s="461"/>
      <c r="AC91" s="461"/>
    </row>
    <row r="92" spans="1:29" s="574" customFormat="1" ht="12" customHeight="1">
      <c r="A92" s="544"/>
      <c r="B92" s="568">
        <v>45588</v>
      </c>
      <c r="C92" s="916" t="s">
        <v>939</v>
      </c>
      <c r="D92" s="921"/>
      <c r="E92" s="917">
        <v>47</v>
      </c>
      <c r="F92" s="569" t="s">
        <v>107</v>
      </c>
      <c r="G92" s="569"/>
      <c r="H92" s="569"/>
      <c r="I92" s="569"/>
      <c r="J92" s="569"/>
      <c r="K92" s="918">
        <v>7173.94</v>
      </c>
      <c r="L92" s="542">
        <v>7.0625</v>
      </c>
      <c r="M92" s="909">
        <f>K92/L92</f>
        <v>1015.7791150442478</v>
      </c>
      <c r="N92" s="928" t="e">
        <f t="shared" si="13"/>
        <v>#REF!</v>
      </c>
      <c r="O92" s="928" t="e">
        <f t="shared" si="14"/>
        <v>#REF!</v>
      </c>
      <c r="P92" s="911" t="s">
        <v>1357</v>
      </c>
      <c r="Q92" s="641"/>
      <c r="R92" s="641"/>
      <c r="S92" s="883" t="e">
        <f t="shared" ref="S92:S94" si="16">S91-M92</f>
        <v>#REF!</v>
      </c>
      <c r="T92" s="461"/>
      <c r="V92" s="461"/>
      <c r="W92" s="461"/>
      <c r="X92" s="461"/>
      <c r="Y92" s="461"/>
      <c r="Z92" s="461"/>
      <c r="AA92" s="461"/>
      <c r="AB92" s="461"/>
      <c r="AC92" s="461"/>
    </row>
    <row r="93" spans="1:29" s="574" customFormat="1" ht="12" customHeight="1">
      <c r="A93" s="544"/>
      <c r="B93" s="568">
        <v>45588</v>
      </c>
      <c r="C93" s="916" t="s">
        <v>892</v>
      </c>
      <c r="D93" s="921"/>
      <c r="E93" s="917">
        <v>47</v>
      </c>
      <c r="F93" s="569" t="s">
        <v>107</v>
      </c>
      <c r="G93" s="569"/>
      <c r="H93" s="569"/>
      <c r="I93" s="569"/>
      <c r="J93" s="569"/>
      <c r="K93" s="918">
        <v>300</v>
      </c>
      <c r="L93" s="542">
        <v>7.0625</v>
      </c>
      <c r="M93" s="909">
        <f>K93/L93</f>
        <v>42.477876106194692</v>
      </c>
      <c r="N93" s="928" t="e">
        <f t="shared" si="13"/>
        <v>#REF!</v>
      </c>
      <c r="O93" s="928" t="e">
        <f t="shared" si="14"/>
        <v>#REF!</v>
      </c>
      <c r="P93" s="911" t="s">
        <v>1357</v>
      </c>
      <c r="Q93" s="641"/>
      <c r="R93" s="641"/>
      <c r="S93" s="883" t="e">
        <f t="shared" si="16"/>
        <v>#REF!</v>
      </c>
      <c r="T93" s="461"/>
      <c r="V93" s="461"/>
      <c r="W93" s="461"/>
      <c r="X93" s="461"/>
      <c r="Y93" s="461"/>
      <c r="Z93" s="461"/>
      <c r="AA93" s="461"/>
      <c r="AB93" s="461"/>
      <c r="AC93" s="461"/>
    </row>
    <row r="94" spans="1:29" s="574" customFormat="1" ht="12" customHeight="1">
      <c r="A94" s="544"/>
      <c r="B94" s="568">
        <v>45588</v>
      </c>
      <c r="C94" s="916" t="s">
        <v>250</v>
      </c>
      <c r="D94" s="921"/>
      <c r="E94" s="917">
        <v>48</v>
      </c>
      <c r="F94" s="569" t="s">
        <v>107</v>
      </c>
      <c r="G94" s="569"/>
      <c r="H94" s="569"/>
      <c r="I94" s="569"/>
      <c r="J94" s="569"/>
      <c r="K94" s="918">
        <v>12</v>
      </c>
      <c r="L94" s="542">
        <v>7.0625</v>
      </c>
      <c r="M94" s="909">
        <f>K94/L94</f>
        <v>1.6991150442477876</v>
      </c>
      <c r="N94" s="910" t="e">
        <f t="shared" si="13"/>
        <v>#REF!</v>
      </c>
      <c r="O94" s="910" t="e">
        <f t="shared" si="14"/>
        <v>#REF!</v>
      </c>
      <c r="P94" s="911" t="s">
        <v>1357</v>
      </c>
      <c r="Q94" s="641"/>
      <c r="R94" s="641"/>
      <c r="S94" s="942" t="e">
        <f t="shared" si="16"/>
        <v>#REF!</v>
      </c>
      <c r="T94" s="461"/>
      <c r="V94" s="461"/>
      <c r="W94" s="461"/>
      <c r="X94" s="461"/>
      <c r="Y94" s="461"/>
      <c r="Z94" s="461"/>
      <c r="AA94" s="461"/>
      <c r="AB94" s="461"/>
      <c r="AC94" s="461"/>
    </row>
    <row r="95" spans="1:29" s="489" customFormat="1" ht="11.25" customHeight="1">
      <c r="A95" s="544"/>
      <c r="B95" s="519"/>
      <c r="C95" s="519"/>
      <c r="D95" s="519"/>
      <c r="E95" s="519"/>
      <c r="F95" s="519"/>
      <c r="G95" s="461"/>
      <c r="H95" s="461"/>
      <c r="I95" s="461"/>
      <c r="J95" s="461"/>
      <c r="K95" s="461"/>
      <c r="L95" s="461"/>
      <c r="M95" s="461"/>
      <c r="N95" s="461"/>
      <c r="O95" s="461"/>
      <c r="P95" s="461"/>
      <c r="Q95" s="461"/>
      <c r="S95" s="492"/>
      <c r="T95" s="461"/>
      <c r="U95" s="574"/>
      <c r="V95" s="461"/>
      <c r="W95" s="461"/>
      <c r="X95" s="461"/>
      <c r="Y95" s="461"/>
      <c r="Z95" s="461"/>
      <c r="AA95" s="461"/>
      <c r="AB95" s="461"/>
      <c r="AC95" s="461"/>
    </row>
    <row r="96" spans="1:29" s="489" customFormat="1" ht="11.25" customHeight="1">
      <c r="A96" s="544"/>
      <c r="B96" s="519"/>
      <c r="C96" s="519"/>
      <c r="D96" s="519"/>
      <c r="E96" s="519"/>
      <c r="F96" s="519"/>
      <c r="G96" s="461"/>
      <c r="H96" s="461"/>
      <c r="I96" s="461"/>
      <c r="J96" s="461"/>
      <c r="K96" s="461"/>
      <c r="L96" s="461"/>
      <c r="M96" s="461"/>
      <c r="N96" s="461"/>
      <c r="O96" s="461"/>
      <c r="P96" s="461"/>
      <c r="Q96" s="461"/>
      <c r="S96" s="492"/>
      <c r="T96" s="461"/>
      <c r="U96" s="574"/>
      <c r="V96" s="461"/>
      <c r="W96" s="461"/>
      <c r="X96" s="461"/>
      <c r="Y96" s="461"/>
      <c r="Z96" s="461"/>
      <c r="AA96" s="461"/>
      <c r="AB96" s="461"/>
      <c r="AC96" s="461"/>
    </row>
    <row r="97" spans="1:29" s="489" customFormat="1" ht="11.25" customHeight="1">
      <c r="A97" s="544"/>
      <c r="B97" s="519"/>
      <c r="C97" s="519"/>
      <c r="D97" s="519"/>
      <c r="E97" s="519"/>
      <c r="F97" s="519"/>
      <c r="G97" s="461"/>
      <c r="H97" s="461"/>
      <c r="I97" s="461"/>
      <c r="J97" s="461"/>
      <c r="K97" s="461"/>
      <c r="L97" s="461"/>
      <c r="M97" s="461"/>
      <c r="N97" s="461"/>
      <c r="O97" s="461"/>
      <c r="P97" s="461"/>
      <c r="Q97" s="461"/>
      <c r="S97" s="492"/>
      <c r="T97" s="461"/>
      <c r="U97" s="574"/>
      <c r="V97" s="461"/>
      <c r="W97" s="461"/>
      <c r="X97" s="461"/>
      <c r="Y97" s="461"/>
      <c r="Z97" s="461"/>
      <c r="AA97" s="461"/>
      <c r="AB97" s="461"/>
      <c r="AC97" s="461"/>
    </row>
    <row r="98" spans="1:29" s="489" customFormat="1" ht="11.25" customHeight="1">
      <c r="A98" s="544"/>
      <c r="B98" s="519"/>
      <c r="C98" s="519"/>
      <c r="D98" s="519"/>
      <c r="E98" s="519"/>
      <c r="F98" s="519"/>
      <c r="G98" s="461"/>
      <c r="H98" s="461"/>
      <c r="I98" s="461"/>
      <c r="J98" s="461"/>
      <c r="K98" s="461"/>
      <c r="L98" s="461"/>
      <c r="M98" s="461"/>
      <c r="N98" s="461"/>
      <c r="O98" s="461"/>
      <c r="P98" s="461"/>
      <c r="Q98" s="461"/>
      <c r="S98" s="492"/>
      <c r="T98" s="461"/>
      <c r="U98" s="574"/>
      <c r="V98" s="461"/>
      <c r="W98" s="461"/>
      <c r="X98" s="461"/>
      <c r="Y98" s="461"/>
      <c r="Z98" s="461"/>
      <c r="AA98" s="461"/>
      <c r="AB98" s="461"/>
      <c r="AC98" s="461"/>
    </row>
    <row r="99" spans="1:29" s="489" customFormat="1" ht="11.25" customHeight="1">
      <c r="A99" s="544"/>
      <c r="B99" s="519"/>
      <c r="C99" s="519"/>
      <c r="D99" s="519"/>
      <c r="E99" s="519"/>
      <c r="F99" s="519"/>
      <c r="G99" s="461"/>
      <c r="H99" s="461"/>
      <c r="I99" s="461"/>
      <c r="J99" s="461"/>
      <c r="K99" s="461"/>
      <c r="L99" s="461"/>
      <c r="M99" s="461"/>
      <c r="N99" s="461"/>
      <c r="O99" s="461"/>
      <c r="P99" s="461"/>
      <c r="Q99" s="461"/>
      <c r="S99" s="492"/>
      <c r="T99" s="461"/>
      <c r="U99" s="574"/>
      <c r="V99" s="461"/>
      <c r="W99" s="461"/>
      <c r="X99" s="461"/>
      <c r="Y99" s="461"/>
      <c r="Z99" s="461"/>
      <c r="AA99" s="461"/>
      <c r="AB99" s="461"/>
      <c r="AC99" s="461"/>
    </row>
    <row r="100" spans="1:29" s="489" customFormat="1" ht="11.25" customHeight="1">
      <c r="A100" s="544"/>
      <c r="B100" s="519"/>
      <c r="C100" s="519"/>
      <c r="D100" s="519"/>
      <c r="E100" s="519"/>
      <c r="F100" s="519"/>
      <c r="G100" s="46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S100" s="492"/>
      <c r="T100" s="461"/>
      <c r="U100" s="574"/>
      <c r="V100" s="461"/>
      <c r="W100" s="461"/>
      <c r="X100" s="461"/>
      <c r="Y100" s="461"/>
      <c r="Z100" s="461"/>
      <c r="AA100" s="461"/>
      <c r="AB100" s="461"/>
      <c r="AC100" s="461"/>
    </row>
    <row r="101" spans="1:29" s="489" customFormat="1" ht="11.25" customHeight="1">
      <c r="A101" s="544"/>
      <c r="B101" s="519"/>
      <c r="C101" s="519"/>
      <c r="D101" s="519"/>
      <c r="E101" s="519"/>
      <c r="F101" s="519"/>
      <c r="G101" s="461"/>
      <c r="H101" s="461"/>
      <c r="I101" s="461"/>
      <c r="J101" s="461"/>
      <c r="K101" s="461"/>
      <c r="L101" s="461"/>
      <c r="M101" s="461"/>
      <c r="N101" s="461"/>
      <c r="O101" s="461"/>
      <c r="P101" s="461"/>
      <c r="Q101" s="461"/>
      <c r="S101" s="492"/>
      <c r="T101" s="461"/>
      <c r="U101" s="574"/>
      <c r="V101" s="461"/>
      <c r="W101" s="461"/>
      <c r="X101" s="461"/>
      <c r="Y101" s="461"/>
      <c r="Z101" s="461"/>
      <c r="AA101" s="461"/>
      <c r="AB101" s="461"/>
      <c r="AC101" s="461"/>
    </row>
    <row r="102" spans="1:29" s="489" customFormat="1" ht="11.25" customHeight="1">
      <c r="A102" s="544"/>
      <c r="B102" s="519"/>
      <c r="C102" s="519"/>
      <c r="D102" s="519"/>
      <c r="E102" s="519"/>
      <c r="F102" s="519"/>
      <c r="G102" s="461"/>
      <c r="H102" s="461"/>
      <c r="I102" s="461"/>
      <c r="J102" s="461"/>
      <c r="K102" s="461"/>
      <c r="L102" s="461"/>
      <c r="M102" s="461"/>
      <c r="N102" s="461"/>
      <c r="O102" s="461"/>
      <c r="P102" s="461"/>
      <c r="Q102" s="461"/>
      <c r="S102" s="492"/>
      <c r="T102" s="461"/>
      <c r="U102" s="574"/>
      <c r="V102" s="461"/>
      <c r="W102" s="461"/>
      <c r="X102" s="461"/>
      <c r="Y102" s="461"/>
      <c r="Z102" s="461"/>
      <c r="AA102" s="461"/>
      <c r="AB102" s="461"/>
      <c r="AC102" s="461"/>
    </row>
    <row r="103" spans="1:29" s="489" customFormat="1" ht="11.25" customHeight="1">
      <c r="A103" s="544"/>
      <c r="B103" s="519"/>
      <c r="C103" s="519"/>
      <c r="D103" s="519"/>
      <c r="E103" s="519"/>
      <c r="F103" s="519"/>
      <c r="G103" s="461"/>
      <c r="H103" s="461"/>
      <c r="I103" s="461"/>
      <c r="J103" s="461"/>
      <c r="K103" s="461"/>
      <c r="L103" s="461"/>
      <c r="M103" s="461"/>
      <c r="N103" s="461"/>
      <c r="O103" s="461"/>
      <c r="P103" s="461"/>
      <c r="Q103" s="461"/>
      <c r="S103" s="492"/>
      <c r="T103" s="461"/>
      <c r="U103" s="574"/>
      <c r="V103" s="461"/>
      <c r="W103" s="461"/>
      <c r="X103" s="461"/>
      <c r="Y103" s="461"/>
      <c r="Z103" s="461"/>
      <c r="AA103" s="461"/>
      <c r="AB103" s="461"/>
      <c r="AC103" s="461"/>
    </row>
    <row r="104" spans="1:29" s="489" customFormat="1" ht="11.25" customHeight="1">
      <c r="A104" s="544"/>
      <c r="B104" s="519"/>
      <c r="C104" s="519"/>
      <c r="D104" s="519"/>
      <c r="E104" s="519"/>
      <c r="F104" s="519"/>
      <c r="G104" s="519"/>
      <c r="H104" s="519"/>
      <c r="I104" s="461"/>
      <c r="L104" s="461"/>
      <c r="M104" s="461"/>
      <c r="N104" s="461"/>
      <c r="O104" s="461"/>
      <c r="P104" s="461"/>
      <c r="Q104" s="461"/>
      <c r="S104" s="492"/>
      <c r="T104" s="461"/>
      <c r="U104" s="574"/>
      <c r="V104" s="461"/>
      <c r="W104" s="461"/>
      <c r="X104" s="461"/>
      <c r="Y104" s="461"/>
      <c r="Z104" s="461"/>
      <c r="AA104" s="461"/>
      <c r="AB104" s="461"/>
      <c r="AC104" s="461"/>
    </row>
  </sheetData>
  <autoFilter ref="B18:R94" xr:uid="{00000000-0009-0000-0000-000001000000}">
    <filterColumn colId="14" showButton="0"/>
    <sortState xmlns:xlrd2="http://schemas.microsoft.com/office/spreadsheetml/2017/richdata2" ref="B21:R82">
      <sortCondition sortBy="cellColor" ref="M18:M92" dxfId="19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20396-FD66-4EF3-BF10-FC0CA565C074}">
  <sheetPr>
    <tabColor rgb="FFF8DA90"/>
  </sheetPr>
  <dimension ref="A1:AC101"/>
  <sheetViews>
    <sheetView showGridLines="0" zoomScaleNormal="100" workbookViewId="0">
      <pane ySplit="19" topLeftCell="A20" activePane="bottomLeft" state="frozen"/>
      <selection activeCell="G142" sqref="G142"/>
      <selection pane="bottomLeft" activeCell="J103" sqref="J103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1367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1353</v>
      </c>
      <c r="C3" s="477"/>
      <c r="D3" s="477"/>
      <c r="E3" s="477"/>
      <c r="F3" s="715">
        <v>1347.8</v>
      </c>
      <c r="G3" s="480"/>
      <c r="H3" s="476" t="s">
        <v>1359</v>
      </c>
      <c r="I3" s="477"/>
      <c r="K3" s="478"/>
      <c r="L3" s="943">
        <v>1385.4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16892.830000000002</v>
      </c>
      <c r="K5" s="693">
        <v>2338.79</v>
      </c>
      <c r="L5" s="651">
        <f>ROUND(K5*$L$3,0)</f>
        <v>3240160</v>
      </c>
      <c r="M5" s="889">
        <f>L5+F5</f>
        <v>3240160</v>
      </c>
      <c r="N5" s="852"/>
      <c r="O5" s="900"/>
      <c r="P5" s="900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2799</v>
      </c>
      <c r="E6" s="500">
        <v>396.32</v>
      </c>
      <c r="F6" s="497">
        <f t="shared" ref="F6:F12" si="0">ROUND(E6*$F$3,0)</f>
        <v>534160</v>
      </c>
      <c r="G6" s="502"/>
      <c r="H6" s="499" t="s">
        <v>13</v>
      </c>
      <c r="I6" s="499" t="s">
        <v>14</v>
      </c>
      <c r="J6" s="693">
        <v>24062.809999999998</v>
      </c>
      <c r="K6" s="693">
        <v>3331.46</v>
      </c>
      <c r="L6" s="651">
        <f t="shared" ref="L6:L11" si="1">ROUND(K6*$L$3,0)</f>
        <v>4615405</v>
      </c>
      <c r="M6" s="889">
        <f t="shared" ref="M6:M13" si="2">L6+F6</f>
        <v>5149565</v>
      </c>
      <c r="N6" s="852"/>
      <c r="O6" s="900"/>
      <c r="P6" s="900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24491</v>
      </c>
      <c r="E7" s="500">
        <v>3467.75</v>
      </c>
      <c r="F7" s="497">
        <f t="shared" si="0"/>
        <v>4673833</v>
      </c>
      <c r="G7" s="503"/>
      <c r="H7" s="499" t="s">
        <v>15</v>
      </c>
      <c r="I7" s="499" t="s">
        <v>1055</v>
      </c>
      <c r="J7" s="694"/>
      <c r="K7" s="694"/>
      <c r="L7" s="651">
        <f>ROUND(K7*$L$3,0)</f>
        <v>0</v>
      </c>
      <c r="M7" s="889">
        <f t="shared" si="2"/>
        <v>4673833</v>
      </c>
      <c r="N7" s="852"/>
      <c r="O7" s="900"/>
      <c r="P7" s="900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17500</v>
      </c>
      <c r="E8" s="500">
        <v>2477.88</v>
      </c>
      <c r="F8" s="497">
        <f t="shared" si="0"/>
        <v>3339687</v>
      </c>
      <c r="G8" s="503"/>
      <c r="H8" s="499" t="s">
        <v>15</v>
      </c>
      <c r="I8" s="494" t="s">
        <v>17</v>
      </c>
      <c r="J8" s="694"/>
      <c r="K8" s="694"/>
      <c r="L8" s="651">
        <f>ROUND(K8*$L$3,0)</f>
        <v>0</v>
      </c>
      <c r="M8" s="889">
        <f t="shared" si="2"/>
        <v>3339687</v>
      </c>
      <c r="N8" s="852"/>
      <c r="O8" s="900"/>
      <c r="P8" s="900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2164.8000000000002</v>
      </c>
      <c r="K9" s="693">
        <v>299.70999999999998</v>
      </c>
      <c r="L9" s="651">
        <f t="shared" si="1"/>
        <v>415218</v>
      </c>
      <c r="M9" s="889">
        <f t="shared" si="2"/>
        <v>415218</v>
      </c>
      <c r="N9" s="852"/>
      <c r="O9" s="900"/>
      <c r="P9" s="900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53144.07</v>
      </c>
      <c r="E10" s="500">
        <v>7524.82</v>
      </c>
      <c r="F10" s="497">
        <f t="shared" si="0"/>
        <v>10141952</v>
      </c>
      <c r="G10" s="505"/>
      <c r="H10" s="499" t="s">
        <v>21</v>
      </c>
      <c r="I10" s="499"/>
      <c r="J10" s="693">
        <v>153318.88</v>
      </c>
      <c r="K10" s="693">
        <v>21277.78</v>
      </c>
      <c r="L10" s="651">
        <f t="shared" si="1"/>
        <v>29478236</v>
      </c>
      <c r="M10" s="889">
        <f t="shared" si="2"/>
        <v>39620188</v>
      </c>
      <c r="N10" s="852"/>
      <c r="O10" s="900"/>
      <c r="P10" s="900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1347.7999562984025</v>
      </c>
      <c r="H11" s="506" t="s">
        <v>1057</v>
      </c>
      <c r="I11" s="507" t="s">
        <v>1279</v>
      </c>
      <c r="J11" s="511"/>
      <c r="K11" s="855"/>
      <c r="L11" s="854">
        <f t="shared" si="1"/>
        <v>0</v>
      </c>
      <c r="M11" s="889">
        <f t="shared" si="2"/>
        <v>0</v>
      </c>
      <c r="N11" s="853"/>
      <c r="O11" s="852"/>
      <c r="P11" s="901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926"/>
      <c r="E12" s="500"/>
      <c r="F12" s="497">
        <f t="shared" si="0"/>
        <v>0</v>
      </c>
      <c r="G12" s="512">
        <f>E13+Q13+AB13</f>
        <v>13866.77</v>
      </c>
      <c r="H12" s="499" t="s">
        <v>1059</v>
      </c>
      <c r="I12" s="499" t="s">
        <v>1060</v>
      </c>
      <c r="J12" s="495"/>
      <c r="K12" s="500"/>
      <c r="L12" s="497">
        <f>ROUND(K12*$R$3,0)</f>
        <v>0</v>
      </c>
      <c r="M12" s="889">
        <f t="shared" si="2"/>
        <v>0</v>
      </c>
      <c r="N12" s="852"/>
      <c r="O12" s="852"/>
      <c r="P12" s="901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97934.07</v>
      </c>
      <c r="E13" s="515">
        <f>SUM(E5:E11)-E12</f>
        <v>13866.77</v>
      </c>
      <c r="F13" s="870">
        <f>SUM(F5:F11)-F12</f>
        <v>18689632</v>
      </c>
      <c r="G13" s="518">
        <f>F13+R13+AC13</f>
        <v>18689632</v>
      </c>
      <c r="H13" s="868" t="s">
        <v>22</v>
      </c>
      <c r="I13" s="869"/>
      <c r="J13" s="515">
        <f>SUM(J5:J11)-J12</f>
        <v>196439.32</v>
      </c>
      <c r="K13" s="515">
        <f>SUM(K5:K11)-K12</f>
        <v>27247.739999999998</v>
      </c>
      <c r="L13" s="870">
        <f>SUM(L5:L11)-L12</f>
        <v>37749019</v>
      </c>
      <c r="M13" s="889">
        <f t="shared" si="2"/>
        <v>56438651</v>
      </c>
      <c r="N13" s="872"/>
      <c r="O13" s="873"/>
      <c r="P13" s="776"/>
      <c r="Q13" s="776"/>
      <c r="R13" s="776"/>
      <c r="S13" s="874"/>
      <c r="U13" s="850"/>
      <c r="X13" s="875">
        <f>F13+R13</f>
        <v>18689632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3">SUM(D7:D10)</f>
        <v>95135.07</v>
      </c>
      <c r="E14" s="739">
        <f t="shared" si="3"/>
        <v>13470.45</v>
      </c>
      <c r="F14" s="739">
        <f>SUM(F7:F10)</f>
        <v>18155472</v>
      </c>
      <c r="G14" s="524"/>
      <c r="J14" s="929">
        <f>J13+D13</f>
        <v>294373.39</v>
      </c>
      <c r="K14" s="929">
        <f t="shared" ref="K14" si="4">K13+E13</f>
        <v>41114.509999999995</v>
      </c>
      <c r="L14" s="904">
        <f>L13+F13</f>
        <v>56438651</v>
      </c>
      <c r="M14" s="865">
        <f>M16-E12</f>
        <v>41114.509296581309</v>
      </c>
      <c r="O14" s="525"/>
      <c r="P14" s="844">
        <f>P13+D13+J13</f>
        <v>294373.39</v>
      </c>
      <c r="Q14" s="844">
        <f>Q13+E13+K13</f>
        <v>41114.509999999995</v>
      </c>
      <c r="R14" s="845">
        <f>R13+F13+L13</f>
        <v>56438651</v>
      </c>
      <c r="X14" s="470"/>
      <c r="Y14" s="525"/>
      <c r="AB14" s="525"/>
      <c r="AC14" s="489"/>
    </row>
    <row r="15" spans="1:29" ht="14.25" customHeight="1">
      <c r="A15" s="449"/>
      <c r="C15" s="520"/>
      <c r="D15" s="739"/>
      <c r="E15" s="739"/>
      <c r="F15" s="739"/>
      <c r="G15" s="524"/>
      <c r="L15" s="489"/>
      <c r="M15" s="489"/>
      <c r="O15" s="525"/>
      <c r="P15" s="844"/>
      <c r="Q15" s="844"/>
      <c r="R15" s="845"/>
      <c r="X15" s="470"/>
      <c r="Y15" s="525"/>
      <c r="AB15" s="525"/>
      <c r="AC15" s="489"/>
    </row>
    <row r="16" spans="1:29" ht="18.75" customHeight="1" thickBot="1">
      <c r="A16" s="449"/>
      <c r="C16" s="520"/>
      <c r="D16" s="520"/>
      <c r="E16" s="523"/>
      <c r="F16" s="523"/>
      <c r="G16" s="524"/>
      <c r="I16" s="525"/>
      <c r="J16" s="526"/>
      <c r="K16" s="652">
        <f>SUBTOTAL(9,K19:K115)</f>
        <v>294373.39</v>
      </c>
      <c r="L16" s="137"/>
      <c r="M16" s="652">
        <f>SUBTOTAL(9,M19:M115)</f>
        <v>41114.509296581309</v>
      </c>
      <c r="N16" s="525"/>
      <c r="Q16" s="525"/>
    </row>
    <row r="17" spans="1:29" ht="11.25" customHeight="1">
      <c r="A17" s="449"/>
      <c r="B17" s="527" t="s">
        <v>24</v>
      </c>
      <c r="C17" s="528" t="s">
        <v>25</v>
      </c>
      <c r="D17" s="528" t="s">
        <v>1061</v>
      </c>
      <c r="E17" s="530" t="s">
        <v>26</v>
      </c>
      <c r="F17" s="531" t="s">
        <v>1</v>
      </c>
      <c r="G17" s="532" t="s">
        <v>2</v>
      </c>
      <c r="H17" s="2072" t="s">
        <v>29</v>
      </c>
      <c r="I17" s="2073"/>
      <c r="J17" s="2073"/>
      <c r="K17" s="2072" t="s">
        <v>30</v>
      </c>
      <c r="L17" s="2073"/>
      <c r="M17" s="2074"/>
      <c r="N17" s="2075" t="s">
        <v>31</v>
      </c>
      <c r="O17" s="2076"/>
      <c r="P17" s="2077"/>
      <c r="Q17" s="2077"/>
      <c r="R17" s="533" t="s">
        <v>1062</v>
      </c>
    </row>
    <row r="18" spans="1:29" ht="11.25" customHeight="1">
      <c r="A18" s="449"/>
      <c r="B18" s="534" t="s">
        <v>1063</v>
      </c>
      <c r="C18" s="535" t="s">
        <v>1064</v>
      </c>
      <c r="D18" s="535" t="s">
        <v>1065</v>
      </c>
      <c r="E18" s="537" t="s">
        <v>1066</v>
      </c>
      <c r="F18" s="538" t="s">
        <v>1067</v>
      </c>
      <c r="G18" s="539" t="s">
        <v>1068</v>
      </c>
      <c r="H18" s="540" t="s">
        <v>1069</v>
      </c>
      <c r="I18" s="540" t="s">
        <v>1070</v>
      </c>
      <c r="J18" s="541" t="s">
        <v>34</v>
      </c>
      <c r="K18" s="541" t="s">
        <v>1069</v>
      </c>
      <c r="L18" s="540" t="s">
        <v>1070</v>
      </c>
      <c r="M18" s="606" t="s">
        <v>34</v>
      </c>
      <c r="N18" s="609" t="s">
        <v>1069</v>
      </c>
      <c r="O18" s="610" t="s">
        <v>34</v>
      </c>
      <c r="P18" s="2081" t="s">
        <v>32</v>
      </c>
      <c r="Q18" s="2081"/>
      <c r="R18" s="905" t="s">
        <v>1062</v>
      </c>
    </row>
    <row r="19" spans="1:29" ht="11.25" customHeight="1">
      <c r="B19" s="657">
        <v>45596</v>
      </c>
      <c r="C19" s="658"/>
      <c r="D19" s="658"/>
      <c r="E19" s="660"/>
      <c r="F19" s="863"/>
      <c r="G19" s="661"/>
      <c r="H19" s="662"/>
      <c r="I19" s="658"/>
      <c r="J19" s="661"/>
      <c r="K19" s="664"/>
      <c r="L19" s="663"/>
      <c r="M19" s="906"/>
      <c r="N19" s="907">
        <v>97857.650000000111</v>
      </c>
      <c r="O19" s="907">
        <v>13866.770358834299</v>
      </c>
      <c r="P19" s="908"/>
      <c r="Q19" s="660"/>
      <c r="R19" s="665"/>
      <c r="S19" s="846">
        <v>13866.771136283205</v>
      </c>
    </row>
    <row r="20" spans="1:29" s="574" customFormat="1" ht="12" customHeight="1">
      <c r="A20" s="544"/>
      <c r="B20" s="568">
        <v>45597</v>
      </c>
      <c r="C20" s="916" t="s">
        <v>1360</v>
      </c>
      <c r="D20" s="921"/>
      <c r="E20" s="917">
        <v>1</v>
      </c>
      <c r="F20" s="569" t="s">
        <v>146</v>
      </c>
      <c r="G20" s="569" t="s">
        <v>147</v>
      </c>
      <c r="H20" s="569"/>
      <c r="I20" s="569"/>
      <c r="J20" s="569"/>
      <c r="K20" s="918">
        <v>133</v>
      </c>
      <c r="L20" s="542">
        <v>7.0625</v>
      </c>
      <c r="M20" s="912">
        <f>K20/L20</f>
        <v>18.831858407079647</v>
      </c>
      <c r="N20" s="928">
        <f t="shared" ref="N20" si="5">N19+H20-K20</f>
        <v>97724.650000000111</v>
      </c>
      <c r="O20" s="928">
        <f t="shared" ref="O20" si="6">O19+J20-M20</f>
        <v>13847.938500427219</v>
      </c>
      <c r="P20" s="911" t="s">
        <v>1358</v>
      </c>
      <c r="Q20" s="641"/>
      <c r="R20" s="641"/>
      <c r="S20" s="883">
        <f>S19-M20</f>
        <v>13847.939277876125</v>
      </c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568">
        <v>45597</v>
      </c>
      <c r="C21" s="916" t="s">
        <v>1361</v>
      </c>
      <c r="D21" s="921"/>
      <c r="E21" s="917">
        <v>2</v>
      </c>
      <c r="F21" s="569" t="s">
        <v>146</v>
      </c>
      <c r="G21" s="569" t="s">
        <v>147</v>
      </c>
      <c r="H21" s="569"/>
      <c r="I21" s="569"/>
      <c r="J21" s="569"/>
      <c r="K21" s="918">
        <v>991</v>
      </c>
      <c r="L21" s="542">
        <v>7.0625</v>
      </c>
      <c r="M21" s="912">
        <f t="shared" ref="M21:M27" si="7">K21/L21</f>
        <v>140.31858407079645</v>
      </c>
      <c r="N21" s="928">
        <f t="shared" ref="N21:N84" si="8">N20+H21-K21</f>
        <v>96733.650000000111</v>
      </c>
      <c r="O21" s="928">
        <f t="shared" ref="O21:O84" si="9">O20+J21-M21</f>
        <v>13707.619916356423</v>
      </c>
      <c r="P21" s="911" t="s">
        <v>1358</v>
      </c>
      <c r="Q21" s="641"/>
      <c r="R21" s="641"/>
      <c r="S21" s="883">
        <f t="shared" ref="S21:S38" si="10">S20-M21</f>
        <v>13707.620693805329</v>
      </c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customHeight="1">
      <c r="A22" s="544"/>
      <c r="B22" s="568">
        <v>45597</v>
      </c>
      <c r="C22" s="916" t="s">
        <v>994</v>
      </c>
      <c r="D22" s="921"/>
      <c r="E22" s="917">
        <v>3</v>
      </c>
      <c r="F22" s="569" t="s">
        <v>146</v>
      </c>
      <c r="G22" s="569" t="s">
        <v>147</v>
      </c>
      <c r="H22" s="569"/>
      <c r="I22" s="569"/>
      <c r="J22" s="569"/>
      <c r="K22" s="918">
        <v>75</v>
      </c>
      <c r="L22" s="542">
        <v>7.0625</v>
      </c>
      <c r="M22" s="912">
        <f t="shared" si="7"/>
        <v>10.619469026548673</v>
      </c>
      <c r="N22" s="928">
        <f t="shared" si="8"/>
        <v>96658.650000000111</v>
      </c>
      <c r="O22" s="928">
        <f t="shared" si="9"/>
        <v>13697.000447329874</v>
      </c>
      <c r="P22" s="911" t="s">
        <v>1358</v>
      </c>
      <c r="Q22" s="641"/>
      <c r="R22" s="641" t="s">
        <v>1368</v>
      </c>
      <c r="S22" s="883">
        <f t="shared" si="10"/>
        <v>13697.00122477878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customHeight="1">
      <c r="A23" s="544"/>
      <c r="B23" s="568">
        <v>45597</v>
      </c>
      <c r="C23" s="916" t="s">
        <v>445</v>
      </c>
      <c r="D23" s="921"/>
      <c r="E23" s="917">
        <v>4</v>
      </c>
      <c r="F23" s="569" t="s">
        <v>107</v>
      </c>
      <c r="G23" s="569"/>
      <c r="H23" s="944"/>
      <c r="I23" s="945"/>
      <c r="J23" s="944"/>
      <c r="K23" s="918">
        <v>3.6</v>
      </c>
      <c r="L23" s="542">
        <v>7.0625</v>
      </c>
      <c r="M23" s="912">
        <f t="shared" si="7"/>
        <v>0.50973451327433628</v>
      </c>
      <c r="N23" s="928">
        <f t="shared" si="8"/>
        <v>96655.050000000105</v>
      </c>
      <c r="O23" s="928">
        <f t="shared" si="9"/>
        <v>13696.4907128166</v>
      </c>
      <c r="P23" s="911" t="s">
        <v>1358</v>
      </c>
      <c r="Q23" s="641"/>
      <c r="R23" s="641"/>
      <c r="S23" s="883">
        <f t="shared" si="10"/>
        <v>13696.491490265505</v>
      </c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customHeight="1">
      <c r="A24" s="544"/>
      <c r="B24" s="568">
        <v>45611</v>
      </c>
      <c r="C24" s="916" t="s">
        <v>1352</v>
      </c>
      <c r="D24" s="921"/>
      <c r="E24" s="917">
        <v>5</v>
      </c>
      <c r="F24" s="569" t="s">
        <v>105</v>
      </c>
      <c r="G24" s="569" t="s">
        <v>1122</v>
      </c>
      <c r="H24" s="569"/>
      <c r="I24" s="569"/>
      <c r="J24" s="569"/>
      <c r="K24" s="918">
        <v>24491</v>
      </c>
      <c r="L24" s="542">
        <v>7.0625</v>
      </c>
      <c r="M24" s="912">
        <f t="shared" si="7"/>
        <v>3467.7522123893805</v>
      </c>
      <c r="N24" s="928">
        <f t="shared" si="8"/>
        <v>72164.050000000105</v>
      </c>
      <c r="O24" s="928">
        <f t="shared" si="9"/>
        <v>10228.738500427218</v>
      </c>
      <c r="P24" s="911" t="s">
        <v>1358</v>
      </c>
      <c r="Q24" s="641"/>
      <c r="R24" s="641"/>
      <c r="S24" s="883">
        <f t="shared" si="10"/>
        <v>10228.739277876124</v>
      </c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2" customHeight="1">
      <c r="A25" s="544"/>
      <c r="B25" s="568">
        <v>45611</v>
      </c>
      <c r="C25" s="916" t="s">
        <v>445</v>
      </c>
      <c r="D25" s="921"/>
      <c r="E25" s="917">
        <v>6</v>
      </c>
      <c r="F25" s="569" t="s">
        <v>107</v>
      </c>
      <c r="G25" s="569"/>
      <c r="H25" s="569"/>
      <c r="I25" s="569"/>
      <c r="J25" s="569"/>
      <c r="K25" s="918">
        <v>7.2</v>
      </c>
      <c r="L25" s="542">
        <v>7.0625</v>
      </c>
      <c r="M25" s="912">
        <f t="shared" si="7"/>
        <v>1.0194690265486726</v>
      </c>
      <c r="N25" s="928">
        <f t="shared" si="8"/>
        <v>72156.850000000108</v>
      </c>
      <c r="O25" s="928">
        <f t="shared" si="9"/>
        <v>10227.719031400669</v>
      </c>
      <c r="P25" s="911" t="s">
        <v>1358</v>
      </c>
      <c r="Q25" s="641"/>
      <c r="R25" s="641"/>
      <c r="S25" s="883">
        <f t="shared" si="10"/>
        <v>10227.719808849575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574" customFormat="1" ht="12" customHeight="1">
      <c r="A26" s="544"/>
      <c r="B26" s="568">
        <v>45611</v>
      </c>
      <c r="C26" s="916" t="s">
        <v>1276</v>
      </c>
      <c r="D26" s="921"/>
      <c r="E26" s="917">
        <v>7</v>
      </c>
      <c r="F26" s="569" t="s">
        <v>146</v>
      </c>
      <c r="G26" s="569" t="s">
        <v>147</v>
      </c>
      <c r="H26" s="569"/>
      <c r="I26" s="569"/>
      <c r="J26" s="569"/>
      <c r="K26" s="918">
        <v>1600</v>
      </c>
      <c r="L26" s="542">
        <v>7.0625</v>
      </c>
      <c r="M26" s="912">
        <f t="shared" si="7"/>
        <v>226.54867256637169</v>
      </c>
      <c r="N26" s="928">
        <f t="shared" si="8"/>
        <v>70556.850000000108</v>
      </c>
      <c r="O26" s="928">
        <f t="shared" si="9"/>
        <v>10001.170358834297</v>
      </c>
      <c r="P26" s="911" t="s">
        <v>1358</v>
      </c>
      <c r="Q26" s="641"/>
      <c r="R26" s="641"/>
      <c r="S26" s="883">
        <f t="shared" si="10"/>
        <v>10001.171136283203</v>
      </c>
      <c r="T26" s="461"/>
      <c r="V26" s="461"/>
      <c r="W26" s="461"/>
      <c r="X26" s="461"/>
      <c r="Y26" s="461"/>
      <c r="Z26" s="461"/>
      <c r="AA26" s="461"/>
      <c r="AB26" s="461"/>
      <c r="AC26" s="461"/>
    </row>
    <row r="27" spans="1:29" s="574" customFormat="1" ht="12" customHeight="1">
      <c r="A27" s="544"/>
      <c r="B27" s="568">
        <v>45611</v>
      </c>
      <c r="C27" s="916" t="s">
        <v>445</v>
      </c>
      <c r="D27" s="921"/>
      <c r="E27" s="917">
        <v>8</v>
      </c>
      <c r="F27" s="569" t="s">
        <v>107</v>
      </c>
      <c r="G27" s="569"/>
      <c r="H27" s="569"/>
      <c r="I27" s="569"/>
      <c r="J27" s="569"/>
      <c r="K27" s="918">
        <v>3.6</v>
      </c>
      <c r="L27" s="542">
        <v>7.0625</v>
      </c>
      <c r="M27" s="912">
        <f t="shared" si="7"/>
        <v>0.50973451327433628</v>
      </c>
      <c r="N27" s="928">
        <f t="shared" si="8"/>
        <v>70553.250000000102</v>
      </c>
      <c r="O27" s="928">
        <f t="shared" si="9"/>
        <v>10000.660624321023</v>
      </c>
      <c r="P27" s="911" t="s">
        <v>1358</v>
      </c>
      <c r="Q27" s="641"/>
      <c r="R27" s="641"/>
      <c r="S27" s="883">
        <f t="shared" si="10"/>
        <v>10000.661401769928</v>
      </c>
      <c r="T27" s="461"/>
      <c r="V27" s="461"/>
      <c r="W27" s="461"/>
      <c r="X27" s="461"/>
      <c r="Y27" s="461"/>
      <c r="Z27" s="461"/>
      <c r="AA27" s="461"/>
      <c r="AB27" s="461"/>
      <c r="AC27" s="461"/>
    </row>
    <row r="28" spans="1:29" s="574" customFormat="1" ht="12" customHeight="1">
      <c r="A28" s="544"/>
      <c r="B28" s="700">
        <v>45611</v>
      </c>
      <c r="C28" s="946" t="s">
        <v>823</v>
      </c>
      <c r="D28" s="920"/>
      <c r="E28" s="914">
        <v>9</v>
      </c>
      <c r="F28" s="703"/>
      <c r="G28" s="703"/>
      <c r="H28" s="947">
        <v>276442.05</v>
      </c>
      <c r="I28" s="947"/>
      <c r="J28" s="947">
        <v>38324</v>
      </c>
      <c r="K28" s="915"/>
      <c r="L28" s="706"/>
      <c r="M28" s="912"/>
      <c r="N28" s="948">
        <f t="shared" si="8"/>
        <v>346995.3000000001</v>
      </c>
      <c r="O28" s="948">
        <f t="shared" si="9"/>
        <v>48324.660624321026</v>
      </c>
      <c r="P28" s="927" t="s">
        <v>1357</v>
      </c>
      <c r="Q28" s="710"/>
      <c r="R28" s="710"/>
      <c r="S28" s="883"/>
      <c r="T28" s="461"/>
      <c r="V28" s="461"/>
      <c r="W28" s="461"/>
      <c r="X28" s="461"/>
      <c r="Y28" s="461"/>
      <c r="Z28" s="461"/>
      <c r="AA28" s="461"/>
      <c r="AB28" s="461"/>
      <c r="AC28" s="461"/>
    </row>
    <row r="29" spans="1:29" s="574" customFormat="1" ht="12" customHeight="1">
      <c r="A29" s="544"/>
      <c r="B29" s="700">
        <v>45611</v>
      </c>
      <c r="C29" s="946" t="s">
        <v>250</v>
      </c>
      <c r="D29" s="920"/>
      <c r="E29" s="914">
        <v>9</v>
      </c>
      <c r="F29" s="703" t="s">
        <v>107</v>
      </c>
      <c r="G29" s="703"/>
      <c r="H29" s="703"/>
      <c r="I29" s="703"/>
      <c r="J29" s="703"/>
      <c r="K29" s="915"/>
      <c r="L29" s="706"/>
      <c r="M29" s="909">
        <v>51</v>
      </c>
      <c r="N29" s="948">
        <f t="shared" si="8"/>
        <v>346995.3000000001</v>
      </c>
      <c r="O29" s="948">
        <f t="shared" si="9"/>
        <v>48273.660624321026</v>
      </c>
      <c r="P29" s="927" t="s">
        <v>1365</v>
      </c>
      <c r="Q29" s="710"/>
      <c r="R29" s="710"/>
      <c r="S29" s="883"/>
      <c r="T29" s="461"/>
      <c r="V29" s="461"/>
      <c r="W29" s="461"/>
      <c r="X29" s="461"/>
      <c r="Y29" s="461"/>
      <c r="Z29" s="461"/>
      <c r="AA29" s="461"/>
      <c r="AB29" s="461"/>
      <c r="AC29" s="461"/>
    </row>
    <row r="30" spans="1:29" s="574" customFormat="1" ht="12" customHeight="1">
      <c r="A30" s="544"/>
      <c r="B30" s="568">
        <v>45616</v>
      </c>
      <c r="C30" s="916" t="s">
        <v>305</v>
      </c>
      <c r="D30" s="921"/>
      <c r="E30" s="917">
        <v>10</v>
      </c>
      <c r="F30" s="569" t="s">
        <v>105</v>
      </c>
      <c r="G30" s="569" t="s">
        <v>227</v>
      </c>
      <c r="H30" s="569"/>
      <c r="I30" s="569"/>
      <c r="J30" s="569"/>
      <c r="K30" s="918">
        <v>10500</v>
      </c>
      <c r="L30" s="542">
        <v>7.0625</v>
      </c>
      <c r="M30" s="912">
        <f t="shared" ref="M30:M37" si="11">K30/L30</f>
        <v>1486.7256637168141</v>
      </c>
      <c r="N30" s="928">
        <f t="shared" ref="N30:N61" si="12">N29+H30-K30</f>
        <v>336495.3000000001</v>
      </c>
      <c r="O30" s="928">
        <f t="shared" ref="O30:O61" si="13">O29+J30-M30</f>
        <v>46786.934960604209</v>
      </c>
      <c r="P30" s="911" t="s">
        <v>1358</v>
      </c>
      <c r="Q30" s="641"/>
      <c r="R30" s="641"/>
      <c r="S30" s="883">
        <f>S27-M30</f>
        <v>8513.9357380531146</v>
      </c>
      <c r="T30" s="461"/>
      <c r="V30" s="461"/>
      <c r="W30" s="461"/>
      <c r="X30" s="461"/>
      <c r="Y30" s="461"/>
      <c r="Z30" s="461"/>
      <c r="AA30" s="461"/>
      <c r="AB30" s="461"/>
      <c r="AC30" s="461"/>
    </row>
    <row r="31" spans="1:29" s="574" customFormat="1" ht="12" customHeight="1">
      <c r="A31" s="544"/>
      <c r="B31" s="568">
        <v>45616</v>
      </c>
      <c r="C31" s="916" t="s">
        <v>1107</v>
      </c>
      <c r="D31" s="921"/>
      <c r="E31" s="917">
        <v>10</v>
      </c>
      <c r="F31" s="569" t="s">
        <v>107</v>
      </c>
      <c r="G31" s="569"/>
      <c r="H31" s="569"/>
      <c r="I31" s="569"/>
      <c r="J31" s="569"/>
      <c r="K31" s="918">
        <v>6000</v>
      </c>
      <c r="L31" s="542">
        <v>7.0625</v>
      </c>
      <c r="M31" s="912">
        <f t="shared" si="11"/>
        <v>849.55752212389382</v>
      </c>
      <c r="N31" s="928">
        <f t="shared" si="12"/>
        <v>330495.3000000001</v>
      </c>
      <c r="O31" s="928">
        <f t="shared" si="13"/>
        <v>45937.377438480318</v>
      </c>
      <c r="P31" s="911" t="s">
        <v>1358</v>
      </c>
      <c r="Q31" s="641"/>
      <c r="R31" s="641"/>
      <c r="S31" s="883">
        <f t="shared" si="10"/>
        <v>7664.3782159292205</v>
      </c>
      <c r="T31" s="461"/>
      <c r="V31" s="461"/>
      <c r="W31" s="461"/>
      <c r="X31" s="461"/>
      <c r="Y31" s="461"/>
      <c r="Z31" s="461"/>
      <c r="AA31" s="461"/>
      <c r="AB31" s="461"/>
      <c r="AC31" s="461"/>
    </row>
    <row r="32" spans="1:29" s="574" customFormat="1" ht="12" customHeight="1">
      <c r="A32" s="544"/>
      <c r="B32" s="568">
        <v>45616</v>
      </c>
      <c r="C32" s="916" t="s">
        <v>1108</v>
      </c>
      <c r="D32" s="921"/>
      <c r="E32" s="917">
        <v>10</v>
      </c>
      <c r="F32" s="569" t="s">
        <v>107</v>
      </c>
      <c r="G32" s="569"/>
      <c r="H32" s="569"/>
      <c r="I32" s="569"/>
      <c r="J32" s="569"/>
      <c r="K32" s="918">
        <v>1350</v>
      </c>
      <c r="L32" s="542">
        <v>7.0625</v>
      </c>
      <c r="M32" s="912">
        <f t="shared" si="11"/>
        <v>191.15044247787611</v>
      </c>
      <c r="N32" s="928">
        <f t="shared" si="12"/>
        <v>329145.3000000001</v>
      </c>
      <c r="O32" s="928">
        <f t="shared" si="13"/>
        <v>45746.226996002442</v>
      </c>
      <c r="P32" s="911" t="s">
        <v>1358</v>
      </c>
      <c r="Q32" s="641"/>
      <c r="R32" s="641"/>
      <c r="S32" s="883">
        <f t="shared" si="10"/>
        <v>7473.2277734513445</v>
      </c>
      <c r="T32" s="461"/>
      <c r="V32" s="461"/>
      <c r="W32" s="461"/>
      <c r="X32" s="461"/>
      <c r="Y32" s="461"/>
      <c r="Z32" s="461"/>
      <c r="AA32" s="461"/>
      <c r="AB32" s="461"/>
      <c r="AC32" s="461"/>
    </row>
    <row r="33" spans="1:29" s="574" customFormat="1" ht="12" customHeight="1">
      <c r="A33" s="544"/>
      <c r="B33" s="568">
        <v>45616</v>
      </c>
      <c r="C33" s="916" t="s">
        <v>305</v>
      </c>
      <c r="D33" s="921"/>
      <c r="E33" s="917">
        <v>10</v>
      </c>
      <c r="F33" s="569" t="s">
        <v>105</v>
      </c>
      <c r="G33" s="569" t="s">
        <v>227</v>
      </c>
      <c r="H33" s="569"/>
      <c r="I33" s="569"/>
      <c r="J33" s="569"/>
      <c r="K33" s="918">
        <v>7000</v>
      </c>
      <c r="L33" s="542">
        <v>7.0625</v>
      </c>
      <c r="M33" s="912">
        <f t="shared" si="11"/>
        <v>991.15044247787614</v>
      </c>
      <c r="N33" s="928">
        <f t="shared" si="12"/>
        <v>322145.3000000001</v>
      </c>
      <c r="O33" s="928">
        <f t="shared" si="13"/>
        <v>44755.076553524566</v>
      </c>
      <c r="P33" s="911" t="s">
        <v>1358</v>
      </c>
      <c r="Q33" s="641"/>
      <c r="R33" s="641"/>
      <c r="S33" s="883">
        <f t="shared" si="10"/>
        <v>6482.0773309734686</v>
      </c>
      <c r="T33" s="461"/>
      <c r="V33" s="461"/>
      <c r="W33" s="461"/>
      <c r="X33" s="461"/>
      <c r="Y33" s="461"/>
      <c r="Z33" s="461"/>
      <c r="AA33" s="461"/>
      <c r="AB33" s="461"/>
      <c r="AC33" s="461"/>
    </row>
    <row r="34" spans="1:29" s="574" customFormat="1" ht="12" customHeight="1">
      <c r="A34" s="544"/>
      <c r="B34" s="568">
        <v>45616</v>
      </c>
      <c r="C34" s="916" t="s">
        <v>1107</v>
      </c>
      <c r="D34" s="921"/>
      <c r="E34" s="917">
        <v>10</v>
      </c>
      <c r="F34" s="569" t="s">
        <v>107</v>
      </c>
      <c r="G34" s="569"/>
      <c r="H34" s="569"/>
      <c r="I34" s="569"/>
      <c r="J34" s="569"/>
      <c r="K34" s="918">
        <v>6000</v>
      </c>
      <c r="L34" s="542">
        <v>7.0625</v>
      </c>
      <c r="M34" s="912">
        <f t="shared" si="11"/>
        <v>849.55752212389382</v>
      </c>
      <c r="N34" s="928">
        <f t="shared" si="12"/>
        <v>316145.3000000001</v>
      </c>
      <c r="O34" s="928">
        <f t="shared" si="13"/>
        <v>43905.519031400676</v>
      </c>
      <c r="P34" s="911" t="s">
        <v>1358</v>
      </c>
      <c r="Q34" s="641"/>
      <c r="R34" s="641"/>
      <c r="S34" s="883">
        <f t="shared" si="10"/>
        <v>5632.5198088495745</v>
      </c>
      <c r="T34" s="461"/>
      <c r="V34" s="461"/>
      <c r="W34" s="461"/>
      <c r="X34" s="461"/>
      <c r="Y34" s="461"/>
      <c r="Z34" s="461"/>
      <c r="AA34" s="461"/>
      <c r="AB34" s="461"/>
      <c r="AC34" s="461"/>
    </row>
    <row r="35" spans="1:29" s="574" customFormat="1" ht="12" customHeight="1">
      <c r="A35" s="544"/>
      <c r="B35" s="568">
        <v>45616</v>
      </c>
      <c r="C35" s="916" t="s">
        <v>1108</v>
      </c>
      <c r="D35" s="921"/>
      <c r="E35" s="917">
        <v>10</v>
      </c>
      <c r="F35" s="569" t="s">
        <v>107</v>
      </c>
      <c r="G35" s="569"/>
      <c r="H35" s="569"/>
      <c r="I35" s="569"/>
      <c r="J35" s="569"/>
      <c r="K35" s="918">
        <f>110+510</f>
        <v>620</v>
      </c>
      <c r="L35" s="542">
        <v>7.0625</v>
      </c>
      <c r="M35" s="912">
        <f t="shared" si="11"/>
        <v>87.787610619469021</v>
      </c>
      <c r="N35" s="928">
        <f t="shared" si="12"/>
        <v>315525.3000000001</v>
      </c>
      <c r="O35" s="928">
        <f t="shared" si="13"/>
        <v>43817.731420781209</v>
      </c>
      <c r="P35" s="911" t="s">
        <v>1358</v>
      </c>
      <c r="Q35" s="641"/>
      <c r="R35" s="641"/>
      <c r="S35" s="883">
        <f t="shared" si="10"/>
        <v>5544.7321982301055</v>
      </c>
      <c r="T35" s="461"/>
      <c r="V35" s="461"/>
      <c r="W35" s="461"/>
      <c r="X35" s="461"/>
      <c r="Y35" s="461"/>
      <c r="Z35" s="461"/>
      <c r="AA35" s="461"/>
      <c r="AB35" s="461"/>
      <c r="AC35" s="461"/>
    </row>
    <row r="36" spans="1:29" s="574" customFormat="1" ht="12" customHeight="1">
      <c r="A36" s="544"/>
      <c r="B36" s="568">
        <v>45616</v>
      </c>
      <c r="C36" s="916" t="s">
        <v>445</v>
      </c>
      <c r="D36" s="921"/>
      <c r="E36" s="917">
        <v>10</v>
      </c>
      <c r="F36" s="569" t="s">
        <v>107</v>
      </c>
      <c r="G36" s="569"/>
      <c r="H36" s="569"/>
      <c r="I36" s="569"/>
      <c r="J36" s="569"/>
      <c r="K36" s="918">
        <v>7.2</v>
      </c>
      <c r="L36" s="542">
        <v>7.0625</v>
      </c>
      <c r="M36" s="912">
        <f t="shared" si="11"/>
        <v>1.0194690265486726</v>
      </c>
      <c r="N36" s="928">
        <f t="shared" si="12"/>
        <v>315518.10000000009</v>
      </c>
      <c r="O36" s="928">
        <f t="shared" si="13"/>
        <v>43816.71195175466</v>
      </c>
      <c r="P36" s="911" t="s">
        <v>1358</v>
      </c>
      <c r="Q36" s="641"/>
      <c r="R36" s="641"/>
      <c r="S36" s="883">
        <f t="shared" si="10"/>
        <v>5543.7127292035566</v>
      </c>
      <c r="T36" s="461"/>
      <c r="V36" s="461"/>
      <c r="W36" s="461"/>
      <c r="X36" s="461"/>
      <c r="Y36" s="461"/>
      <c r="Z36" s="461"/>
      <c r="AA36" s="461"/>
      <c r="AB36" s="461"/>
      <c r="AC36" s="461"/>
    </row>
    <row r="37" spans="1:29" s="574" customFormat="1" ht="12" customHeight="1">
      <c r="A37" s="544"/>
      <c r="B37" s="568">
        <v>45616</v>
      </c>
      <c r="C37" s="916" t="s">
        <v>885</v>
      </c>
      <c r="D37" s="921"/>
      <c r="E37" s="917">
        <v>44</v>
      </c>
      <c r="F37" s="569" t="s">
        <v>107</v>
      </c>
      <c r="G37" s="569"/>
      <c r="H37" s="569"/>
      <c r="I37" s="569"/>
      <c r="J37" s="569"/>
      <c r="K37" s="918">
        <v>16000</v>
      </c>
      <c r="L37" s="542">
        <v>7.0625</v>
      </c>
      <c r="M37" s="912">
        <f t="shared" si="11"/>
        <v>2265.4867256637167</v>
      </c>
      <c r="N37" s="928">
        <f t="shared" si="12"/>
        <v>299518.10000000009</v>
      </c>
      <c r="O37" s="928">
        <f t="shared" si="13"/>
        <v>41551.225226090944</v>
      </c>
      <c r="P37" s="911" t="s">
        <v>1358</v>
      </c>
      <c r="Q37" s="641"/>
      <c r="R37" s="641"/>
      <c r="S37" s="883">
        <f t="shared" si="10"/>
        <v>3278.2260035398399</v>
      </c>
      <c r="T37" s="461"/>
      <c r="V37" s="461"/>
      <c r="W37" s="461"/>
      <c r="X37" s="461"/>
      <c r="Y37" s="461"/>
      <c r="Z37" s="461"/>
      <c r="AA37" s="461"/>
      <c r="AB37" s="461"/>
      <c r="AC37" s="461"/>
    </row>
    <row r="38" spans="1:29" s="574" customFormat="1" ht="12" customHeight="1">
      <c r="A38" s="544"/>
      <c r="B38" s="568">
        <v>45616</v>
      </c>
      <c r="C38" s="916" t="s">
        <v>938</v>
      </c>
      <c r="D38" s="921"/>
      <c r="E38" s="917">
        <v>44</v>
      </c>
      <c r="F38" s="569" t="s">
        <v>107</v>
      </c>
      <c r="G38" s="569"/>
      <c r="H38" s="569"/>
      <c r="I38" s="569"/>
      <c r="J38" s="569"/>
      <c r="K38" s="918">
        <f>M38*L38</f>
        <v>23152.471150000118</v>
      </c>
      <c r="L38" s="542">
        <v>7.0625</v>
      </c>
      <c r="M38" s="912">
        <v>3278.2260035398399</v>
      </c>
      <c r="N38" s="928">
        <f t="shared" si="12"/>
        <v>276365.62884999998</v>
      </c>
      <c r="O38" s="928">
        <f t="shared" si="13"/>
        <v>38272.999222551101</v>
      </c>
      <c r="P38" s="911" t="s">
        <v>1358</v>
      </c>
      <c r="Q38" s="641"/>
      <c r="R38" s="641"/>
      <c r="S38" s="883">
        <f t="shared" si="10"/>
        <v>0</v>
      </c>
      <c r="T38" s="461"/>
      <c r="V38" s="461"/>
      <c r="W38" s="461"/>
      <c r="X38" s="461"/>
      <c r="Y38" s="461"/>
      <c r="Z38" s="461"/>
      <c r="AA38" s="461"/>
      <c r="AB38" s="461"/>
      <c r="AC38" s="461"/>
    </row>
    <row r="39" spans="1:29" s="574" customFormat="1" ht="12" customHeight="1">
      <c r="A39" s="544"/>
      <c r="B39" s="568">
        <v>45616</v>
      </c>
      <c r="C39" s="916" t="s">
        <v>938</v>
      </c>
      <c r="D39" s="921"/>
      <c r="E39" s="917">
        <v>45</v>
      </c>
      <c r="F39" s="569" t="s">
        <v>107</v>
      </c>
      <c r="G39" s="569"/>
      <c r="H39" s="569"/>
      <c r="I39" s="569"/>
      <c r="J39" s="569"/>
      <c r="K39" s="918">
        <f>24000-K38</f>
        <v>847.52884999988237</v>
      </c>
      <c r="L39" s="542">
        <v>7.2228999555822639</v>
      </c>
      <c r="M39" s="909">
        <f t="shared" ref="M39:M78" si="14">K39/L39</f>
        <v>117.33913735643871</v>
      </c>
      <c r="N39" s="928">
        <f t="shared" si="12"/>
        <v>275518.10000000009</v>
      </c>
      <c r="O39" s="928">
        <f t="shared" si="13"/>
        <v>38155.660085194664</v>
      </c>
      <c r="P39" s="911" t="s">
        <v>1366</v>
      </c>
      <c r="Q39" s="641"/>
      <c r="R39" s="641"/>
      <c r="S39" s="883">
        <f>38273-M39</f>
        <v>38155.660862643563</v>
      </c>
      <c r="T39" s="461"/>
      <c r="V39" s="461"/>
      <c r="W39" s="461"/>
      <c r="X39" s="461"/>
      <c r="Y39" s="461"/>
      <c r="Z39" s="461"/>
      <c r="AA39" s="461"/>
      <c r="AB39" s="461"/>
      <c r="AC39" s="461"/>
    </row>
    <row r="40" spans="1:29" s="574" customFormat="1" ht="11.25" customHeight="1">
      <c r="A40" s="544"/>
      <c r="B40" s="568">
        <v>45616</v>
      </c>
      <c r="C40" s="916" t="s">
        <v>887</v>
      </c>
      <c r="D40" s="921"/>
      <c r="E40" s="917">
        <v>44</v>
      </c>
      <c r="F40" s="569" t="s">
        <v>107</v>
      </c>
      <c r="G40" s="569"/>
      <c r="H40" s="569"/>
      <c r="I40" s="569"/>
      <c r="J40" s="569"/>
      <c r="K40" s="918">
        <v>5145.1900000000005</v>
      </c>
      <c r="L40" s="542">
        <v>7.2228999555822639</v>
      </c>
      <c r="M40" s="909">
        <f t="shared" si="14"/>
        <v>712.34407670613075</v>
      </c>
      <c r="N40" s="928">
        <f t="shared" si="12"/>
        <v>270372.91000000009</v>
      </c>
      <c r="O40" s="928">
        <f t="shared" si="13"/>
        <v>37443.316008488531</v>
      </c>
      <c r="P40" s="911" t="s">
        <v>1366</v>
      </c>
      <c r="Q40" s="641"/>
      <c r="R40" s="641"/>
      <c r="S40" s="883">
        <f>S39-M40</f>
        <v>37443.31678593743</v>
      </c>
      <c r="T40" s="461"/>
      <c r="V40" s="461"/>
      <c r="W40" s="461"/>
      <c r="X40" s="461"/>
      <c r="Y40" s="461"/>
      <c r="Z40" s="461"/>
      <c r="AA40" s="461"/>
      <c r="AB40" s="461"/>
      <c r="AC40" s="461"/>
    </row>
    <row r="41" spans="1:29" s="574" customFormat="1" ht="12" customHeight="1">
      <c r="A41" s="544"/>
      <c r="B41" s="568">
        <v>45616</v>
      </c>
      <c r="C41" s="916" t="s">
        <v>888</v>
      </c>
      <c r="D41" s="921"/>
      <c r="E41" s="917">
        <v>44</v>
      </c>
      <c r="F41" s="569" t="s">
        <v>107</v>
      </c>
      <c r="G41" s="569"/>
      <c r="H41" s="569"/>
      <c r="I41" s="569"/>
      <c r="J41" s="569"/>
      <c r="K41" s="918">
        <v>8342</v>
      </c>
      <c r="L41" s="542">
        <v>7.2228999555822639</v>
      </c>
      <c r="M41" s="909">
        <f t="shared" si="14"/>
        <v>1154.9377744811254</v>
      </c>
      <c r="N41" s="928">
        <f t="shared" si="12"/>
        <v>262030.91000000009</v>
      </c>
      <c r="O41" s="928">
        <f t="shared" si="13"/>
        <v>36288.378234007403</v>
      </c>
      <c r="P41" s="911" t="s">
        <v>1366</v>
      </c>
      <c r="Q41" s="641"/>
      <c r="R41" s="641"/>
      <c r="S41" s="883">
        <f t="shared" ref="S41:S91" si="15">S40-M41</f>
        <v>36288.379011456302</v>
      </c>
      <c r="T41" s="461"/>
      <c r="V41" s="461"/>
      <c r="W41" s="461"/>
      <c r="X41" s="461"/>
      <c r="Y41" s="461"/>
      <c r="Z41" s="461"/>
      <c r="AA41" s="461"/>
      <c r="AB41" s="461"/>
      <c r="AC41" s="461"/>
    </row>
    <row r="42" spans="1:29" s="574" customFormat="1" ht="12" customHeight="1">
      <c r="A42" s="544"/>
      <c r="B42" s="568">
        <v>45616</v>
      </c>
      <c r="C42" s="916" t="s">
        <v>892</v>
      </c>
      <c r="D42" s="921"/>
      <c r="E42" s="917">
        <v>44</v>
      </c>
      <c r="F42" s="569" t="s">
        <v>107</v>
      </c>
      <c r="G42" s="569"/>
      <c r="H42" s="569"/>
      <c r="I42" s="569"/>
      <c r="J42" s="569"/>
      <c r="K42" s="918">
        <v>300</v>
      </c>
      <c r="L42" s="542">
        <v>7.2228999555822639</v>
      </c>
      <c r="M42" s="909">
        <f t="shared" si="14"/>
        <v>41.534563934828299</v>
      </c>
      <c r="N42" s="928">
        <f t="shared" si="12"/>
        <v>261730.91000000009</v>
      </c>
      <c r="O42" s="928">
        <f t="shared" si="13"/>
        <v>36246.843670072572</v>
      </c>
      <c r="P42" s="911" t="s">
        <v>1366</v>
      </c>
      <c r="Q42" s="641"/>
      <c r="R42" s="641"/>
      <c r="S42" s="883">
        <f t="shared" si="15"/>
        <v>36246.844447521471</v>
      </c>
      <c r="T42" s="461"/>
      <c r="V42" s="461"/>
      <c r="W42" s="461"/>
      <c r="X42" s="461"/>
      <c r="Y42" s="461"/>
      <c r="Z42" s="461"/>
      <c r="AA42" s="461"/>
      <c r="AB42" s="461"/>
      <c r="AC42" s="461"/>
    </row>
    <row r="43" spans="1:29" s="574" customFormat="1" ht="12" customHeight="1">
      <c r="A43" s="544"/>
      <c r="B43" s="568">
        <v>45616</v>
      </c>
      <c r="C43" s="916" t="s">
        <v>885</v>
      </c>
      <c r="D43" s="921"/>
      <c r="E43" s="917">
        <v>44</v>
      </c>
      <c r="F43" s="569" t="s">
        <v>107</v>
      </c>
      <c r="G43" s="569"/>
      <c r="H43" s="569"/>
      <c r="I43" s="569"/>
      <c r="J43" s="569"/>
      <c r="K43" s="918">
        <v>15000</v>
      </c>
      <c r="L43" s="542">
        <v>7.2228999555822639</v>
      </c>
      <c r="M43" s="909">
        <f t="shared" si="14"/>
        <v>2076.7281967414146</v>
      </c>
      <c r="N43" s="928">
        <f t="shared" si="12"/>
        <v>246730.91000000009</v>
      </c>
      <c r="O43" s="928">
        <f t="shared" si="13"/>
        <v>34170.115473331156</v>
      </c>
      <c r="P43" s="911" t="s">
        <v>1366</v>
      </c>
      <c r="Q43" s="641"/>
      <c r="R43" s="641"/>
      <c r="S43" s="883">
        <f t="shared" si="15"/>
        <v>34170.116250780055</v>
      </c>
      <c r="T43" s="461"/>
      <c r="V43" s="461"/>
      <c r="W43" s="461"/>
      <c r="X43" s="461"/>
      <c r="Y43" s="461"/>
      <c r="Z43" s="461"/>
      <c r="AA43" s="461"/>
      <c r="AB43" s="461"/>
      <c r="AC43" s="461"/>
    </row>
    <row r="44" spans="1:29" s="574" customFormat="1" ht="12" customHeight="1">
      <c r="A44" s="544"/>
      <c r="B44" s="568">
        <v>45616</v>
      </c>
      <c r="C44" s="916" t="s">
        <v>938</v>
      </c>
      <c r="D44" s="921"/>
      <c r="E44" s="917">
        <v>44</v>
      </c>
      <c r="F44" s="569" t="s">
        <v>107</v>
      </c>
      <c r="G44" s="569"/>
      <c r="H44" s="569"/>
      <c r="I44" s="569"/>
      <c r="J44" s="569"/>
      <c r="K44" s="918">
        <v>22000</v>
      </c>
      <c r="L44" s="542">
        <v>7.2228999555822639</v>
      </c>
      <c r="M44" s="909">
        <f t="shared" si="14"/>
        <v>3045.8680218874083</v>
      </c>
      <c r="N44" s="928">
        <f t="shared" si="12"/>
        <v>224730.91000000009</v>
      </c>
      <c r="O44" s="928">
        <f t="shared" si="13"/>
        <v>31124.247451443749</v>
      </c>
      <c r="P44" s="911" t="s">
        <v>1366</v>
      </c>
      <c r="Q44" s="641"/>
      <c r="R44" s="641"/>
      <c r="S44" s="883">
        <f t="shared" si="15"/>
        <v>31124.248228892648</v>
      </c>
      <c r="T44" s="461"/>
      <c r="V44" s="461"/>
      <c r="W44" s="461"/>
      <c r="X44" s="461"/>
      <c r="Y44" s="461"/>
      <c r="Z44" s="461"/>
      <c r="AA44" s="461"/>
      <c r="AB44" s="461"/>
      <c r="AC44" s="461"/>
    </row>
    <row r="45" spans="1:29" s="574" customFormat="1" ht="12" customHeight="1">
      <c r="A45" s="544"/>
      <c r="B45" s="568">
        <v>45616</v>
      </c>
      <c r="C45" s="916" t="s">
        <v>887</v>
      </c>
      <c r="D45" s="921"/>
      <c r="E45" s="917">
        <v>44</v>
      </c>
      <c r="F45" s="569" t="s">
        <v>107</v>
      </c>
      <c r="G45" s="569"/>
      <c r="H45" s="569"/>
      <c r="I45" s="569"/>
      <c r="J45" s="569"/>
      <c r="K45" s="918">
        <v>8576.1899999999987</v>
      </c>
      <c r="L45" s="542">
        <v>7.2228999555822639</v>
      </c>
      <c r="M45" s="909">
        <f t="shared" si="14"/>
        <v>1187.3610395741168</v>
      </c>
      <c r="N45" s="928">
        <f t="shared" si="12"/>
        <v>216154.72000000009</v>
      </c>
      <c r="O45" s="928">
        <f t="shared" si="13"/>
        <v>29936.886411869633</v>
      </c>
      <c r="P45" s="911" t="s">
        <v>1366</v>
      </c>
      <c r="Q45" s="641"/>
      <c r="R45" s="641"/>
      <c r="S45" s="883">
        <f t="shared" si="15"/>
        <v>29936.887189318531</v>
      </c>
      <c r="T45" s="461"/>
      <c r="V45" s="461"/>
      <c r="W45" s="461"/>
      <c r="X45" s="461"/>
      <c r="Y45" s="461"/>
      <c r="Z45" s="461"/>
      <c r="AA45" s="461"/>
      <c r="AB45" s="461"/>
      <c r="AC45" s="461"/>
    </row>
    <row r="46" spans="1:29" s="574" customFormat="1" ht="12" customHeight="1">
      <c r="A46" s="544"/>
      <c r="B46" s="568">
        <v>45616</v>
      </c>
      <c r="C46" s="916" t="s">
        <v>888</v>
      </c>
      <c r="D46" s="921"/>
      <c r="E46" s="917">
        <v>44</v>
      </c>
      <c r="F46" s="569" t="s">
        <v>107</v>
      </c>
      <c r="G46" s="569"/>
      <c r="H46" s="569"/>
      <c r="I46" s="569"/>
      <c r="J46" s="569"/>
      <c r="K46" s="918">
        <v>6502.5</v>
      </c>
      <c r="L46" s="542">
        <v>7.2228999555822639</v>
      </c>
      <c r="M46" s="909">
        <f t="shared" si="14"/>
        <v>900.26167328740337</v>
      </c>
      <c r="N46" s="928">
        <f t="shared" si="12"/>
        <v>209652.22000000009</v>
      </c>
      <c r="O46" s="928">
        <f t="shared" si="13"/>
        <v>29036.624738582228</v>
      </c>
      <c r="P46" s="911" t="s">
        <v>1366</v>
      </c>
      <c r="Q46" s="641"/>
      <c r="R46" s="641"/>
      <c r="S46" s="883">
        <f t="shared" si="15"/>
        <v>29036.625516031127</v>
      </c>
      <c r="T46" s="461"/>
      <c r="V46" s="461"/>
      <c r="W46" s="461"/>
      <c r="X46" s="461"/>
      <c r="Y46" s="461"/>
      <c r="Z46" s="461"/>
      <c r="AA46" s="461"/>
      <c r="AB46" s="461"/>
      <c r="AC46" s="461"/>
    </row>
    <row r="47" spans="1:29" s="574" customFormat="1" ht="12" customHeight="1">
      <c r="A47" s="544"/>
      <c r="B47" s="568">
        <v>45616</v>
      </c>
      <c r="C47" s="916" t="s">
        <v>892</v>
      </c>
      <c r="D47" s="921"/>
      <c r="E47" s="917">
        <v>44</v>
      </c>
      <c r="F47" s="569" t="s">
        <v>107</v>
      </c>
      <c r="G47" s="569"/>
      <c r="H47" s="569"/>
      <c r="I47" s="569"/>
      <c r="J47" s="569"/>
      <c r="K47" s="918">
        <v>300</v>
      </c>
      <c r="L47" s="542">
        <v>7.2228999555822639</v>
      </c>
      <c r="M47" s="909">
        <f t="shared" si="14"/>
        <v>41.534563934828299</v>
      </c>
      <c r="N47" s="928">
        <f t="shared" si="12"/>
        <v>209352.22000000009</v>
      </c>
      <c r="O47" s="928">
        <f t="shared" si="13"/>
        <v>28995.090174647401</v>
      </c>
      <c r="P47" s="911" t="s">
        <v>1366</v>
      </c>
      <c r="Q47" s="641"/>
      <c r="R47" s="641"/>
      <c r="S47" s="883">
        <f t="shared" si="15"/>
        <v>28995.0909520963</v>
      </c>
      <c r="T47" s="461"/>
      <c r="V47" s="461"/>
      <c r="W47" s="461"/>
      <c r="X47" s="461"/>
      <c r="Y47" s="461"/>
      <c r="Z47" s="461"/>
      <c r="AA47" s="461"/>
      <c r="AB47" s="461"/>
      <c r="AC47" s="461"/>
    </row>
    <row r="48" spans="1:29" s="574" customFormat="1" ht="12" customHeight="1">
      <c r="A48" s="544"/>
      <c r="B48" s="568">
        <v>45616</v>
      </c>
      <c r="C48" s="916" t="s">
        <v>891</v>
      </c>
      <c r="D48" s="921"/>
      <c r="E48" s="917">
        <v>44</v>
      </c>
      <c r="F48" s="569" t="s">
        <v>107</v>
      </c>
      <c r="G48" s="569"/>
      <c r="H48" s="569"/>
      <c r="I48" s="569"/>
      <c r="J48" s="569"/>
      <c r="K48" s="918">
        <v>25750</v>
      </c>
      <c r="L48" s="542">
        <v>7.2228999555822639</v>
      </c>
      <c r="M48" s="909">
        <f t="shared" si="14"/>
        <v>3565.050071072762</v>
      </c>
      <c r="N48" s="928">
        <f t="shared" si="12"/>
        <v>183602.22000000009</v>
      </c>
      <c r="O48" s="928">
        <f t="shared" si="13"/>
        <v>25430.04010357464</v>
      </c>
      <c r="P48" s="911" t="s">
        <v>1366</v>
      </c>
      <c r="Q48" s="641"/>
      <c r="R48" s="641"/>
      <c r="S48" s="883">
        <f t="shared" si="15"/>
        <v>25430.040881023539</v>
      </c>
      <c r="T48" s="461"/>
      <c r="V48" s="461"/>
      <c r="W48" s="461"/>
      <c r="X48" s="461"/>
      <c r="Y48" s="461"/>
      <c r="Z48" s="461"/>
      <c r="AA48" s="461"/>
      <c r="AB48" s="461"/>
      <c r="AC48" s="461"/>
    </row>
    <row r="49" spans="1:29" s="574" customFormat="1" ht="12" customHeight="1">
      <c r="A49" s="544"/>
      <c r="B49" s="568">
        <v>45616</v>
      </c>
      <c r="C49" s="916" t="s">
        <v>939</v>
      </c>
      <c r="D49" s="921"/>
      <c r="E49" s="917">
        <v>44</v>
      </c>
      <c r="F49" s="569" t="s">
        <v>107</v>
      </c>
      <c r="G49" s="569"/>
      <c r="H49" s="569"/>
      <c r="I49" s="569"/>
      <c r="J49" s="569"/>
      <c r="K49" s="918">
        <v>7173.94</v>
      </c>
      <c r="L49" s="542">
        <v>7.2228999555822639</v>
      </c>
      <c r="M49" s="909">
        <f t="shared" si="14"/>
        <v>993.22156531540691</v>
      </c>
      <c r="N49" s="928">
        <f t="shared" si="12"/>
        <v>176428.28000000009</v>
      </c>
      <c r="O49" s="928">
        <f t="shared" si="13"/>
        <v>24436.818538259235</v>
      </c>
      <c r="P49" s="911" t="s">
        <v>1366</v>
      </c>
      <c r="Q49" s="641"/>
      <c r="R49" s="641"/>
      <c r="S49" s="883">
        <f t="shared" si="15"/>
        <v>24436.819315708133</v>
      </c>
      <c r="T49" s="461"/>
      <c r="V49" s="461"/>
      <c r="W49" s="461"/>
      <c r="X49" s="461"/>
      <c r="Y49" s="461"/>
      <c r="Z49" s="461"/>
      <c r="AA49" s="461"/>
      <c r="AB49" s="461"/>
      <c r="AC49" s="461"/>
    </row>
    <row r="50" spans="1:29" s="574" customFormat="1" ht="12" customHeight="1">
      <c r="A50" s="544"/>
      <c r="B50" s="568">
        <v>45616</v>
      </c>
      <c r="C50" s="916" t="s">
        <v>892</v>
      </c>
      <c r="D50" s="921"/>
      <c r="E50" s="917">
        <v>44</v>
      </c>
      <c r="F50" s="569" t="s">
        <v>107</v>
      </c>
      <c r="G50" s="569"/>
      <c r="H50" s="569"/>
      <c r="I50" s="569"/>
      <c r="J50" s="569"/>
      <c r="K50" s="918">
        <v>300</v>
      </c>
      <c r="L50" s="542">
        <v>7.2228999555822639</v>
      </c>
      <c r="M50" s="909">
        <f t="shared" si="14"/>
        <v>41.534563934828299</v>
      </c>
      <c r="N50" s="928">
        <f t="shared" si="12"/>
        <v>176128.28000000009</v>
      </c>
      <c r="O50" s="928">
        <f t="shared" si="13"/>
        <v>24395.283974324408</v>
      </c>
      <c r="P50" s="911" t="s">
        <v>1366</v>
      </c>
      <c r="Q50" s="641"/>
      <c r="R50" s="641"/>
      <c r="S50" s="883">
        <f t="shared" si="15"/>
        <v>24395.284751773306</v>
      </c>
      <c r="T50" s="461"/>
      <c r="V50" s="461"/>
      <c r="W50" s="461"/>
      <c r="X50" s="461"/>
      <c r="Y50" s="461"/>
      <c r="Z50" s="461"/>
      <c r="AA50" s="461"/>
      <c r="AB50" s="461"/>
      <c r="AC50" s="461"/>
    </row>
    <row r="51" spans="1:29" s="574" customFormat="1" ht="12" customHeight="1">
      <c r="A51" s="544"/>
      <c r="B51" s="568">
        <v>45616</v>
      </c>
      <c r="C51" s="916" t="s">
        <v>983</v>
      </c>
      <c r="D51" s="921"/>
      <c r="E51" s="917">
        <v>44</v>
      </c>
      <c r="F51" s="569" t="s">
        <v>107</v>
      </c>
      <c r="G51" s="569"/>
      <c r="H51" s="569"/>
      <c r="I51" s="569"/>
      <c r="J51" s="569"/>
      <c r="K51" s="918">
        <v>1200</v>
      </c>
      <c r="L51" s="542">
        <v>7.2228999555822639</v>
      </c>
      <c r="M51" s="909">
        <f t="shared" si="14"/>
        <v>166.13825573931319</v>
      </c>
      <c r="N51" s="928">
        <f t="shared" si="12"/>
        <v>174928.28000000009</v>
      </c>
      <c r="O51" s="928">
        <f t="shared" si="13"/>
        <v>24229.145718585096</v>
      </c>
      <c r="P51" s="911" t="s">
        <v>1366</v>
      </c>
      <c r="Q51" s="641"/>
      <c r="R51" s="641"/>
      <c r="S51" s="883">
        <f t="shared" si="15"/>
        <v>24229.146496033994</v>
      </c>
      <c r="T51" s="461"/>
      <c r="V51" s="461"/>
      <c r="W51" s="461"/>
      <c r="X51" s="461"/>
      <c r="Y51" s="461"/>
      <c r="Z51" s="461"/>
      <c r="AA51" s="461"/>
      <c r="AB51" s="461"/>
      <c r="AC51" s="461"/>
    </row>
    <row r="52" spans="1:29" s="574" customFormat="1" ht="12" customHeight="1">
      <c r="A52" s="544"/>
      <c r="B52" s="568">
        <v>45616</v>
      </c>
      <c r="C52" s="916" t="s">
        <v>891</v>
      </c>
      <c r="D52" s="921"/>
      <c r="E52" s="917">
        <v>44</v>
      </c>
      <c r="F52" s="569" t="s">
        <v>107</v>
      </c>
      <c r="G52" s="569"/>
      <c r="H52" s="569"/>
      <c r="I52" s="569"/>
      <c r="J52" s="569"/>
      <c r="K52" s="918">
        <v>13390</v>
      </c>
      <c r="L52" s="542">
        <v>7.2228999555822639</v>
      </c>
      <c r="M52" s="909">
        <f t="shared" si="14"/>
        <v>1853.8260369578363</v>
      </c>
      <c r="N52" s="928">
        <f t="shared" si="12"/>
        <v>161538.28000000009</v>
      </c>
      <c r="O52" s="928">
        <f t="shared" si="13"/>
        <v>22375.319681627261</v>
      </c>
      <c r="P52" s="911" t="s">
        <v>1366</v>
      </c>
      <c r="Q52" s="641"/>
      <c r="R52" s="641"/>
      <c r="S52" s="883">
        <f t="shared" si="15"/>
        <v>22375.32045907616</v>
      </c>
      <c r="T52" s="461"/>
      <c r="V52" s="461"/>
      <c r="W52" s="461"/>
      <c r="X52" s="461"/>
      <c r="Y52" s="461"/>
      <c r="Z52" s="461"/>
      <c r="AA52" s="461"/>
      <c r="AB52" s="461"/>
      <c r="AC52" s="461"/>
    </row>
    <row r="53" spans="1:29" s="574" customFormat="1" ht="12" customHeight="1">
      <c r="A53" s="544"/>
      <c r="B53" s="568">
        <v>45616</v>
      </c>
      <c r="C53" s="916" t="s">
        <v>939</v>
      </c>
      <c r="D53" s="921"/>
      <c r="E53" s="917">
        <v>44</v>
      </c>
      <c r="F53" s="569" t="s">
        <v>107</v>
      </c>
      <c r="G53" s="569"/>
      <c r="H53" s="569"/>
      <c r="I53" s="569"/>
      <c r="J53" s="569"/>
      <c r="K53" s="918">
        <v>3147.67</v>
      </c>
      <c r="L53" s="542">
        <v>7.2228999555822639</v>
      </c>
      <c r="M53" s="909">
        <f t="shared" si="14"/>
        <v>435.79033620246997</v>
      </c>
      <c r="N53" s="928">
        <f t="shared" si="12"/>
        <v>158390.61000000007</v>
      </c>
      <c r="O53" s="928">
        <f t="shared" si="13"/>
        <v>21939.529345424791</v>
      </c>
      <c r="P53" s="911" t="s">
        <v>1366</v>
      </c>
      <c r="Q53" s="641"/>
      <c r="R53" s="641"/>
      <c r="S53" s="883">
        <f t="shared" si="15"/>
        <v>21939.53012287369</v>
      </c>
      <c r="T53" s="461"/>
      <c r="V53" s="461"/>
      <c r="W53" s="461"/>
      <c r="X53" s="461"/>
      <c r="Y53" s="461"/>
      <c r="Z53" s="461"/>
      <c r="AA53" s="461"/>
      <c r="AB53" s="461"/>
      <c r="AC53" s="461"/>
    </row>
    <row r="54" spans="1:29" s="574" customFormat="1" ht="12" customHeight="1">
      <c r="A54" s="544"/>
      <c r="B54" s="568">
        <v>45616</v>
      </c>
      <c r="C54" s="916" t="s">
        <v>892</v>
      </c>
      <c r="D54" s="921"/>
      <c r="E54" s="917">
        <v>44</v>
      </c>
      <c r="F54" s="569" t="s">
        <v>107</v>
      </c>
      <c r="G54" s="569"/>
      <c r="H54" s="569"/>
      <c r="I54" s="569"/>
      <c r="J54" s="569"/>
      <c r="K54" s="918">
        <v>300</v>
      </c>
      <c r="L54" s="542">
        <v>7.2228999555822639</v>
      </c>
      <c r="M54" s="909">
        <f t="shared" si="14"/>
        <v>41.534563934828299</v>
      </c>
      <c r="N54" s="928">
        <f t="shared" si="12"/>
        <v>158090.61000000007</v>
      </c>
      <c r="O54" s="928">
        <f t="shared" si="13"/>
        <v>21897.994781489964</v>
      </c>
      <c r="P54" s="911" t="s">
        <v>1366</v>
      </c>
      <c r="Q54" s="641"/>
      <c r="R54" s="641"/>
      <c r="S54" s="883">
        <f t="shared" si="15"/>
        <v>21897.995558938863</v>
      </c>
      <c r="T54" s="461"/>
      <c r="V54" s="461"/>
      <c r="W54" s="461"/>
      <c r="X54" s="461"/>
      <c r="Y54" s="461"/>
      <c r="Z54" s="461"/>
      <c r="AA54" s="461"/>
      <c r="AB54" s="461"/>
      <c r="AC54" s="461"/>
    </row>
    <row r="55" spans="1:29" s="574" customFormat="1" ht="12" customHeight="1">
      <c r="A55" s="544"/>
      <c r="B55" s="568">
        <v>45616</v>
      </c>
      <c r="C55" s="916" t="s">
        <v>891</v>
      </c>
      <c r="D55" s="921"/>
      <c r="E55" s="917">
        <v>44</v>
      </c>
      <c r="F55" s="569" t="s">
        <v>107</v>
      </c>
      <c r="G55" s="569"/>
      <c r="H55" s="569"/>
      <c r="I55" s="569"/>
      <c r="J55" s="569"/>
      <c r="K55" s="918">
        <v>25750</v>
      </c>
      <c r="L55" s="542">
        <v>7.2228999555822639</v>
      </c>
      <c r="M55" s="909">
        <f t="shared" si="14"/>
        <v>3565.050071072762</v>
      </c>
      <c r="N55" s="928">
        <f t="shared" si="12"/>
        <v>132340.61000000007</v>
      </c>
      <c r="O55" s="928">
        <f t="shared" si="13"/>
        <v>18332.944710417203</v>
      </c>
      <c r="P55" s="911" t="s">
        <v>1366</v>
      </c>
      <c r="Q55" s="641"/>
      <c r="R55" s="641"/>
      <c r="S55" s="883">
        <f t="shared" si="15"/>
        <v>18332.945487866102</v>
      </c>
      <c r="T55" s="461"/>
      <c r="V55" s="461"/>
      <c r="W55" s="461"/>
      <c r="X55" s="461"/>
      <c r="Y55" s="461"/>
      <c r="Z55" s="461"/>
      <c r="AA55" s="461"/>
      <c r="AB55" s="461"/>
      <c r="AC55" s="461"/>
    </row>
    <row r="56" spans="1:29" s="574" customFormat="1" ht="12" customHeight="1">
      <c r="A56" s="544"/>
      <c r="B56" s="568">
        <v>45616</v>
      </c>
      <c r="C56" s="916" t="s">
        <v>939</v>
      </c>
      <c r="D56" s="921"/>
      <c r="E56" s="917">
        <v>44</v>
      </c>
      <c r="F56" s="569" t="s">
        <v>107</v>
      </c>
      <c r="G56" s="569"/>
      <c r="H56" s="569"/>
      <c r="I56" s="569"/>
      <c r="J56" s="569"/>
      <c r="K56" s="918">
        <v>7173.94</v>
      </c>
      <c r="L56" s="542">
        <v>7.2228999555822639</v>
      </c>
      <c r="M56" s="909">
        <f t="shared" si="14"/>
        <v>993.22156531540691</v>
      </c>
      <c r="N56" s="928">
        <f t="shared" si="12"/>
        <v>125166.67000000007</v>
      </c>
      <c r="O56" s="928">
        <f t="shared" si="13"/>
        <v>17339.723145101798</v>
      </c>
      <c r="P56" s="911" t="s">
        <v>1366</v>
      </c>
      <c r="Q56" s="641"/>
      <c r="R56" s="641"/>
      <c r="S56" s="883">
        <f t="shared" si="15"/>
        <v>17339.723922550696</v>
      </c>
      <c r="T56" s="461"/>
      <c r="V56" s="461"/>
      <c r="W56" s="461"/>
      <c r="X56" s="461"/>
      <c r="Y56" s="461"/>
      <c r="Z56" s="461"/>
      <c r="AA56" s="461"/>
      <c r="AB56" s="461"/>
      <c r="AC56" s="461"/>
    </row>
    <row r="57" spans="1:29" s="574" customFormat="1" ht="12" customHeight="1">
      <c r="A57" s="544"/>
      <c r="B57" s="568">
        <v>45616</v>
      </c>
      <c r="C57" s="916" t="s">
        <v>892</v>
      </c>
      <c r="D57" s="921"/>
      <c r="E57" s="917">
        <v>44</v>
      </c>
      <c r="F57" s="569" t="s">
        <v>107</v>
      </c>
      <c r="G57" s="569"/>
      <c r="H57" s="569"/>
      <c r="I57" s="569"/>
      <c r="J57" s="569"/>
      <c r="K57" s="918">
        <v>300</v>
      </c>
      <c r="L57" s="542">
        <v>7.2228999555822639</v>
      </c>
      <c r="M57" s="909">
        <f t="shared" si="14"/>
        <v>41.534563934828299</v>
      </c>
      <c r="N57" s="928">
        <f t="shared" si="12"/>
        <v>124866.67000000007</v>
      </c>
      <c r="O57" s="928">
        <f t="shared" si="13"/>
        <v>17298.188581166971</v>
      </c>
      <c r="P57" s="911" t="s">
        <v>1366</v>
      </c>
      <c r="Q57" s="641"/>
      <c r="R57" s="641"/>
      <c r="S57" s="883">
        <f t="shared" si="15"/>
        <v>17298.189358615869</v>
      </c>
      <c r="T57" s="461"/>
      <c r="V57" s="461"/>
      <c r="W57" s="461"/>
      <c r="X57" s="461"/>
      <c r="Y57" s="461"/>
      <c r="Z57" s="461"/>
      <c r="AA57" s="461"/>
      <c r="AB57" s="461"/>
      <c r="AC57" s="461"/>
    </row>
    <row r="58" spans="1:29" s="574" customFormat="1" ht="12" customHeight="1">
      <c r="A58" s="544"/>
      <c r="B58" s="568">
        <v>45616</v>
      </c>
      <c r="C58" s="916" t="s">
        <v>445</v>
      </c>
      <c r="D58" s="921"/>
      <c r="E58" s="917">
        <v>45</v>
      </c>
      <c r="F58" s="569" t="s">
        <v>107</v>
      </c>
      <c r="G58" s="569"/>
      <c r="H58" s="569"/>
      <c r="I58" s="569"/>
      <c r="J58" s="569"/>
      <c r="K58" s="918">
        <v>12</v>
      </c>
      <c r="L58" s="542">
        <v>7.2228999555822639</v>
      </c>
      <c r="M58" s="909">
        <f t="shared" si="14"/>
        <v>1.6613825573931318</v>
      </c>
      <c r="N58" s="928">
        <f t="shared" si="12"/>
        <v>124854.67000000007</v>
      </c>
      <c r="O58" s="928">
        <f t="shared" si="13"/>
        <v>17296.52719860958</v>
      </c>
      <c r="P58" s="911" t="s">
        <v>1366</v>
      </c>
      <c r="Q58" s="641"/>
      <c r="R58" s="641"/>
      <c r="S58" s="883">
        <f t="shared" si="15"/>
        <v>17296.527976058478</v>
      </c>
      <c r="T58" s="461"/>
      <c r="V58" s="461"/>
      <c r="W58" s="461"/>
      <c r="X58" s="461"/>
      <c r="Y58" s="461"/>
      <c r="Z58" s="461"/>
      <c r="AA58" s="461"/>
      <c r="AB58" s="461"/>
      <c r="AC58" s="461"/>
    </row>
    <row r="59" spans="1:29" s="574" customFormat="1" ht="12" customHeight="1">
      <c r="A59" s="544"/>
      <c r="B59" s="568">
        <v>45616</v>
      </c>
      <c r="C59" s="916" t="s">
        <v>306</v>
      </c>
      <c r="D59" s="921"/>
      <c r="E59" s="917">
        <v>11</v>
      </c>
      <c r="F59" s="569" t="s">
        <v>107</v>
      </c>
      <c r="G59" s="569"/>
      <c r="H59" s="569"/>
      <c r="I59" s="569"/>
      <c r="J59" s="569"/>
      <c r="K59" s="918">
        <v>1010</v>
      </c>
      <c r="L59" s="542">
        <v>7.2228999555822639</v>
      </c>
      <c r="M59" s="909">
        <f t="shared" si="14"/>
        <v>139.83303191392193</v>
      </c>
      <c r="N59" s="928">
        <f t="shared" si="12"/>
        <v>123844.67000000007</v>
      </c>
      <c r="O59" s="928">
        <f t="shared" si="13"/>
        <v>17156.694166695659</v>
      </c>
      <c r="P59" s="911" t="s">
        <v>1366</v>
      </c>
      <c r="Q59" s="641"/>
      <c r="R59" s="641"/>
      <c r="S59" s="883">
        <f t="shared" si="15"/>
        <v>17156.694944144558</v>
      </c>
      <c r="T59" s="461"/>
      <c r="V59" s="461"/>
      <c r="W59" s="461"/>
      <c r="X59" s="461"/>
      <c r="Y59" s="461"/>
      <c r="Z59" s="461"/>
      <c r="AA59" s="461"/>
      <c r="AB59" s="461"/>
      <c r="AC59" s="461"/>
    </row>
    <row r="60" spans="1:29" s="574" customFormat="1" ht="13.2">
      <c r="A60" s="544"/>
      <c r="B60" s="568">
        <v>45616</v>
      </c>
      <c r="C60" s="916" t="s">
        <v>445</v>
      </c>
      <c r="D60" s="921"/>
      <c r="E60" s="917">
        <v>12</v>
      </c>
      <c r="F60" s="569" t="s">
        <v>107</v>
      </c>
      <c r="G60" s="569"/>
      <c r="H60" s="569"/>
      <c r="I60" s="569"/>
      <c r="J60" s="569"/>
      <c r="K60" s="918">
        <v>3.6</v>
      </c>
      <c r="L60" s="542">
        <v>7.2228999555822639</v>
      </c>
      <c r="M60" s="909">
        <f t="shared" si="14"/>
        <v>0.49841476721793954</v>
      </c>
      <c r="N60" s="928">
        <f t="shared" si="12"/>
        <v>123841.07000000007</v>
      </c>
      <c r="O60" s="928">
        <f t="shared" si="13"/>
        <v>17156.195751928441</v>
      </c>
      <c r="P60" s="911" t="s">
        <v>1366</v>
      </c>
      <c r="Q60" s="641"/>
      <c r="R60" s="641"/>
      <c r="S60" s="883">
        <f t="shared" si="15"/>
        <v>17156.196529377339</v>
      </c>
      <c r="T60" s="461"/>
      <c r="V60" s="461"/>
      <c r="W60" s="461"/>
      <c r="X60" s="461"/>
      <c r="Y60" s="461"/>
      <c r="Z60" s="461"/>
      <c r="AA60" s="461"/>
      <c r="AB60" s="461"/>
      <c r="AC60" s="461"/>
    </row>
    <row r="61" spans="1:29" s="574" customFormat="1" ht="12" customHeight="1">
      <c r="A61" s="544"/>
      <c r="B61" s="568">
        <v>45616</v>
      </c>
      <c r="C61" s="916" t="s">
        <v>1362</v>
      </c>
      <c r="D61" s="921"/>
      <c r="E61" s="917">
        <v>13</v>
      </c>
      <c r="F61" s="569" t="s">
        <v>146</v>
      </c>
      <c r="G61" s="569" t="s">
        <v>147</v>
      </c>
      <c r="H61" s="569"/>
      <c r="I61" s="569"/>
      <c r="J61" s="569"/>
      <c r="K61" s="918">
        <v>141</v>
      </c>
      <c r="L61" s="542">
        <v>7.2228999555822639</v>
      </c>
      <c r="M61" s="909">
        <f t="shared" si="14"/>
        <v>19.521245049369298</v>
      </c>
      <c r="N61" s="928">
        <f t="shared" si="12"/>
        <v>123700.07000000007</v>
      </c>
      <c r="O61" s="928">
        <f t="shared" si="13"/>
        <v>17136.67450687907</v>
      </c>
      <c r="P61" s="911" t="s">
        <v>1366</v>
      </c>
      <c r="Q61" s="641"/>
      <c r="R61" s="641"/>
      <c r="S61" s="883">
        <f t="shared" si="15"/>
        <v>17136.675284327968</v>
      </c>
      <c r="T61" s="461"/>
      <c r="V61" s="461"/>
      <c r="W61" s="461"/>
      <c r="X61" s="461"/>
      <c r="Y61" s="461"/>
      <c r="Z61" s="461"/>
      <c r="AA61" s="461"/>
      <c r="AB61" s="461"/>
      <c r="AC61" s="461"/>
    </row>
    <row r="62" spans="1:29" s="574" customFormat="1" ht="12" customHeight="1">
      <c r="A62" s="544"/>
      <c r="B62" s="568">
        <v>45616</v>
      </c>
      <c r="C62" s="916" t="s">
        <v>1363</v>
      </c>
      <c r="D62" s="921"/>
      <c r="E62" s="917">
        <v>14</v>
      </c>
      <c r="F62" s="569" t="s">
        <v>146</v>
      </c>
      <c r="G62" s="569" t="s">
        <v>147</v>
      </c>
      <c r="H62" s="569"/>
      <c r="I62" s="569"/>
      <c r="J62" s="569"/>
      <c r="K62" s="569">
        <v>1410.1</v>
      </c>
      <c r="L62" s="542">
        <v>7.2228999555822639</v>
      </c>
      <c r="M62" s="909">
        <f t="shared" si="14"/>
        <v>195.22629534833791</v>
      </c>
      <c r="N62" s="928">
        <f t="shared" ref="N62:N78" si="16">N61+H62-K62</f>
        <v>122289.97000000006</v>
      </c>
      <c r="O62" s="928">
        <f t="shared" ref="O62:O78" si="17">O61+J62-M62</f>
        <v>16941.448211530733</v>
      </c>
      <c r="P62" s="911" t="s">
        <v>1366</v>
      </c>
      <c r="Q62" s="641"/>
      <c r="R62" s="641" t="s">
        <v>1369</v>
      </c>
      <c r="S62" s="883">
        <f t="shared" si="15"/>
        <v>16941.448988979631</v>
      </c>
      <c r="T62" s="461"/>
      <c r="V62" s="461"/>
      <c r="W62" s="461"/>
      <c r="X62" s="461"/>
      <c r="Y62" s="461"/>
      <c r="Z62" s="461"/>
      <c r="AA62" s="461"/>
      <c r="AB62" s="461"/>
      <c r="AC62" s="461"/>
    </row>
    <row r="63" spans="1:29" s="574" customFormat="1" ht="12" customHeight="1">
      <c r="A63" s="544"/>
      <c r="B63" s="568">
        <v>45616</v>
      </c>
      <c r="C63" s="916" t="s">
        <v>1364</v>
      </c>
      <c r="D63" s="921"/>
      <c r="E63" s="917">
        <v>15</v>
      </c>
      <c r="F63" s="569" t="s">
        <v>146</v>
      </c>
      <c r="G63" s="569" t="s">
        <v>147</v>
      </c>
      <c r="H63" s="569"/>
      <c r="I63" s="569"/>
      <c r="J63" s="569"/>
      <c r="K63" s="918">
        <v>171</v>
      </c>
      <c r="L63" s="542">
        <v>7.2228999555822639</v>
      </c>
      <c r="M63" s="909">
        <f t="shared" si="14"/>
        <v>23.674701442852129</v>
      </c>
      <c r="N63" s="928">
        <f t="shared" si="16"/>
        <v>122118.97000000006</v>
      </c>
      <c r="O63" s="928">
        <f t="shared" si="17"/>
        <v>16917.773510087882</v>
      </c>
      <c r="P63" s="911" t="s">
        <v>1366</v>
      </c>
      <c r="Q63" s="641"/>
      <c r="R63" s="641"/>
      <c r="S63" s="883">
        <f t="shared" si="15"/>
        <v>16917.77428753678</v>
      </c>
      <c r="T63" s="461"/>
      <c r="V63" s="461"/>
      <c r="W63" s="461"/>
      <c r="X63" s="461"/>
      <c r="Y63" s="461"/>
      <c r="Z63" s="461"/>
      <c r="AA63" s="461"/>
      <c r="AB63" s="461"/>
      <c r="AC63" s="461"/>
    </row>
    <row r="64" spans="1:29" s="574" customFormat="1" ht="12" customHeight="1">
      <c r="A64" s="544"/>
      <c r="B64" s="568">
        <v>45616</v>
      </c>
      <c r="C64" s="916" t="s">
        <v>250</v>
      </c>
      <c r="D64" s="921"/>
      <c r="E64" s="917">
        <v>16</v>
      </c>
      <c r="F64" s="569" t="s">
        <v>107</v>
      </c>
      <c r="G64" s="569"/>
      <c r="H64" s="569"/>
      <c r="I64" s="569"/>
      <c r="J64" s="569"/>
      <c r="K64" s="918">
        <v>3.6</v>
      </c>
      <c r="L64" s="542">
        <v>7.2228999555822639</v>
      </c>
      <c r="M64" s="909">
        <f t="shared" si="14"/>
        <v>0.49841476721793954</v>
      </c>
      <c r="N64" s="928">
        <f t="shared" si="16"/>
        <v>122115.37000000005</v>
      </c>
      <c r="O64" s="928">
        <f t="shared" si="17"/>
        <v>16917.275095320663</v>
      </c>
      <c r="P64" s="911" t="s">
        <v>1366</v>
      </c>
      <c r="Q64" s="641"/>
      <c r="R64" s="641"/>
      <c r="S64" s="883">
        <f t="shared" si="15"/>
        <v>16917.275872769562</v>
      </c>
      <c r="T64" s="461"/>
      <c r="V64" s="461"/>
      <c r="W64" s="461"/>
      <c r="X64" s="461"/>
      <c r="Y64" s="461"/>
      <c r="Z64" s="461"/>
      <c r="AA64" s="461"/>
      <c r="AB64" s="461"/>
      <c r="AC64" s="461"/>
    </row>
    <row r="65" spans="1:29" s="574" customFormat="1" ht="12" customHeight="1">
      <c r="A65" s="544"/>
      <c r="B65" s="568">
        <v>45616</v>
      </c>
      <c r="C65" s="916" t="s">
        <v>1011</v>
      </c>
      <c r="D65" s="921"/>
      <c r="E65" s="917">
        <v>17</v>
      </c>
      <c r="F65" s="569" t="s">
        <v>116</v>
      </c>
      <c r="G65" s="569" t="s">
        <v>140</v>
      </c>
      <c r="H65" s="569"/>
      <c r="I65" s="569"/>
      <c r="J65" s="569"/>
      <c r="K65" s="918">
        <v>299.39999999999998</v>
      </c>
      <c r="L65" s="542">
        <v>7.2228999555822639</v>
      </c>
      <c r="M65" s="909">
        <f t="shared" si="14"/>
        <v>41.451494806958635</v>
      </c>
      <c r="N65" s="928">
        <f t="shared" si="16"/>
        <v>121815.97000000006</v>
      </c>
      <c r="O65" s="928">
        <f t="shared" si="17"/>
        <v>16875.823600513704</v>
      </c>
      <c r="P65" s="911" t="s">
        <v>1366</v>
      </c>
      <c r="Q65" s="641"/>
      <c r="R65" s="641"/>
      <c r="S65" s="883">
        <f t="shared" si="15"/>
        <v>16875.824377962603</v>
      </c>
      <c r="T65" s="461"/>
      <c r="V65" s="461"/>
      <c r="W65" s="461"/>
      <c r="X65" s="461"/>
      <c r="Y65" s="461"/>
      <c r="Z65" s="461"/>
      <c r="AA65" s="461"/>
      <c r="AB65" s="461"/>
      <c r="AC65" s="461"/>
    </row>
    <row r="66" spans="1:29" s="574" customFormat="1" ht="12" customHeight="1">
      <c r="A66" s="544"/>
      <c r="B66" s="568">
        <v>45616</v>
      </c>
      <c r="C66" s="916" t="s">
        <v>1090</v>
      </c>
      <c r="D66" s="921"/>
      <c r="E66" s="917">
        <v>18</v>
      </c>
      <c r="F66" s="569" t="s">
        <v>146</v>
      </c>
      <c r="G66" s="569" t="s">
        <v>147</v>
      </c>
      <c r="H66" s="569"/>
      <c r="I66" s="569"/>
      <c r="J66" s="569"/>
      <c r="K66" s="918">
        <v>521.64</v>
      </c>
      <c r="L66" s="542">
        <v>7.2228999555822639</v>
      </c>
      <c r="M66" s="909">
        <f t="shared" si="14"/>
        <v>72.220299769879432</v>
      </c>
      <c r="N66" s="928">
        <f t="shared" si="16"/>
        <v>121294.33000000006</v>
      </c>
      <c r="O66" s="928">
        <f t="shared" si="17"/>
        <v>16803.603300743824</v>
      </c>
      <c r="P66" s="911" t="s">
        <v>1366</v>
      </c>
      <c r="Q66" s="641"/>
      <c r="R66" s="641"/>
      <c r="S66" s="883">
        <f t="shared" si="15"/>
        <v>16803.604078192722</v>
      </c>
      <c r="T66" s="461"/>
      <c r="V66" s="461"/>
      <c r="W66" s="461"/>
      <c r="X66" s="461"/>
      <c r="Y66" s="461"/>
      <c r="Z66" s="461"/>
      <c r="AA66" s="461"/>
      <c r="AB66" s="461"/>
      <c r="AC66" s="461"/>
    </row>
    <row r="67" spans="1:29" s="574" customFormat="1" ht="12" customHeight="1">
      <c r="A67" s="544"/>
      <c r="B67" s="568">
        <v>45616</v>
      </c>
      <c r="C67" s="916" t="s">
        <v>1007</v>
      </c>
      <c r="D67" s="921"/>
      <c r="E67" s="917">
        <v>19</v>
      </c>
      <c r="F67" s="569" t="s">
        <v>107</v>
      </c>
      <c r="G67" s="569"/>
      <c r="H67" s="569"/>
      <c r="I67" s="569"/>
      <c r="J67" s="569"/>
      <c r="K67" s="918">
        <v>427.8</v>
      </c>
      <c r="L67" s="542">
        <v>7.2228999555822639</v>
      </c>
      <c r="M67" s="909">
        <f t="shared" si="14"/>
        <v>59.228288171065152</v>
      </c>
      <c r="N67" s="928">
        <f t="shared" si="16"/>
        <v>120866.53000000006</v>
      </c>
      <c r="O67" s="928">
        <f t="shared" si="17"/>
        <v>16744.37501257276</v>
      </c>
      <c r="P67" s="911" t="s">
        <v>1366</v>
      </c>
      <c r="Q67" s="641"/>
      <c r="R67" s="641"/>
      <c r="S67" s="883">
        <f t="shared" si="15"/>
        <v>16744.375790021659</v>
      </c>
      <c r="T67" s="461"/>
      <c r="V67" s="461"/>
      <c r="W67" s="461"/>
      <c r="X67" s="461"/>
      <c r="Y67" s="461"/>
      <c r="Z67" s="461"/>
      <c r="AA67" s="461"/>
      <c r="AB67" s="461"/>
      <c r="AC67" s="461"/>
    </row>
    <row r="68" spans="1:29" s="574" customFormat="1" ht="12" customHeight="1">
      <c r="A68" s="544"/>
      <c r="B68" s="568">
        <v>45616</v>
      </c>
      <c r="C68" s="916" t="s">
        <v>250</v>
      </c>
      <c r="D68" s="921"/>
      <c r="E68" s="917">
        <v>20</v>
      </c>
      <c r="F68" s="569" t="s">
        <v>107</v>
      </c>
      <c r="G68" s="569"/>
      <c r="H68" s="569"/>
      <c r="I68" s="569"/>
      <c r="J68" s="569"/>
      <c r="K68" s="918">
        <v>3.6</v>
      </c>
      <c r="L68" s="542">
        <v>7.2228999555822639</v>
      </c>
      <c r="M68" s="909">
        <f t="shared" si="14"/>
        <v>0.49841476721793954</v>
      </c>
      <c r="N68" s="928">
        <f t="shared" si="16"/>
        <v>120862.93000000005</v>
      </c>
      <c r="O68" s="928">
        <f t="shared" si="17"/>
        <v>16743.876597805542</v>
      </c>
      <c r="P68" s="911" t="s">
        <v>1366</v>
      </c>
      <c r="Q68" s="641"/>
      <c r="R68" s="641"/>
      <c r="S68" s="883">
        <f t="shared" si="15"/>
        <v>16743.87737525444</v>
      </c>
      <c r="T68" s="461"/>
      <c r="V68" s="461"/>
      <c r="W68" s="461"/>
      <c r="X68" s="461"/>
      <c r="Y68" s="461"/>
      <c r="Z68" s="461"/>
      <c r="AA68" s="461"/>
      <c r="AB68" s="461"/>
      <c r="AC68" s="461"/>
    </row>
    <row r="69" spans="1:29" s="574" customFormat="1" ht="12" customHeight="1">
      <c r="A69" s="544"/>
      <c r="B69" s="568">
        <v>45616</v>
      </c>
      <c r="C69" s="916" t="s">
        <v>1153</v>
      </c>
      <c r="D69" s="921"/>
      <c r="E69" s="917">
        <v>21</v>
      </c>
      <c r="F69" s="569" t="s">
        <v>146</v>
      </c>
      <c r="G69" s="569" t="s">
        <v>147</v>
      </c>
      <c r="H69" s="569"/>
      <c r="I69" s="569"/>
      <c r="J69" s="569"/>
      <c r="K69" s="918">
        <v>9625</v>
      </c>
      <c r="L69" s="542">
        <v>7.2228999555822639</v>
      </c>
      <c r="M69" s="909">
        <f t="shared" si="14"/>
        <v>1332.5672595757412</v>
      </c>
      <c r="N69" s="928">
        <f t="shared" si="16"/>
        <v>111237.93000000005</v>
      </c>
      <c r="O69" s="928">
        <f t="shared" si="17"/>
        <v>15411.309338229801</v>
      </c>
      <c r="P69" s="911" t="s">
        <v>1366</v>
      </c>
      <c r="Q69" s="641"/>
      <c r="R69" s="641"/>
      <c r="S69" s="883">
        <f t="shared" si="15"/>
        <v>15411.3101156787</v>
      </c>
      <c r="T69" s="461"/>
      <c r="V69" s="461"/>
      <c r="W69" s="461"/>
      <c r="X69" s="461"/>
      <c r="Y69" s="461"/>
      <c r="Z69" s="461"/>
      <c r="AA69" s="461"/>
      <c r="AB69" s="461"/>
      <c r="AC69" s="461"/>
    </row>
    <row r="70" spans="1:29" s="574" customFormat="1" ht="12" customHeight="1">
      <c r="A70" s="544"/>
      <c r="B70" s="568">
        <v>45616</v>
      </c>
      <c r="C70" s="916" t="s">
        <v>1323</v>
      </c>
      <c r="D70" s="921"/>
      <c r="E70" s="917">
        <v>22</v>
      </c>
      <c r="F70" s="569" t="s">
        <v>146</v>
      </c>
      <c r="G70" s="569" t="s">
        <v>147</v>
      </c>
      <c r="H70" s="569"/>
      <c r="I70" s="569"/>
      <c r="J70" s="569"/>
      <c r="K70" s="918">
        <v>1316.76</v>
      </c>
      <c r="L70" s="542">
        <v>7.2228999555822639</v>
      </c>
      <c r="M70" s="909">
        <f t="shared" si="14"/>
        <v>182.30350802274836</v>
      </c>
      <c r="N70" s="928">
        <f t="shared" si="16"/>
        <v>109921.17000000006</v>
      </c>
      <c r="O70" s="928">
        <f t="shared" si="17"/>
        <v>15229.005830207052</v>
      </c>
      <c r="P70" s="911" t="s">
        <v>1366</v>
      </c>
      <c r="Q70" s="641"/>
      <c r="R70" s="641"/>
      <c r="S70" s="883">
        <f t="shared" si="15"/>
        <v>15229.006607655951</v>
      </c>
      <c r="T70" s="461"/>
      <c r="V70" s="461"/>
      <c r="W70" s="461"/>
      <c r="X70" s="461"/>
      <c r="Y70" s="461"/>
      <c r="Z70" s="461"/>
      <c r="AA70" s="461"/>
      <c r="AB70" s="461"/>
      <c r="AC70" s="461"/>
    </row>
    <row r="71" spans="1:29" s="574" customFormat="1" ht="12" customHeight="1">
      <c r="A71" s="544"/>
      <c r="B71" s="568">
        <v>45616</v>
      </c>
      <c r="C71" s="916" t="s">
        <v>852</v>
      </c>
      <c r="D71" s="921"/>
      <c r="E71" s="917">
        <v>23</v>
      </c>
      <c r="F71" s="569" t="s">
        <v>107</v>
      </c>
      <c r="G71" s="569"/>
      <c r="H71" s="569"/>
      <c r="I71" s="569"/>
      <c r="J71" s="569"/>
      <c r="K71" s="918">
        <v>126</v>
      </c>
      <c r="L71" s="542">
        <v>7.2228999555822639</v>
      </c>
      <c r="M71" s="909">
        <f t="shared" si="14"/>
        <v>17.444516852627885</v>
      </c>
      <c r="N71" s="928">
        <f t="shared" si="16"/>
        <v>109795.17000000006</v>
      </c>
      <c r="O71" s="928">
        <f t="shared" si="17"/>
        <v>15211.561313354425</v>
      </c>
      <c r="P71" s="911" t="s">
        <v>1366</v>
      </c>
      <c r="Q71" s="641"/>
      <c r="R71" s="641"/>
      <c r="S71" s="883">
        <f t="shared" si="15"/>
        <v>15211.562090803323</v>
      </c>
      <c r="T71" s="461"/>
      <c r="V71" s="461"/>
      <c r="W71" s="461"/>
      <c r="X71" s="461"/>
      <c r="Y71" s="461"/>
      <c r="Z71" s="461"/>
      <c r="AA71" s="461"/>
      <c r="AB71" s="461"/>
      <c r="AC71" s="461"/>
    </row>
    <row r="72" spans="1:29" s="574" customFormat="1" ht="12" customHeight="1">
      <c r="A72" s="544"/>
      <c r="B72" s="568">
        <v>45616</v>
      </c>
      <c r="C72" s="916" t="s">
        <v>851</v>
      </c>
      <c r="D72" s="921"/>
      <c r="E72" s="917">
        <v>24</v>
      </c>
      <c r="F72" s="569" t="s">
        <v>116</v>
      </c>
      <c r="G72" s="569" t="s">
        <v>140</v>
      </c>
      <c r="H72" s="569"/>
      <c r="I72" s="569"/>
      <c r="J72" s="569"/>
      <c r="K72" s="918">
        <v>149</v>
      </c>
      <c r="L72" s="542">
        <v>7.2228999555822639</v>
      </c>
      <c r="M72" s="909">
        <f t="shared" si="14"/>
        <v>20.628833420964721</v>
      </c>
      <c r="N72" s="928">
        <f t="shared" si="16"/>
        <v>109646.17000000006</v>
      </c>
      <c r="O72" s="928">
        <f t="shared" si="17"/>
        <v>15190.932479933461</v>
      </c>
      <c r="P72" s="911" t="s">
        <v>1366</v>
      </c>
      <c r="Q72" s="641"/>
      <c r="R72" s="641"/>
      <c r="S72" s="883">
        <f t="shared" si="15"/>
        <v>15190.933257382359</v>
      </c>
      <c r="T72" s="461"/>
      <c r="V72" s="461"/>
      <c r="W72" s="461"/>
      <c r="X72" s="461"/>
      <c r="Y72" s="461"/>
      <c r="Z72" s="461"/>
      <c r="AA72" s="461"/>
      <c r="AB72" s="461"/>
      <c r="AC72" s="461"/>
    </row>
    <row r="73" spans="1:29" s="574" customFormat="1" ht="12" customHeight="1">
      <c r="A73" s="544"/>
      <c r="B73" s="568">
        <v>45616</v>
      </c>
      <c r="C73" s="916" t="s">
        <v>250</v>
      </c>
      <c r="D73" s="921"/>
      <c r="E73" s="917">
        <v>25</v>
      </c>
      <c r="F73" s="569" t="s">
        <v>107</v>
      </c>
      <c r="G73" s="569"/>
      <c r="H73" s="569"/>
      <c r="I73" s="569"/>
      <c r="J73" s="569"/>
      <c r="K73" s="918">
        <v>7.2</v>
      </c>
      <c r="L73" s="542">
        <v>7.2228999555822639</v>
      </c>
      <c r="M73" s="909">
        <f t="shared" si="14"/>
        <v>0.99682953443587907</v>
      </c>
      <c r="N73" s="928">
        <f t="shared" si="16"/>
        <v>109638.97000000006</v>
      </c>
      <c r="O73" s="928">
        <f t="shared" si="17"/>
        <v>15189.935650399026</v>
      </c>
      <c r="P73" s="911" t="s">
        <v>1366</v>
      </c>
      <c r="Q73" s="641"/>
      <c r="R73" s="641"/>
      <c r="S73" s="883">
        <f t="shared" si="15"/>
        <v>15189.936427847924</v>
      </c>
      <c r="T73" s="461"/>
      <c r="V73" s="461"/>
      <c r="W73" s="461"/>
      <c r="X73" s="461"/>
      <c r="Y73" s="461"/>
      <c r="Z73" s="461"/>
      <c r="AA73" s="461"/>
      <c r="AB73" s="461"/>
      <c r="AC73" s="461"/>
    </row>
    <row r="74" spans="1:29" s="574" customFormat="1" ht="12" customHeight="1">
      <c r="A74" s="544"/>
      <c r="B74" s="568">
        <v>45616</v>
      </c>
      <c r="C74" s="916" t="s">
        <v>1293</v>
      </c>
      <c r="D74" s="921"/>
      <c r="E74" s="917">
        <v>26</v>
      </c>
      <c r="F74" s="569" t="s">
        <v>146</v>
      </c>
      <c r="G74" s="569" t="s">
        <v>147</v>
      </c>
      <c r="H74" s="569"/>
      <c r="I74" s="569"/>
      <c r="J74" s="569"/>
      <c r="K74" s="918">
        <v>815.16</v>
      </c>
      <c r="L74" s="542">
        <v>7.2228999555822639</v>
      </c>
      <c r="M74" s="909">
        <f t="shared" si="14"/>
        <v>112.85771712371545</v>
      </c>
      <c r="N74" s="928">
        <f t="shared" si="16"/>
        <v>108823.81000000006</v>
      </c>
      <c r="O74" s="928">
        <f t="shared" si="17"/>
        <v>15077.07793327531</v>
      </c>
      <c r="P74" s="911" t="s">
        <v>1366</v>
      </c>
      <c r="Q74" s="641"/>
      <c r="R74" s="641"/>
      <c r="S74" s="883">
        <f t="shared" si="15"/>
        <v>15077.078710724209</v>
      </c>
      <c r="T74" s="461"/>
      <c r="V74" s="461"/>
      <c r="W74" s="461"/>
      <c r="X74" s="461"/>
      <c r="Y74" s="461"/>
      <c r="Z74" s="461"/>
      <c r="AA74" s="461"/>
      <c r="AB74" s="461"/>
      <c r="AC74" s="461"/>
    </row>
    <row r="75" spans="1:29" s="574" customFormat="1" ht="12" customHeight="1">
      <c r="A75" s="544"/>
      <c r="B75" s="568">
        <v>45616</v>
      </c>
      <c r="C75" s="916" t="s">
        <v>1248</v>
      </c>
      <c r="D75" s="921"/>
      <c r="E75" s="917">
        <v>27</v>
      </c>
      <c r="F75" s="569" t="s">
        <v>116</v>
      </c>
      <c r="G75" s="569" t="s">
        <v>140</v>
      </c>
      <c r="H75" s="569"/>
      <c r="I75" s="569"/>
      <c r="J75" s="569"/>
      <c r="K75" s="918">
        <v>299.2</v>
      </c>
      <c r="L75" s="542">
        <v>7.2228999555822639</v>
      </c>
      <c r="M75" s="909">
        <f t="shared" si="14"/>
        <v>41.423805097668755</v>
      </c>
      <c r="N75" s="928">
        <f t="shared" si="16"/>
        <v>108524.61000000006</v>
      </c>
      <c r="O75" s="928">
        <f t="shared" si="17"/>
        <v>15035.654128177641</v>
      </c>
      <c r="P75" s="911" t="s">
        <v>1366</v>
      </c>
      <c r="Q75" s="641"/>
      <c r="R75" s="641"/>
      <c r="S75" s="883">
        <f t="shared" si="15"/>
        <v>15035.654905626539</v>
      </c>
      <c r="T75" s="461"/>
      <c r="V75" s="461"/>
      <c r="W75" s="461"/>
      <c r="X75" s="461"/>
      <c r="Y75" s="461"/>
      <c r="Z75" s="461"/>
      <c r="AA75" s="461"/>
      <c r="AB75" s="461"/>
      <c r="AC75" s="461"/>
    </row>
    <row r="76" spans="1:29" s="574" customFormat="1" ht="12" customHeight="1">
      <c r="A76" s="544"/>
      <c r="B76" s="568">
        <v>45616</v>
      </c>
      <c r="C76" s="916" t="s">
        <v>1249</v>
      </c>
      <c r="D76" s="921"/>
      <c r="E76" s="917">
        <v>28</v>
      </c>
      <c r="F76" s="569" t="s">
        <v>107</v>
      </c>
      <c r="G76" s="569"/>
      <c r="H76" s="569"/>
      <c r="I76" s="569"/>
      <c r="J76" s="569"/>
      <c r="K76" s="918">
        <v>28</v>
      </c>
      <c r="L76" s="542">
        <v>7.2228999555822639</v>
      </c>
      <c r="M76" s="909">
        <f t="shared" si="14"/>
        <v>3.8765593005839745</v>
      </c>
      <c r="N76" s="928">
        <f t="shared" si="16"/>
        <v>108496.61000000006</v>
      </c>
      <c r="O76" s="928">
        <f t="shared" si="17"/>
        <v>15031.777568877056</v>
      </c>
      <c r="P76" s="911" t="s">
        <v>1366</v>
      </c>
      <c r="Q76" s="641"/>
      <c r="R76" s="641"/>
      <c r="S76" s="883">
        <f t="shared" si="15"/>
        <v>15031.778346325955</v>
      </c>
      <c r="T76" s="461"/>
      <c r="V76" s="461"/>
      <c r="W76" s="461"/>
      <c r="X76" s="461"/>
      <c r="Y76" s="461"/>
      <c r="Z76" s="461"/>
      <c r="AA76" s="461"/>
      <c r="AB76" s="461"/>
      <c r="AC76" s="461"/>
    </row>
    <row r="77" spans="1:29" s="574" customFormat="1" ht="12" customHeight="1">
      <c r="A77" s="544"/>
      <c r="B77" s="568">
        <v>45616</v>
      </c>
      <c r="C77" s="916" t="s">
        <v>1292</v>
      </c>
      <c r="D77" s="921"/>
      <c r="E77" s="917">
        <v>29</v>
      </c>
      <c r="F77" s="569" t="s">
        <v>125</v>
      </c>
      <c r="G77" s="569" t="s">
        <v>145</v>
      </c>
      <c r="H77" s="569"/>
      <c r="I77" s="569"/>
      <c r="J77" s="569"/>
      <c r="K77" s="918">
        <v>8141.83</v>
      </c>
      <c r="L77" s="542">
        <v>7.2228999555822639</v>
      </c>
      <c r="M77" s="909">
        <f t="shared" si="14"/>
        <v>1127.2245289383436</v>
      </c>
      <c r="N77" s="928">
        <f t="shared" si="16"/>
        <v>100354.78000000006</v>
      </c>
      <c r="O77" s="928">
        <f t="shared" si="17"/>
        <v>13904.553039938713</v>
      </c>
      <c r="P77" s="911" t="s">
        <v>1366</v>
      </c>
      <c r="Q77" s="641"/>
      <c r="R77" s="641"/>
      <c r="S77" s="883">
        <f t="shared" si="15"/>
        <v>13904.553817387612</v>
      </c>
      <c r="T77" s="461"/>
      <c r="V77" s="461"/>
      <c r="W77" s="461"/>
      <c r="X77" s="461"/>
      <c r="Y77" s="461"/>
      <c r="Z77" s="461"/>
      <c r="AA77" s="461"/>
      <c r="AB77" s="461"/>
      <c r="AC77" s="461"/>
    </row>
    <row r="78" spans="1:29" s="574" customFormat="1" ht="12" customHeight="1">
      <c r="A78" s="544"/>
      <c r="B78" s="568">
        <v>45616</v>
      </c>
      <c r="C78" s="916" t="s">
        <v>250</v>
      </c>
      <c r="D78" s="921"/>
      <c r="E78" s="917">
        <v>30</v>
      </c>
      <c r="F78" s="569" t="s">
        <v>107</v>
      </c>
      <c r="G78" s="569"/>
      <c r="H78" s="569"/>
      <c r="I78" s="569"/>
      <c r="J78" s="569"/>
      <c r="K78" s="918">
        <v>3.6</v>
      </c>
      <c r="L78" s="542">
        <v>7.2228999555822639</v>
      </c>
      <c r="M78" s="909">
        <f t="shared" si="14"/>
        <v>0.49841476721793954</v>
      </c>
      <c r="N78" s="928">
        <f t="shared" si="16"/>
        <v>100351.18000000005</v>
      </c>
      <c r="O78" s="928">
        <f t="shared" si="17"/>
        <v>13904.054625171495</v>
      </c>
      <c r="P78" s="911" t="s">
        <v>1366</v>
      </c>
      <c r="Q78" s="641"/>
      <c r="R78" s="641"/>
      <c r="S78" s="883">
        <f t="shared" si="15"/>
        <v>13904.055402620394</v>
      </c>
      <c r="T78" s="461"/>
      <c r="V78" s="461"/>
      <c r="W78" s="461"/>
      <c r="X78" s="461"/>
      <c r="Y78" s="461"/>
      <c r="Z78" s="461"/>
      <c r="AA78" s="461"/>
      <c r="AB78" s="461"/>
      <c r="AC78" s="461"/>
    </row>
    <row r="79" spans="1:29" s="574" customFormat="1" ht="12" customHeight="1">
      <c r="A79" s="544"/>
      <c r="B79" s="568">
        <v>45617</v>
      </c>
      <c r="C79" s="916" t="s">
        <v>1324</v>
      </c>
      <c r="D79" s="921"/>
      <c r="E79" s="917">
        <v>31</v>
      </c>
      <c r="F79" s="569" t="s">
        <v>116</v>
      </c>
      <c r="G79" s="569" t="s">
        <v>140</v>
      </c>
      <c r="H79" s="569"/>
      <c r="I79" s="569"/>
      <c r="J79" s="569"/>
      <c r="K79" s="918">
        <v>917.2</v>
      </c>
      <c r="L79" s="542">
        <v>7.2228999555822639</v>
      </c>
      <c r="M79" s="909">
        <f t="shared" ref="M79:M91" si="18">K79/L79</f>
        <v>126.98500680341505</v>
      </c>
      <c r="N79" s="928">
        <f t="shared" si="8"/>
        <v>99433.980000000054</v>
      </c>
      <c r="O79" s="928">
        <f t="shared" si="9"/>
        <v>13777.069618368079</v>
      </c>
      <c r="P79" s="911" t="s">
        <v>1366</v>
      </c>
      <c r="Q79" s="641"/>
      <c r="R79" s="641"/>
      <c r="S79" s="883">
        <f t="shared" si="15"/>
        <v>13777.070395816978</v>
      </c>
      <c r="T79" s="461"/>
      <c r="V79" s="461"/>
      <c r="W79" s="461"/>
      <c r="X79" s="461"/>
      <c r="Y79" s="461"/>
      <c r="Z79" s="461"/>
      <c r="AA79" s="461"/>
      <c r="AB79" s="461"/>
      <c r="AC79" s="461"/>
    </row>
    <row r="80" spans="1:29" s="574" customFormat="1" ht="12" customHeight="1">
      <c r="A80" s="544"/>
      <c r="B80" s="568">
        <v>45617</v>
      </c>
      <c r="C80" s="916" t="s">
        <v>1356</v>
      </c>
      <c r="D80" s="921"/>
      <c r="E80" s="917">
        <v>32</v>
      </c>
      <c r="F80" s="569" t="s">
        <v>107</v>
      </c>
      <c r="G80" s="569"/>
      <c r="H80" s="569"/>
      <c r="I80" s="569"/>
      <c r="J80" s="569"/>
      <c r="K80" s="918">
        <v>180.12</v>
      </c>
      <c r="L80" s="542">
        <v>7.2228999555822639</v>
      </c>
      <c r="M80" s="909">
        <f t="shared" si="18"/>
        <v>24.93735218647091</v>
      </c>
      <c r="N80" s="928">
        <f t="shared" si="8"/>
        <v>99253.860000000059</v>
      </c>
      <c r="O80" s="928">
        <f t="shared" si="9"/>
        <v>13752.132266181608</v>
      </c>
      <c r="P80" s="911" t="s">
        <v>1366</v>
      </c>
      <c r="Q80" s="641"/>
      <c r="R80" s="641"/>
      <c r="S80" s="883">
        <f t="shared" si="15"/>
        <v>13752.133043630507</v>
      </c>
      <c r="T80" s="461"/>
      <c r="V80" s="461"/>
      <c r="W80" s="461"/>
      <c r="X80" s="461"/>
      <c r="Y80" s="461"/>
      <c r="Z80" s="461"/>
      <c r="AA80" s="461"/>
      <c r="AB80" s="461"/>
      <c r="AC80" s="461"/>
    </row>
    <row r="81" spans="1:29" s="574" customFormat="1" ht="12" customHeight="1">
      <c r="A81" s="544"/>
      <c r="B81" s="568">
        <v>45617</v>
      </c>
      <c r="C81" s="916" t="s">
        <v>844</v>
      </c>
      <c r="D81" s="921"/>
      <c r="E81" s="917">
        <v>33</v>
      </c>
      <c r="F81" s="569" t="s">
        <v>146</v>
      </c>
      <c r="G81" s="569" t="s">
        <v>147</v>
      </c>
      <c r="H81" s="569"/>
      <c r="I81" s="569"/>
      <c r="J81" s="569"/>
      <c r="K81" s="918">
        <v>50.75</v>
      </c>
      <c r="L81" s="542">
        <v>7.2228999555822639</v>
      </c>
      <c r="M81" s="909">
        <f t="shared" si="18"/>
        <v>7.0262637323084531</v>
      </c>
      <c r="N81" s="928">
        <f t="shared" si="8"/>
        <v>99203.110000000059</v>
      </c>
      <c r="O81" s="928">
        <f t="shared" si="9"/>
        <v>13745.1060024493</v>
      </c>
      <c r="P81" s="911" t="s">
        <v>1366</v>
      </c>
      <c r="Q81" s="641"/>
      <c r="R81" s="641"/>
      <c r="S81" s="883">
        <f t="shared" si="15"/>
        <v>13745.106779898199</v>
      </c>
      <c r="T81" s="461"/>
      <c r="V81" s="461"/>
      <c r="W81" s="461"/>
      <c r="X81" s="461"/>
      <c r="Y81" s="461"/>
      <c r="Z81" s="461"/>
      <c r="AA81" s="461"/>
      <c r="AB81" s="461"/>
      <c r="AC81" s="461"/>
    </row>
    <row r="82" spans="1:29" s="574" customFormat="1" ht="12" customHeight="1">
      <c r="A82" s="544"/>
      <c r="B82" s="568">
        <v>45617</v>
      </c>
      <c r="C82" s="916" t="s">
        <v>989</v>
      </c>
      <c r="D82" s="921"/>
      <c r="E82" s="917">
        <v>34</v>
      </c>
      <c r="F82" s="569" t="s">
        <v>125</v>
      </c>
      <c r="G82" s="569" t="s">
        <v>145</v>
      </c>
      <c r="H82" s="569"/>
      <c r="I82" s="569"/>
      <c r="J82" s="569"/>
      <c r="K82" s="918">
        <v>80</v>
      </c>
      <c r="L82" s="542">
        <v>7.2228999555822639</v>
      </c>
      <c r="M82" s="909">
        <f t="shared" si="18"/>
        <v>11.075883715954213</v>
      </c>
      <c r="N82" s="928">
        <f t="shared" si="8"/>
        <v>99123.110000000059</v>
      </c>
      <c r="O82" s="928">
        <f t="shared" si="9"/>
        <v>13734.030118733346</v>
      </c>
      <c r="P82" s="911" t="s">
        <v>1366</v>
      </c>
      <c r="Q82" s="641"/>
      <c r="R82" s="641"/>
      <c r="S82" s="883">
        <f t="shared" si="15"/>
        <v>13734.030896182245</v>
      </c>
      <c r="T82" s="461"/>
      <c r="V82" s="461"/>
      <c r="W82" s="461"/>
      <c r="X82" s="461"/>
      <c r="Y82" s="461"/>
      <c r="Z82" s="461"/>
      <c r="AA82" s="461"/>
      <c r="AB82" s="461"/>
      <c r="AC82" s="461"/>
    </row>
    <row r="83" spans="1:29" s="574" customFormat="1" ht="12" customHeight="1">
      <c r="A83" s="544"/>
      <c r="B83" s="568">
        <v>45617</v>
      </c>
      <c r="C83" s="916" t="s">
        <v>250</v>
      </c>
      <c r="D83" s="921"/>
      <c r="E83" s="917">
        <v>35</v>
      </c>
      <c r="F83" s="569" t="s">
        <v>107</v>
      </c>
      <c r="G83" s="569"/>
      <c r="H83" s="569"/>
      <c r="I83" s="569"/>
      <c r="J83" s="569"/>
      <c r="K83" s="918">
        <v>3.6</v>
      </c>
      <c r="L83" s="542">
        <v>7.2228999555822639</v>
      </c>
      <c r="M83" s="909">
        <f t="shared" si="18"/>
        <v>0.49841476721793954</v>
      </c>
      <c r="N83" s="928">
        <f t="shared" si="8"/>
        <v>99119.510000000053</v>
      </c>
      <c r="O83" s="928">
        <f t="shared" si="9"/>
        <v>13733.531703966128</v>
      </c>
      <c r="P83" s="911" t="s">
        <v>1366</v>
      </c>
      <c r="Q83" s="641"/>
      <c r="R83" s="641"/>
      <c r="S83" s="883">
        <f t="shared" si="15"/>
        <v>13733.532481415026</v>
      </c>
      <c r="T83" s="461"/>
      <c r="V83" s="461"/>
      <c r="W83" s="461"/>
      <c r="X83" s="461"/>
      <c r="Y83" s="461"/>
      <c r="Z83" s="461"/>
      <c r="AA83" s="461"/>
      <c r="AB83" s="461"/>
      <c r="AC83" s="461"/>
    </row>
    <row r="84" spans="1:29" s="574" customFormat="1" ht="12" customHeight="1">
      <c r="A84" s="544"/>
      <c r="B84" s="568">
        <v>45617</v>
      </c>
      <c r="C84" s="916" t="s">
        <v>999</v>
      </c>
      <c r="D84" s="921"/>
      <c r="E84" s="917">
        <v>36</v>
      </c>
      <c r="F84" s="569" t="s">
        <v>146</v>
      </c>
      <c r="G84" s="569" t="s">
        <v>147</v>
      </c>
      <c r="H84" s="569"/>
      <c r="I84" s="569"/>
      <c r="J84" s="569"/>
      <c r="K84" s="918">
        <v>3645</v>
      </c>
      <c r="L84" s="542">
        <v>7.2228999555822639</v>
      </c>
      <c r="M84" s="909">
        <f t="shared" si="18"/>
        <v>504.6449518081638</v>
      </c>
      <c r="N84" s="928">
        <f t="shared" si="8"/>
        <v>95474.510000000053</v>
      </c>
      <c r="O84" s="928">
        <f t="shared" si="9"/>
        <v>13228.886752157963</v>
      </c>
      <c r="P84" s="911" t="s">
        <v>1366</v>
      </c>
      <c r="Q84" s="641"/>
      <c r="R84" s="641"/>
      <c r="S84" s="883">
        <f t="shared" si="15"/>
        <v>13228.887529606862</v>
      </c>
      <c r="T84" s="461"/>
      <c r="V84" s="461"/>
      <c r="W84" s="461"/>
      <c r="X84" s="461"/>
      <c r="Y84" s="461"/>
      <c r="Z84" s="461"/>
      <c r="AA84" s="461"/>
      <c r="AB84" s="461"/>
      <c r="AC84" s="461"/>
    </row>
    <row r="85" spans="1:29" s="574" customFormat="1" ht="12" customHeight="1">
      <c r="A85" s="544"/>
      <c r="B85" s="568">
        <v>45617</v>
      </c>
      <c r="C85" s="916" t="s">
        <v>997</v>
      </c>
      <c r="D85" s="921"/>
      <c r="E85" s="917">
        <v>37</v>
      </c>
      <c r="F85" s="569" t="s">
        <v>146</v>
      </c>
      <c r="G85" s="569" t="s">
        <v>147</v>
      </c>
      <c r="H85" s="569"/>
      <c r="I85" s="569"/>
      <c r="J85" s="569"/>
      <c r="K85" s="918">
        <v>462</v>
      </c>
      <c r="L85" s="542">
        <v>7.2228999555822639</v>
      </c>
      <c r="M85" s="909">
        <f t="shared" si="18"/>
        <v>63.963228459635573</v>
      </c>
      <c r="N85" s="928">
        <f t="shared" ref="N85:N91" si="19">N84+H85-K85</f>
        <v>95012.510000000053</v>
      </c>
      <c r="O85" s="928">
        <f t="shared" ref="O85:O91" si="20">O84+J85-M85</f>
        <v>13164.923523698328</v>
      </c>
      <c r="P85" s="911" t="s">
        <v>1366</v>
      </c>
      <c r="Q85" s="641"/>
      <c r="R85" s="641"/>
      <c r="S85" s="883">
        <f t="shared" si="15"/>
        <v>13164.924301147226</v>
      </c>
      <c r="T85" s="461"/>
      <c r="V85" s="461"/>
      <c r="W85" s="461"/>
      <c r="X85" s="461"/>
      <c r="Y85" s="461"/>
      <c r="Z85" s="461"/>
      <c r="AA85" s="461"/>
      <c r="AB85" s="461"/>
      <c r="AC85" s="461"/>
    </row>
    <row r="86" spans="1:29" s="574" customFormat="1" ht="12" customHeight="1">
      <c r="A86" s="544"/>
      <c r="B86" s="568">
        <v>45617</v>
      </c>
      <c r="C86" s="916" t="s">
        <v>998</v>
      </c>
      <c r="D86" s="921"/>
      <c r="E86" s="917">
        <v>38</v>
      </c>
      <c r="F86" s="569" t="s">
        <v>146</v>
      </c>
      <c r="G86" s="569" t="s">
        <v>147</v>
      </c>
      <c r="H86" s="569"/>
      <c r="I86" s="569"/>
      <c r="J86" s="569"/>
      <c r="K86" s="918">
        <v>740</v>
      </c>
      <c r="L86" s="542">
        <v>7.2228999555822639</v>
      </c>
      <c r="M86" s="909">
        <f t="shared" si="18"/>
        <v>102.45192437257646</v>
      </c>
      <c r="N86" s="928">
        <f t="shared" si="19"/>
        <v>94272.510000000053</v>
      </c>
      <c r="O86" s="928">
        <f t="shared" si="20"/>
        <v>13062.471599325751</v>
      </c>
      <c r="P86" s="911" t="s">
        <v>1366</v>
      </c>
      <c r="Q86" s="641"/>
      <c r="R86" s="641"/>
      <c r="S86" s="883">
        <f t="shared" si="15"/>
        <v>13062.472376774649</v>
      </c>
      <c r="T86" s="461"/>
      <c r="V86" s="461"/>
      <c r="W86" s="461"/>
      <c r="X86" s="461"/>
      <c r="Y86" s="461"/>
      <c r="Z86" s="461"/>
      <c r="AA86" s="461"/>
      <c r="AB86" s="461"/>
      <c r="AC86" s="461"/>
    </row>
    <row r="87" spans="1:29" s="574" customFormat="1" ht="12" customHeight="1">
      <c r="A87" s="544"/>
      <c r="B87" s="568">
        <v>45617</v>
      </c>
      <c r="C87" s="916" t="s">
        <v>250</v>
      </c>
      <c r="D87" s="921"/>
      <c r="E87" s="917">
        <v>39</v>
      </c>
      <c r="F87" s="569" t="s">
        <v>107</v>
      </c>
      <c r="G87" s="569"/>
      <c r="H87" s="569"/>
      <c r="I87" s="569"/>
      <c r="J87" s="569"/>
      <c r="K87" s="918">
        <v>3.6</v>
      </c>
      <c r="L87" s="542">
        <v>7.2228999555822639</v>
      </c>
      <c r="M87" s="909">
        <f t="shared" si="18"/>
        <v>0.49841476721793954</v>
      </c>
      <c r="N87" s="928">
        <f t="shared" si="19"/>
        <v>94268.910000000047</v>
      </c>
      <c r="O87" s="928">
        <f t="shared" si="20"/>
        <v>13061.973184558532</v>
      </c>
      <c r="P87" s="911" t="s">
        <v>1366</v>
      </c>
      <c r="Q87" s="641"/>
      <c r="R87" s="641"/>
      <c r="S87" s="883">
        <f t="shared" si="15"/>
        <v>13061.973962007431</v>
      </c>
      <c r="T87" s="461"/>
      <c r="V87" s="461"/>
      <c r="W87" s="461"/>
      <c r="X87" s="461"/>
      <c r="Y87" s="461"/>
      <c r="Z87" s="461"/>
      <c r="AA87" s="461"/>
      <c r="AB87" s="461"/>
      <c r="AC87" s="461"/>
    </row>
    <row r="88" spans="1:29" s="574" customFormat="1" ht="12" customHeight="1">
      <c r="A88" s="544"/>
      <c r="B88" s="568">
        <v>45617</v>
      </c>
      <c r="C88" s="916" t="s">
        <v>1327</v>
      </c>
      <c r="D88" s="921"/>
      <c r="E88" s="917">
        <v>40</v>
      </c>
      <c r="F88" s="569" t="s">
        <v>116</v>
      </c>
      <c r="G88" s="569" t="s">
        <v>140</v>
      </c>
      <c r="H88" s="569"/>
      <c r="I88" s="569"/>
      <c r="J88" s="569"/>
      <c r="K88" s="918">
        <v>500</v>
      </c>
      <c r="L88" s="542">
        <v>7.2228999555822639</v>
      </c>
      <c r="M88" s="909">
        <f t="shared" si="18"/>
        <v>69.224273224713826</v>
      </c>
      <c r="N88" s="928">
        <f t="shared" si="19"/>
        <v>93768.910000000047</v>
      </c>
      <c r="O88" s="928">
        <f t="shared" si="20"/>
        <v>12992.748911333818</v>
      </c>
      <c r="P88" s="911" t="s">
        <v>1366</v>
      </c>
      <c r="Q88" s="641"/>
      <c r="R88" s="641"/>
      <c r="S88" s="883">
        <f t="shared" si="15"/>
        <v>12992.749688782716</v>
      </c>
      <c r="T88" s="461"/>
      <c r="V88" s="461"/>
      <c r="W88" s="461"/>
      <c r="X88" s="461"/>
      <c r="Y88" s="461"/>
      <c r="Z88" s="461"/>
      <c r="AA88" s="461"/>
      <c r="AB88" s="461"/>
      <c r="AC88" s="461"/>
    </row>
    <row r="89" spans="1:29" s="574" customFormat="1" ht="12" customHeight="1">
      <c r="A89" s="544"/>
      <c r="B89" s="568">
        <v>45617</v>
      </c>
      <c r="C89" s="916" t="s">
        <v>1328</v>
      </c>
      <c r="D89" s="921"/>
      <c r="E89" s="917">
        <v>41</v>
      </c>
      <c r="F89" s="569" t="s">
        <v>146</v>
      </c>
      <c r="G89" s="569" t="s">
        <v>147</v>
      </c>
      <c r="H89" s="569"/>
      <c r="I89" s="569"/>
      <c r="J89" s="569"/>
      <c r="K89" s="918">
        <v>5164.3999999999996</v>
      </c>
      <c r="L89" s="542">
        <v>7.2228999555822639</v>
      </c>
      <c r="M89" s="909">
        <f t="shared" si="18"/>
        <v>715.00367328342406</v>
      </c>
      <c r="N89" s="928">
        <f t="shared" si="19"/>
        <v>88604.510000000053</v>
      </c>
      <c r="O89" s="928">
        <f t="shared" si="20"/>
        <v>12277.745238050395</v>
      </c>
      <c r="P89" s="911" t="s">
        <v>1366</v>
      </c>
      <c r="Q89" s="641"/>
      <c r="R89" s="641"/>
      <c r="S89" s="883">
        <f t="shared" si="15"/>
        <v>12277.746015499293</v>
      </c>
      <c r="T89" s="461"/>
      <c r="V89" s="461"/>
      <c r="W89" s="461"/>
      <c r="X89" s="461"/>
      <c r="Y89" s="461"/>
      <c r="Z89" s="461"/>
      <c r="AA89" s="461"/>
      <c r="AB89" s="461"/>
      <c r="AC89" s="461"/>
    </row>
    <row r="90" spans="1:29" s="574" customFormat="1" ht="13.5" customHeight="1">
      <c r="A90" s="544"/>
      <c r="B90" s="568">
        <v>45617</v>
      </c>
      <c r="C90" s="916" t="s">
        <v>839</v>
      </c>
      <c r="D90" s="921"/>
      <c r="E90" s="917">
        <v>42</v>
      </c>
      <c r="F90" s="569" t="s">
        <v>125</v>
      </c>
      <c r="G90" s="569" t="s">
        <v>145</v>
      </c>
      <c r="H90" s="569"/>
      <c r="I90" s="569"/>
      <c r="J90" s="569"/>
      <c r="K90" s="918">
        <v>8671</v>
      </c>
      <c r="L90" s="542">
        <v>7.2228999555822639</v>
      </c>
      <c r="M90" s="909">
        <f t="shared" si="18"/>
        <v>1200.4873462629871</v>
      </c>
      <c r="N90" s="928">
        <f t="shared" si="19"/>
        <v>79933.510000000053</v>
      </c>
      <c r="O90" s="928">
        <f t="shared" si="20"/>
        <v>11077.257891787407</v>
      </c>
      <c r="P90" s="911" t="s">
        <v>1366</v>
      </c>
      <c r="Q90" s="641"/>
      <c r="R90" s="641"/>
      <c r="S90" s="883">
        <f t="shared" si="15"/>
        <v>11077.258669236306</v>
      </c>
      <c r="T90" s="461"/>
      <c r="V90" s="461"/>
      <c r="W90" s="461"/>
      <c r="X90" s="461"/>
      <c r="Y90" s="461"/>
      <c r="Z90" s="461"/>
      <c r="AA90" s="461"/>
      <c r="AB90" s="461"/>
      <c r="AC90" s="461"/>
    </row>
    <row r="91" spans="1:29" s="574" customFormat="1" ht="12" customHeight="1">
      <c r="A91" s="544"/>
      <c r="B91" s="568">
        <v>45617</v>
      </c>
      <c r="C91" s="916" t="s">
        <v>445</v>
      </c>
      <c r="D91" s="921"/>
      <c r="E91" s="917">
        <v>43</v>
      </c>
      <c r="F91" s="569" t="s">
        <v>107</v>
      </c>
      <c r="G91" s="569"/>
      <c r="H91" s="569"/>
      <c r="I91" s="569"/>
      <c r="J91" s="569"/>
      <c r="K91" s="918">
        <v>7.2</v>
      </c>
      <c r="L91" s="542">
        <v>7.2228999555822639</v>
      </c>
      <c r="M91" s="909">
        <f t="shared" si="18"/>
        <v>0.99682953443587907</v>
      </c>
      <c r="N91" s="949">
        <f t="shared" si="19"/>
        <v>79926.310000000056</v>
      </c>
      <c r="O91" s="949">
        <f t="shared" si="20"/>
        <v>11076.261062252972</v>
      </c>
      <c r="P91" s="911" t="s">
        <v>1366</v>
      </c>
      <c r="Q91" s="641"/>
      <c r="R91" s="641"/>
      <c r="S91" s="899">
        <f t="shared" si="15"/>
        <v>11076.26183970187</v>
      </c>
      <c r="T91" s="461"/>
      <c r="V91" s="461"/>
      <c r="W91" s="461"/>
      <c r="X91" s="461"/>
      <c r="Y91" s="461"/>
      <c r="Z91" s="461"/>
      <c r="AA91" s="461"/>
      <c r="AB91" s="461"/>
      <c r="AC91" s="461"/>
    </row>
    <row r="92" spans="1:29" s="489" customFormat="1" ht="11.25" customHeight="1">
      <c r="A92" s="544"/>
      <c r="B92" s="519"/>
      <c r="C92" s="519"/>
      <c r="D92" s="519"/>
      <c r="E92" s="519"/>
      <c r="F92" s="519"/>
      <c r="G92" s="461"/>
      <c r="H92" s="461"/>
      <c r="I92" s="461"/>
      <c r="J92" s="461"/>
      <c r="K92" s="461"/>
      <c r="L92" s="461"/>
      <c r="M92" s="461"/>
      <c r="N92" s="461"/>
      <c r="O92" s="461"/>
      <c r="P92" s="461"/>
      <c r="Q92" s="461"/>
      <c r="S92" s="492"/>
      <c r="T92" s="461"/>
      <c r="U92" s="574"/>
      <c r="V92" s="461"/>
      <c r="W92" s="461"/>
      <c r="X92" s="461"/>
      <c r="Y92" s="461"/>
      <c r="Z92" s="461"/>
      <c r="AA92" s="461"/>
      <c r="AB92" s="461"/>
      <c r="AC92" s="461"/>
    </row>
    <row r="93" spans="1:29" s="489" customFormat="1" ht="11.25" customHeight="1">
      <c r="A93" s="544"/>
      <c r="B93" s="519"/>
      <c r="C93" s="519"/>
      <c r="D93" s="519"/>
      <c r="E93" s="519"/>
      <c r="F93" s="519"/>
      <c r="G93" s="461"/>
      <c r="H93" s="461"/>
      <c r="I93" s="461"/>
      <c r="J93" s="461"/>
      <c r="K93" s="461"/>
      <c r="L93" s="461"/>
      <c r="M93" s="461"/>
      <c r="N93" s="461"/>
      <c r="O93" s="461"/>
      <c r="P93" s="461"/>
      <c r="Q93" s="461"/>
      <c r="S93" s="492"/>
      <c r="T93" s="461"/>
      <c r="U93" s="574"/>
      <c r="V93" s="461"/>
      <c r="W93" s="461"/>
      <c r="X93" s="461"/>
      <c r="Y93" s="461"/>
      <c r="Z93" s="461"/>
      <c r="AA93" s="461"/>
      <c r="AB93" s="461"/>
      <c r="AC93" s="461"/>
    </row>
    <row r="94" spans="1:29" s="489" customFormat="1" ht="11.25" customHeight="1">
      <c r="A94" s="544"/>
      <c r="B94" s="519"/>
      <c r="C94" s="519"/>
      <c r="D94" s="519"/>
      <c r="E94" s="519"/>
      <c r="F94" s="519"/>
      <c r="G94" s="461"/>
      <c r="H94" s="461"/>
      <c r="I94" s="461"/>
      <c r="J94" s="461"/>
      <c r="K94" s="461"/>
      <c r="L94" s="461"/>
      <c r="M94" s="461"/>
      <c r="N94" s="461"/>
      <c r="O94" s="461"/>
      <c r="P94" s="461"/>
      <c r="Q94" s="461"/>
      <c r="S94" s="492"/>
      <c r="T94" s="461"/>
      <c r="U94" s="574"/>
      <c r="V94" s="461"/>
      <c r="W94" s="461"/>
      <c r="X94" s="461"/>
      <c r="Y94" s="461"/>
      <c r="Z94" s="461"/>
      <c r="AA94" s="461"/>
      <c r="AB94" s="461"/>
      <c r="AC94" s="461"/>
    </row>
    <row r="95" spans="1:29" s="489" customFormat="1" ht="11.25" customHeight="1">
      <c r="A95" s="544"/>
      <c r="B95" s="519"/>
      <c r="C95" s="519"/>
      <c r="D95" s="519"/>
      <c r="E95" s="519"/>
      <c r="F95" s="519"/>
      <c r="G95" s="461"/>
      <c r="H95" s="461"/>
      <c r="I95" s="461"/>
      <c r="J95" s="461"/>
      <c r="K95" s="461"/>
      <c r="L95" s="461"/>
      <c r="M95" s="461"/>
      <c r="N95" s="461"/>
      <c r="O95" s="461"/>
      <c r="P95" s="461"/>
      <c r="Q95" s="461"/>
      <c r="S95" s="492"/>
      <c r="T95" s="461"/>
      <c r="U95" s="574"/>
      <c r="V95" s="461"/>
      <c r="W95" s="461"/>
      <c r="X95" s="461"/>
      <c r="Y95" s="461"/>
      <c r="Z95" s="461"/>
      <c r="AA95" s="461"/>
      <c r="AB95" s="461"/>
      <c r="AC95" s="461"/>
    </row>
    <row r="96" spans="1:29" s="489" customFormat="1" ht="11.25" customHeight="1">
      <c r="A96" s="544"/>
      <c r="B96" s="519"/>
      <c r="C96" s="519"/>
      <c r="D96" s="519"/>
      <c r="E96" s="519"/>
      <c r="F96" s="519"/>
      <c r="G96" s="461"/>
      <c r="H96" s="461"/>
      <c r="I96" s="461"/>
      <c r="J96" s="461"/>
      <c r="K96" s="461"/>
      <c r="L96" s="461"/>
      <c r="M96" s="461"/>
      <c r="N96" s="461"/>
      <c r="O96" s="461"/>
      <c r="P96" s="461"/>
      <c r="Q96" s="461"/>
      <c r="S96" s="492"/>
      <c r="T96" s="461"/>
      <c r="U96" s="574"/>
      <c r="V96" s="461"/>
      <c r="W96" s="461"/>
      <c r="X96" s="461"/>
      <c r="Y96" s="461"/>
      <c r="Z96" s="461"/>
      <c r="AA96" s="461"/>
      <c r="AB96" s="461"/>
      <c r="AC96" s="461"/>
    </row>
    <row r="97" spans="1:29" s="489" customFormat="1" ht="11.25" customHeight="1">
      <c r="A97" s="544"/>
      <c r="B97" s="519"/>
      <c r="C97" s="519"/>
      <c r="D97" s="519"/>
      <c r="E97" s="519"/>
      <c r="F97" s="519"/>
      <c r="G97" s="461"/>
      <c r="H97" s="461"/>
      <c r="I97" s="461"/>
      <c r="J97" s="461"/>
      <c r="K97" s="461"/>
      <c r="L97" s="461"/>
      <c r="M97" s="461"/>
      <c r="N97" s="461"/>
      <c r="O97" s="461"/>
      <c r="P97" s="461"/>
      <c r="Q97" s="461"/>
      <c r="S97" s="492"/>
      <c r="T97" s="461"/>
      <c r="U97" s="574"/>
      <c r="V97" s="461"/>
      <c r="W97" s="461"/>
      <c r="X97" s="461"/>
      <c r="Y97" s="461"/>
      <c r="Z97" s="461"/>
      <c r="AA97" s="461"/>
      <c r="AB97" s="461"/>
      <c r="AC97" s="461"/>
    </row>
    <row r="98" spans="1:29" s="489" customFormat="1" ht="11.25" customHeight="1">
      <c r="A98" s="544"/>
      <c r="B98" s="519"/>
      <c r="C98" s="519"/>
      <c r="D98" s="519"/>
      <c r="E98" s="519"/>
      <c r="F98" s="519"/>
      <c r="G98" s="461"/>
      <c r="H98" s="461"/>
      <c r="I98" s="461"/>
      <c r="J98" s="461"/>
      <c r="K98" s="461"/>
      <c r="L98" s="461"/>
      <c r="M98" s="461"/>
      <c r="N98" s="461"/>
      <c r="O98" s="461"/>
      <c r="P98" s="461"/>
      <c r="Q98" s="461"/>
      <c r="S98" s="492"/>
      <c r="T98" s="461"/>
      <c r="U98" s="574"/>
      <c r="V98" s="461"/>
      <c r="W98" s="461"/>
      <c r="X98" s="461"/>
      <c r="Y98" s="461"/>
      <c r="Z98" s="461"/>
      <c r="AA98" s="461"/>
      <c r="AB98" s="461"/>
      <c r="AC98" s="461"/>
    </row>
    <row r="99" spans="1:29" s="489" customFormat="1" ht="11.25" customHeight="1">
      <c r="A99" s="544"/>
      <c r="B99" s="519"/>
      <c r="C99" s="519"/>
      <c r="D99" s="519"/>
      <c r="E99" s="519"/>
      <c r="F99" s="519"/>
      <c r="G99" s="461"/>
      <c r="H99" s="461"/>
      <c r="I99" s="461"/>
      <c r="J99" s="461"/>
      <c r="K99" s="461"/>
      <c r="L99" s="461"/>
      <c r="M99" s="461"/>
      <c r="N99" s="461"/>
      <c r="O99" s="461"/>
      <c r="P99" s="461"/>
      <c r="Q99" s="461"/>
      <c r="S99" s="492"/>
      <c r="T99" s="461"/>
      <c r="U99" s="574"/>
      <c r="V99" s="461"/>
      <c r="W99" s="461"/>
      <c r="X99" s="461"/>
      <c r="Y99" s="461"/>
      <c r="Z99" s="461"/>
      <c r="AA99" s="461"/>
      <c r="AB99" s="461"/>
      <c r="AC99" s="461"/>
    </row>
    <row r="100" spans="1:29" s="489" customFormat="1" ht="11.25" customHeight="1">
      <c r="A100" s="544"/>
      <c r="B100" s="519"/>
      <c r="C100" s="519"/>
      <c r="D100" s="519"/>
      <c r="E100" s="519"/>
      <c r="F100" s="519"/>
      <c r="G100" s="461"/>
      <c r="H100" s="461"/>
      <c r="I100" s="461"/>
      <c r="J100" s="461"/>
      <c r="K100" s="461"/>
      <c r="L100" s="461"/>
      <c r="M100" s="461"/>
      <c r="N100" s="461"/>
      <c r="O100" s="461"/>
      <c r="P100" s="461"/>
      <c r="Q100" s="461"/>
      <c r="S100" s="492"/>
      <c r="T100" s="461"/>
      <c r="U100" s="574"/>
      <c r="V100" s="461"/>
      <c r="W100" s="461"/>
      <c r="X100" s="461"/>
      <c r="Y100" s="461"/>
      <c r="Z100" s="461"/>
      <c r="AA100" s="461"/>
      <c r="AB100" s="461"/>
      <c r="AC100" s="461"/>
    </row>
    <row r="101" spans="1:29" s="489" customFormat="1" ht="11.25" customHeight="1">
      <c r="A101" s="544"/>
      <c r="B101" s="519"/>
      <c r="C101" s="519"/>
      <c r="D101" s="519"/>
      <c r="E101" s="519"/>
      <c r="F101" s="519"/>
      <c r="G101" s="519"/>
      <c r="H101" s="519"/>
      <c r="I101" s="461"/>
      <c r="L101" s="461"/>
      <c r="M101" s="461"/>
      <c r="N101" s="461"/>
      <c r="O101" s="461"/>
      <c r="P101" s="461"/>
      <c r="Q101" s="461"/>
      <c r="S101" s="492"/>
      <c r="T101" s="461"/>
      <c r="U101" s="574"/>
      <c r="V101" s="461"/>
      <c r="W101" s="461"/>
      <c r="X101" s="461"/>
      <c r="Y101" s="461"/>
      <c r="Z101" s="461"/>
      <c r="AA101" s="461"/>
      <c r="AB101" s="461"/>
      <c r="AC101" s="461"/>
    </row>
  </sheetData>
  <autoFilter ref="B18:R91" xr:uid="{00000000-0009-0000-0000-000001000000}">
    <filterColumn colId="14" showButton="0"/>
    <sortState xmlns:xlrd2="http://schemas.microsoft.com/office/spreadsheetml/2017/richdata2" ref="B21:R91">
      <sortCondition sortBy="cellColor" ref="M18:M91" dxfId="18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082B-78ED-4E41-8A9C-48F5E640A5E1}">
  <sheetPr>
    <tabColor rgb="FFFFC000"/>
  </sheetPr>
  <dimension ref="A1:AC97"/>
  <sheetViews>
    <sheetView showGridLines="0" zoomScaleNormal="100" workbookViewId="0">
      <pane ySplit="19" topLeftCell="A68" activePane="bottomLeft" state="frozen"/>
      <selection activeCell="L127" sqref="L127"/>
      <selection pane="bottomLeft" activeCell="F89" sqref="F89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1992187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s="466" customFormat="1" ht="15" customHeight="1">
      <c r="A2" s="462"/>
      <c r="B2" s="463" t="s">
        <v>1370</v>
      </c>
      <c r="C2" s="464"/>
      <c r="D2" s="464"/>
      <c r="F2" s="467"/>
      <c r="G2" s="468" t="s">
        <v>1047</v>
      </c>
      <c r="H2" s="743" t="s">
        <v>1245</v>
      </c>
      <c r="I2" s="470"/>
      <c r="J2" s="470"/>
      <c r="K2" s="471"/>
      <c r="L2" s="470"/>
      <c r="M2" s="470"/>
      <c r="N2" s="767"/>
      <c r="O2" s="473"/>
      <c r="Q2" s="768"/>
      <c r="R2" s="468"/>
      <c r="S2" s="474"/>
      <c r="T2" s="461"/>
      <c r="U2" s="574"/>
      <c r="V2" s="461"/>
      <c r="W2" s="461"/>
      <c r="X2" s="461"/>
    </row>
    <row r="3" spans="1:29" s="483" customFormat="1" ht="11.25" customHeight="1">
      <c r="A3" s="475"/>
      <c r="B3" s="476" t="s">
        <v>1359</v>
      </c>
      <c r="C3" s="477"/>
      <c r="D3" s="477"/>
      <c r="E3" s="477"/>
      <c r="F3" s="943">
        <v>1385.4</v>
      </c>
      <c r="G3" s="480"/>
      <c r="H3" s="476" t="s">
        <v>1383</v>
      </c>
      <c r="I3" s="477"/>
      <c r="K3" s="478"/>
      <c r="L3" s="943">
        <v>1433.2</v>
      </c>
      <c r="N3" s="769"/>
      <c r="O3" s="479"/>
      <c r="P3" s="770"/>
      <c r="Q3" s="770"/>
      <c r="R3" s="715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771"/>
      <c r="O4" s="773"/>
      <c r="P4" s="773"/>
      <c r="Q4" s="774"/>
      <c r="R4" s="775"/>
      <c r="T4" s="466"/>
      <c r="U4" s="466"/>
      <c r="V4" s="466"/>
      <c r="W4" s="466"/>
      <c r="X4" s="466"/>
      <c r="Y4" s="466"/>
      <c r="Z4" s="466"/>
      <c r="AA4" s="466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9432.4599999999991</v>
      </c>
      <c r="E5" s="496">
        <v>1305.9100000000001</v>
      </c>
      <c r="F5" s="497">
        <f>ROUND(E5*$F$3,0)</f>
        <v>1809208</v>
      </c>
      <c r="G5" s="498"/>
      <c r="H5" s="499" t="s">
        <v>11</v>
      </c>
      <c r="I5" s="499" t="s">
        <v>12</v>
      </c>
      <c r="J5" s="693">
        <v>8471</v>
      </c>
      <c r="K5" s="693">
        <v>1166.21</v>
      </c>
      <c r="L5" s="651">
        <f>ROUND(K5*$L$3,0)</f>
        <v>1671412</v>
      </c>
      <c r="M5" s="889">
        <f>L5+F5</f>
        <v>3480620</v>
      </c>
      <c r="N5" s="852"/>
      <c r="O5" s="900"/>
      <c r="P5" s="900"/>
      <c r="Q5" s="776"/>
      <c r="R5" s="776"/>
      <c r="T5" s="466"/>
      <c r="U5" s="466"/>
      <c r="V5" s="466"/>
      <c r="W5" s="466"/>
      <c r="X5" s="466"/>
      <c r="Y5" s="466"/>
      <c r="Z5" s="466"/>
      <c r="AA5" s="466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11364.93</v>
      </c>
      <c r="E6" s="500">
        <v>1573.46</v>
      </c>
      <c r="F6" s="497">
        <f t="shared" ref="F6:F12" si="0">ROUND(E6*$F$3,0)</f>
        <v>2179871</v>
      </c>
      <c r="G6" s="502"/>
      <c r="H6" s="499" t="s">
        <v>13</v>
      </c>
      <c r="I6" s="499" t="s">
        <v>14</v>
      </c>
      <c r="J6" s="693">
        <v>30720.81</v>
      </c>
      <c r="K6" s="693">
        <v>4229.3599999999997</v>
      </c>
      <c r="L6" s="651">
        <f t="shared" ref="L6:L12" si="1">ROUND(K6*$L$3,0)</f>
        <v>6061519</v>
      </c>
      <c r="M6" s="889">
        <f t="shared" ref="M6:M13" si="2">L6+F6</f>
        <v>8241390</v>
      </c>
      <c r="N6" s="852"/>
      <c r="O6" s="900"/>
      <c r="P6" s="900"/>
      <c r="Q6" s="776"/>
      <c r="R6" s="776"/>
      <c r="T6" s="466"/>
      <c r="U6" s="466"/>
      <c r="V6" s="466"/>
      <c r="W6" s="466"/>
      <c r="X6" s="466"/>
      <c r="Y6" s="466"/>
      <c r="Z6" s="466"/>
      <c r="AA6" s="466"/>
      <c r="AB6" s="470"/>
      <c r="AC6" s="468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24546</v>
      </c>
      <c r="E7" s="500">
        <v>3398.36</v>
      </c>
      <c r="F7" s="497">
        <f t="shared" si="0"/>
        <v>4708088</v>
      </c>
      <c r="G7" s="503"/>
      <c r="H7" s="499" t="s">
        <v>15</v>
      </c>
      <c r="I7" s="499" t="s">
        <v>1055</v>
      </c>
      <c r="J7" s="694"/>
      <c r="K7" s="694"/>
      <c r="L7" s="651">
        <f>ROUND(K7*$L$3,0)</f>
        <v>0</v>
      </c>
      <c r="M7" s="889">
        <f t="shared" si="2"/>
        <v>4708088</v>
      </c>
      <c r="N7" s="852"/>
      <c r="O7" s="900"/>
      <c r="P7" s="900"/>
      <c r="Q7" s="776"/>
      <c r="R7" s="776"/>
      <c r="T7" s="466"/>
      <c r="U7" s="466"/>
      <c r="V7" s="466"/>
      <c r="W7" s="466"/>
      <c r="X7" s="466"/>
      <c r="Y7" s="466"/>
      <c r="Z7" s="466"/>
      <c r="AA7" s="466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17500</v>
      </c>
      <c r="E8" s="500">
        <v>2422.85</v>
      </c>
      <c r="F8" s="497">
        <f t="shared" si="0"/>
        <v>3356616</v>
      </c>
      <c r="G8" s="503"/>
      <c r="H8" s="499" t="s">
        <v>15</v>
      </c>
      <c r="I8" s="494" t="s">
        <v>17</v>
      </c>
      <c r="J8" s="694"/>
      <c r="K8" s="694"/>
      <c r="L8" s="651">
        <f>ROUND(K8*$L$3,0)</f>
        <v>0</v>
      </c>
      <c r="M8" s="889">
        <f t="shared" si="2"/>
        <v>3356616</v>
      </c>
      <c r="N8" s="852"/>
      <c r="O8" s="900"/>
      <c r="P8" s="900"/>
      <c r="Q8" s="776"/>
      <c r="R8" s="776"/>
      <c r="T8" s="466"/>
      <c r="U8" s="466"/>
      <c r="V8" s="466"/>
      <c r="W8" s="466"/>
      <c r="X8" s="466"/>
      <c r="Y8" s="466"/>
      <c r="Z8" s="466"/>
      <c r="AA8" s="466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1654.1999999999998</v>
      </c>
      <c r="E9" s="500">
        <v>229.02</v>
      </c>
      <c r="F9" s="497">
        <f t="shared" si="0"/>
        <v>317284</v>
      </c>
      <c r="G9" s="504"/>
      <c r="H9" s="499" t="s">
        <v>19</v>
      </c>
      <c r="I9" s="494" t="s">
        <v>20</v>
      </c>
      <c r="J9" s="693"/>
      <c r="K9" s="693"/>
      <c r="L9" s="651">
        <f t="shared" si="1"/>
        <v>0</v>
      </c>
      <c r="M9" s="889">
        <f t="shared" si="2"/>
        <v>317284</v>
      </c>
      <c r="N9" s="852"/>
      <c r="O9" s="900"/>
      <c r="P9" s="900"/>
      <c r="Q9" s="776"/>
      <c r="R9" s="776"/>
      <c r="S9" s="466"/>
      <c r="T9" s="466"/>
      <c r="U9" s="466"/>
      <c r="V9" s="466"/>
      <c r="W9" s="466"/>
      <c r="X9" s="466"/>
      <c r="Y9" s="466"/>
      <c r="Z9" s="466"/>
      <c r="AA9" s="466"/>
    </row>
    <row r="10" spans="1:29" ht="11.25" customHeight="1">
      <c r="A10" s="492">
        <v>51321010</v>
      </c>
      <c r="B10" s="493" t="s">
        <v>21</v>
      </c>
      <c r="C10" s="494"/>
      <c r="D10" s="500">
        <v>15505.130000000001</v>
      </c>
      <c r="E10" s="500">
        <v>2146.66</v>
      </c>
      <c r="F10" s="497">
        <f t="shared" si="0"/>
        <v>2973983</v>
      </c>
      <c r="G10" s="505"/>
      <c r="H10" s="499" t="s">
        <v>21</v>
      </c>
      <c r="I10" s="499"/>
      <c r="J10" s="693">
        <v>215782.34</v>
      </c>
      <c r="K10" s="693">
        <v>29757.95</v>
      </c>
      <c r="L10" s="651">
        <f t="shared" si="1"/>
        <v>42649094</v>
      </c>
      <c r="M10" s="889">
        <f t="shared" si="2"/>
        <v>45623077</v>
      </c>
      <c r="N10" s="852"/>
      <c r="O10" s="900"/>
      <c r="P10" s="900"/>
      <c r="Q10" s="776"/>
      <c r="R10" s="776"/>
      <c r="S10" s="466"/>
      <c r="T10" s="466"/>
      <c r="U10" s="466"/>
      <c r="V10" s="466"/>
      <c r="W10" s="466"/>
      <c r="X10" s="466"/>
      <c r="Y10" s="466"/>
      <c r="Z10" s="466"/>
      <c r="AA10" s="466"/>
      <c r="AB10" s="470"/>
      <c r="AC10" s="468"/>
    </row>
    <row r="11" spans="1:29" ht="11.25" customHeight="1">
      <c r="A11" s="492">
        <v>51031020</v>
      </c>
      <c r="B11" s="506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1385.3999454689579</v>
      </c>
      <c r="H11" s="506" t="s">
        <v>1057</v>
      </c>
      <c r="I11" s="507" t="s">
        <v>1279</v>
      </c>
      <c r="J11" s="511"/>
      <c r="K11" s="855"/>
      <c r="L11" s="854">
        <f t="shared" si="1"/>
        <v>0</v>
      </c>
      <c r="M11" s="889">
        <f t="shared" si="2"/>
        <v>0</v>
      </c>
      <c r="N11" s="853"/>
      <c r="O11" s="852"/>
      <c r="P11" s="901"/>
      <c r="Q11" s="776"/>
      <c r="R11" s="776"/>
      <c r="T11" s="466"/>
      <c r="U11" s="466"/>
      <c r="V11" s="466"/>
      <c r="W11" s="466"/>
      <c r="X11" s="466"/>
      <c r="Y11" s="466"/>
      <c r="Z11" s="466"/>
      <c r="AA11" s="466"/>
      <c r="AB11" s="470"/>
      <c r="AC11" s="468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926"/>
      <c r="E12" s="500"/>
      <c r="F12" s="497">
        <f t="shared" si="0"/>
        <v>0</v>
      </c>
      <c r="G12" s="512">
        <f>E13+Q13+AB13</f>
        <v>11076.26</v>
      </c>
      <c r="H12" s="499" t="s">
        <v>1059</v>
      </c>
      <c r="I12" s="499" t="s">
        <v>1060</v>
      </c>
      <c r="J12" s="495">
        <v>97.84</v>
      </c>
      <c r="K12" s="500">
        <v>6.61</v>
      </c>
      <c r="L12" s="651">
        <f t="shared" si="1"/>
        <v>9473</v>
      </c>
      <c r="M12" s="889">
        <f t="shared" si="2"/>
        <v>9473</v>
      </c>
      <c r="N12" s="852"/>
      <c r="O12" s="852"/>
      <c r="P12" s="901"/>
      <c r="Q12" s="776"/>
      <c r="R12" s="776"/>
      <c r="T12" s="466"/>
      <c r="U12" s="466"/>
      <c r="V12" s="466"/>
      <c r="W12" s="466"/>
      <c r="X12" s="466"/>
      <c r="Y12" s="466"/>
      <c r="Z12" s="466"/>
      <c r="AA12" s="466"/>
      <c r="AB12" s="470"/>
      <c r="AC12" s="468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80002.720000000001</v>
      </c>
      <c r="E13" s="515">
        <f>SUM(E5:E11)-E12</f>
        <v>11076.26</v>
      </c>
      <c r="F13" s="870">
        <f>SUM(F5:F11)-F12</f>
        <v>15345050</v>
      </c>
      <c r="G13" s="518">
        <f>F13+R13+AC13</f>
        <v>15345050</v>
      </c>
      <c r="H13" s="868" t="s">
        <v>22</v>
      </c>
      <c r="I13" s="869"/>
      <c r="J13" s="515">
        <f>SUM(J5:J11)-J12</f>
        <v>254876.31</v>
      </c>
      <c r="K13" s="515">
        <f>SUM(K5:K11)-K12</f>
        <v>35146.910000000003</v>
      </c>
      <c r="L13" s="870">
        <f>SUM(L5:L11)-L12</f>
        <v>50372552</v>
      </c>
      <c r="M13" s="889">
        <f t="shared" si="2"/>
        <v>65717602</v>
      </c>
      <c r="N13" s="872"/>
      <c r="O13" s="873"/>
      <c r="P13" s="776"/>
      <c r="Q13" s="776"/>
      <c r="R13" s="776"/>
      <c r="S13" s="874"/>
      <c r="U13" s="850"/>
      <c r="X13" s="875">
        <f>F13+R13</f>
        <v>15345050</v>
      </c>
      <c r="Y13" s="876"/>
      <c r="Z13" s="877"/>
      <c r="AA13" s="468"/>
      <c r="AB13" s="471"/>
      <c r="AC13" s="468"/>
    </row>
    <row r="14" spans="1:29" ht="14.25" customHeight="1">
      <c r="A14" s="449"/>
      <c r="C14" s="520"/>
      <c r="D14" s="739">
        <f t="shared" ref="D14:E14" si="3">SUM(D7:D10)</f>
        <v>59205.33</v>
      </c>
      <c r="E14" s="739">
        <f t="shared" si="3"/>
        <v>8196.89</v>
      </c>
      <c r="F14" s="739">
        <f>SUM(F7:F10)</f>
        <v>11355971</v>
      </c>
      <c r="G14" s="524"/>
      <c r="J14" s="929">
        <f>J13+D13</f>
        <v>334879.03000000003</v>
      </c>
      <c r="K14" s="929">
        <f t="shared" ref="K14" si="4">K13+E13</f>
        <v>46223.170000000006</v>
      </c>
      <c r="L14" s="904">
        <f>L13+F13</f>
        <v>65717602</v>
      </c>
      <c r="M14" s="865" t="e">
        <f>M16-E12</f>
        <v>#REF!</v>
      </c>
      <c r="O14" s="525"/>
      <c r="P14" s="844">
        <f>P13+D13+J13</f>
        <v>334879.03000000003</v>
      </c>
      <c r="Q14" s="844">
        <f>Q13+E13+K13</f>
        <v>46223.170000000006</v>
      </c>
      <c r="R14" s="845">
        <f>R13+F13+L13</f>
        <v>65717602</v>
      </c>
      <c r="X14" s="470"/>
      <c r="Y14" s="525"/>
      <c r="AB14" s="525"/>
      <c r="AC14" s="489"/>
    </row>
    <row r="15" spans="1:29" ht="14.25" customHeight="1">
      <c r="A15" s="449"/>
      <c r="C15" s="520"/>
      <c r="D15" s="739"/>
      <c r="E15" s="739"/>
      <c r="F15" s="739"/>
      <c r="G15" s="524"/>
      <c r="K15" s="865" t="e">
        <f>K16-H74</f>
        <v>#REF!</v>
      </c>
      <c r="L15" s="865"/>
      <c r="M15" s="865" t="e">
        <f t="shared" ref="M15" si="5">M16-J74</f>
        <v>#REF!</v>
      </c>
      <c r="O15" s="525"/>
      <c r="P15" s="844"/>
      <c r="Q15" s="844"/>
      <c r="R15" s="845"/>
      <c r="X15" s="470"/>
      <c r="Y15" s="525"/>
      <c r="AB15" s="525"/>
      <c r="AC15" s="489"/>
    </row>
    <row r="16" spans="1:29" ht="18.75" customHeight="1" thickBot="1">
      <c r="A16" s="449"/>
      <c r="C16" s="520"/>
      <c r="D16" s="520"/>
      <c r="E16" s="523"/>
      <c r="F16" s="523"/>
      <c r="G16" s="524"/>
      <c r="I16" s="525"/>
      <c r="J16" s="526"/>
      <c r="K16" s="652" t="e">
        <f>SUBTOTAL(9,K19:K96)</f>
        <v>#REF!</v>
      </c>
      <c r="L16" s="137"/>
      <c r="M16" s="652" t="e">
        <f>SUBTOTAL(9,M19:M96)</f>
        <v>#REF!</v>
      </c>
      <c r="N16" s="525"/>
      <c r="Q16" s="525"/>
    </row>
    <row r="17" spans="1:29" ht="11.25" customHeight="1">
      <c r="A17" s="449"/>
      <c r="B17" s="527" t="s">
        <v>24</v>
      </c>
      <c r="C17" s="528" t="s">
        <v>25</v>
      </c>
      <c r="D17" s="528" t="s">
        <v>1061</v>
      </c>
      <c r="E17" s="530" t="s">
        <v>26</v>
      </c>
      <c r="F17" s="531" t="s">
        <v>1</v>
      </c>
      <c r="G17" s="532" t="s">
        <v>2</v>
      </c>
      <c r="H17" s="2072" t="s">
        <v>29</v>
      </c>
      <c r="I17" s="2073"/>
      <c r="J17" s="2073"/>
      <c r="K17" s="2072" t="s">
        <v>30</v>
      </c>
      <c r="L17" s="2073"/>
      <c r="M17" s="2074"/>
      <c r="N17" s="2075" t="s">
        <v>31</v>
      </c>
      <c r="O17" s="2076"/>
      <c r="P17" s="2077"/>
      <c r="Q17" s="2077"/>
      <c r="R17" s="533" t="s">
        <v>1062</v>
      </c>
    </row>
    <row r="18" spans="1:29" ht="11.25" customHeight="1">
      <c r="A18" s="449"/>
      <c r="B18" s="534" t="s">
        <v>1063</v>
      </c>
      <c r="C18" s="535" t="s">
        <v>1064</v>
      </c>
      <c r="D18" s="535" t="s">
        <v>1065</v>
      </c>
      <c r="E18" s="537" t="s">
        <v>1066</v>
      </c>
      <c r="F18" s="538" t="s">
        <v>1067</v>
      </c>
      <c r="G18" s="539" t="s">
        <v>1068</v>
      </c>
      <c r="H18" s="540" t="s">
        <v>1069</v>
      </c>
      <c r="I18" s="540" t="s">
        <v>1070</v>
      </c>
      <c r="J18" s="541" t="s">
        <v>34</v>
      </c>
      <c r="K18" s="541" t="s">
        <v>1069</v>
      </c>
      <c r="L18" s="540" t="s">
        <v>1070</v>
      </c>
      <c r="M18" s="606" t="s">
        <v>34</v>
      </c>
      <c r="N18" s="609" t="s">
        <v>1069</v>
      </c>
      <c r="O18" s="610" t="s">
        <v>34</v>
      </c>
      <c r="P18" s="2081" t="s">
        <v>32</v>
      </c>
      <c r="Q18" s="2081"/>
      <c r="R18" s="905" t="s">
        <v>1062</v>
      </c>
    </row>
    <row r="19" spans="1:29" ht="11.25" customHeight="1">
      <c r="B19" s="952">
        <v>45626</v>
      </c>
      <c r="C19" s="953"/>
      <c r="D19" s="953"/>
      <c r="E19" s="954"/>
      <c r="F19" s="955"/>
      <c r="G19" s="956"/>
      <c r="H19" s="957"/>
      <c r="I19" s="953"/>
      <c r="J19" s="956"/>
      <c r="K19" s="958"/>
      <c r="L19" s="959"/>
      <c r="M19" s="960"/>
      <c r="N19" s="961">
        <v>79926.310000000056</v>
      </c>
      <c r="O19" s="961">
        <v>11076.261062252972</v>
      </c>
      <c r="P19" s="962"/>
      <c r="Q19" s="954"/>
      <c r="R19" s="963"/>
      <c r="S19" s="846">
        <v>11076.26</v>
      </c>
    </row>
    <row r="20" spans="1:29" s="574" customFormat="1" ht="12" customHeight="1">
      <c r="A20" s="544"/>
      <c r="B20" s="568">
        <v>45639</v>
      </c>
      <c r="C20" s="964" t="s">
        <v>823</v>
      </c>
      <c r="D20" s="921"/>
      <c r="E20" s="917"/>
      <c r="F20" s="569"/>
      <c r="G20" s="569"/>
      <c r="H20" s="967">
        <v>333265.82</v>
      </c>
      <c r="I20" s="968"/>
      <c r="J20" s="967">
        <v>45932</v>
      </c>
      <c r="K20" s="918"/>
      <c r="L20" s="542"/>
      <c r="M20" s="909"/>
      <c r="N20" s="928">
        <f t="shared" ref="N20" si="6">N19+H20-K20</f>
        <v>413192.13000000006</v>
      </c>
      <c r="O20" s="928">
        <f t="shared" ref="O20" si="7">O19+J20-M20</f>
        <v>57008.261062252976</v>
      </c>
      <c r="P20" s="911"/>
      <c r="Q20" s="641"/>
      <c r="R20" s="641"/>
      <c r="S20" s="883"/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568">
        <v>45639</v>
      </c>
      <c r="C21" s="964" t="s">
        <v>250</v>
      </c>
      <c r="D21" s="921"/>
      <c r="E21" s="917">
        <v>1</v>
      </c>
      <c r="F21" s="569" t="s">
        <v>107</v>
      </c>
      <c r="G21" s="569"/>
      <c r="H21" s="967"/>
      <c r="I21" s="968"/>
      <c r="J21" s="967"/>
      <c r="K21" s="918"/>
      <c r="L21" s="542"/>
      <c r="M21" s="981">
        <v>51</v>
      </c>
      <c r="N21" s="928">
        <f t="shared" ref="N21:N53" si="8">N20+H21-K21</f>
        <v>413192.13000000006</v>
      </c>
      <c r="O21" s="928">
        <f t="shared" ref="O21:O53" si="9">O20+J21-M21</f>
        <v>56957.261062252976</v>
      </c>
      <c r="P21" s="911" t="s">
        <v>1382</v>
      </c>
      <c r="Q21" s="641"/>
      <c r="R21" s="641"/>
      <c r="S21" s="883"/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489" customFormat="1" ht="11.25" customHeight="1">
      <c r="A22" s="544"/>
      <c r="B22" s="568">
        <v>45639</v>
      </c>
      <c r="C22" s="964" t="s">
        <v>1352</v>
      </c>
      <c r="D22" s="921"/>
      <c r="E22" s="917">
        <v>2</v>
      </c>
      <c r="F22" s="569" t="s">
        <v>105</v>
      </c>
      <c r="G22" s="569" t="s">
        <v>1122</v>
      </c>
      <c r="H22" s="969"/>
      <c r="I22" s="970"/>
      <c r="J22" s="970"/>
      <c r="K22" s="967">
        <v>24546</v>
      </c>
      <c r="L22" s="542" t="e">
        <f>'통장내역(환율표)'!#REF!</f>
        <v>#REF!</v>
      </c>
      <c r="M22" s="909" t="e">
        <f t="shared" ref="M22:M93" si="10">K22/L22</f>
        <v>#REF!</v>
      </c>
      <c r="N22" s="928">
        <f t="shared" si="8"/>
        <v>388646.13000000006</v>
      </c>
      <c r="O22" s="928" t="e">
        <f t="shared" si="9"/>
        <v>#REF!</v>
      </c>
      <c r="P22" s="911" t="s">
        <v>1366</v>
      </c>
      <c r="Q22" s="641"/>
      <c r="R22" s="641"/>
      <c r="S22" s="974" t="e">
        <f>S19-M22</f>
        <v>#REF!</v>
      </c>
      <c r="T22" s="461"/>
      <c r="U22" s="574"/>
      <c r="V22" s="461"/>
      <c r="W22" s="461"/>
      <c r="X22" s="461"/>
      <c r="Y22" s="461"/>
      <c r="Z22" s="461"/>
      <c r="AA22" s="461"/>
      <c r="AB22" s="461"/>
      <c r="AC22" s="461"/>
    </row>
    <row r="23" spans="1:29" s="489" customFormat="1" ht="11.25" customHeight="1">
      <c r="A23" s="544"/>
      <c r="B23" s="568">
        <v>45639</v>
      </c>
      <c r="C23" s="964" t="s">
        <v>250</v>
      </c>
      <c r="D23" s="921"/>
      <c r="E23" s="917">
        <v>3</v>
      </c>
      <c r="F23" s="569" t="s">
        <v>107</v>
      </c>
      <c r="G23" s="569"/>
      <c r="H23" s="969"/>
      <c r="I23" s="970"/>
      <c r="J23" s="970"/>
      <c r="K23" s="967">
        <v>7.2</v>
      </c>
      <c r="L23" s="542" t="e">
        <f>'통장내역(환율표)'!#REF!</f>
        <v>#REF!</v>
      </c>
      <c r="M23" s="909" t="e">
        <f t="shared" si="10"/>
        <v>#REF!</v>
      </c>
      <c r="N23" s="928">
        <f t="shared" si="8"/>
        <v>388638.93000000005</v>
      </c>
      <c r="O23" s="928" t="e">
        <f t="shared" si="9"/>
        <v>#REF!</v>
      </c>
      <c r="P23" s="911" t="s">
        <v>1366</v>
      </c>
      <c r="Q23" s="641"/>
      <c r="R23" s="641"/>
      <c r="S23" s="974" t="e">
        <f>S22-M23</f>
        <v>#REF!</v>
      </c>
      <c r="T23" s="461"/>
      <c r="U23" s="574"/>
      <c r="V23" s="461"/>
      <c r="W23" s="461"/>
      <c r="X23" s="461"/>
      <c r="Y23" s="461"/>
      <c r="Z23" s="461"/>
      <c r="AA23" s="461"/>
      <c r="AB23" s="461"/>
      <c r="AC23" s="461"/>
    </row>
    <row r="24" spans="1:29" s="489" customFormat="1" ht="11.25" customHeight="1">
      <c r="A24" s="544"/>
      <c r="B24" s="568">
        <v>45639</v>
      </c>
      <c r="C24" s="964" t="s">
        <v>1276</v>
      </c>
      <c r="D24" s="921"/>
      <c r="E24" s="917">
        <v>4</v>
      </c>
      <c r="F24" s="569" t="s">
        <v>146</v>
      </c>
      <c r="G24" s="569" t="s">
        <v>147</v>
      </c>
      <c r="H24" s="969"/>
      <c r="I24" s="971"/>
      <c r="J24" s="971"/>
      <c r="K24" s="969">
        <v>1600</v>
      </c>
      <c r="L24" s="542" t="e">
        <f>'통장내역(환율표)'!#REF!</f>
        <v>#REF!</v>
      </c>
      <c r="M24" s="909" t="e">
        <f t="shared" si="10"/>
        <v>#REF!</v>
      </c>
      <c r="N24" s="928">
        <f t="shared" si="8"/>
        <v>387038.93000000005</v>
      </c>
      <c r="O24" s="928" t="e">
        <f t="shared" si="9"/>
        <v>#REF!</v>
      </c>
      <c r="P24" s="911" t="s">
        <v>1366</v>
      </c>
      <c r="Q24" s="641"/>
      <c r="R24" s="641"/>
      <c r="S24" s="974" t="e">
        <f t="shared" ref="S24:S53" si="11">S23-M24</f>
        <v>#REF!</v>
      </c>
      <c r="T24" s="461"/>
      <c r="U24" s="574"/>
      <c r="V24" s="461"/>
      <c r="W24" s="461"/>
      <c r="X24" s="461"/>
      <c r="Y24" s="461"/>
      <c r="Z24" s="461"/>
      <c r="AA24" s="461"/>
      <c r="AB24" s="461"/>
      <c r="AC24" s="461"/>
    </row>
    <row r="25" spans="1:29" s="489" customFormat="1" ht="11.25" customHeight="1">
      <c r="A25" s="544"/>
      <c r="B25" s="568">
        <v>45639</v>
      </c>
      <c r="C25" s="964" t="s">
        <v>250</v>
      </c>
      <c r="D25" s="921"/>
      <c r="E25" s="917">
        <v>5</v>
      </c>
      <c r="F25" s="569" t="s">
        <v>107</v>
      </c>
      <c r="G25" s="569"/>
      <c r="H25" s="969"/>
      <c r="I25" s="971"/>
      <c r="J25" s="971"/>
      <c r="K25" s="969">
        <v>3.6</v>
      </c>
      <c r="L25" s="542" t="e">
        <f>'통장내역(환율표)'!#REF!</f>
        <v>#REF!</v>
      </c>
      <c r="M25" s="909" t="e">
        <f t="shared" si="10"/>
        <v>#REF!</v>
      </c>
      <c r="N25" s="928">
        <f t="shared" si="8"/>
        <v>387035.33000000007</v>
      </c>
      <c r="O25" s="928" t="e">
        <f t="shared" si="9"/>
        <v>#REF!</v>
      </c>
      <c r="P25" s="911" t="s">
        <v>1366</v>
      </c>
      <c r="Q25" s="641"/>
      <c r="R25" s="641"/>
      <c r="S25" s="974" t="e">
        <f t="shared" si="11"/>
        <v>#REF!</v>
      </c>
      <c r="T25" s="461"/>
      <c r="U25" s="574"/>
      <c r="V25" s="461"/>
      <c r="W25" s="461"/>
      <c r="X25" s="461"/>
      <c r="Y25" s="461"/>
      <c r="Z25" s="461"/>
      <c r="AA25" s="461"/>
      <c r="AB25" s="461"/>
      <c r="AC25" s="461"/>
    </row>
    <row r="26" spans="1:29" s="489" customFormat="1" ht="11.25" customHeight="1">
      <c r="A26" s="544"/>
      <c r="B26" s="568">
        <v>45646</v>
      </c>
      <c r="C26" s="964" t="s">
        <v>242</v>
      </c>
      <c r="D26" s="921"/>
      <c r="E26" s="917">
        <v>6</v>
      </c>
      <c r="F26" s="569" t="s">
        <v>107</v>
      </c>
      <c r="G26" s="569"/>
      <c r="H26" s="969"/>
      <c r="I26" s="971"/>
      <c r="J26" s="971"/>
      <c r="K26" s="969">
        <v>1010</v>
      </c>
      <c r="L26" s="542" t="e">
        <f>'통장내역(환율표)'!#REF!</f>
        <v>#REF!</v>
      </c>
      <c r="M26" s="909" t="e">
        <f t="shared" si="10"/>
        <v>#REF!</v>
      </c>
      <c r="N26" s="928">
        <f t="shared" si="8"/>
        <v>386025.33000000007</v>
      </c>
      <c r="O26" s="928" t="e">
        <f t="shared" si="9"/>
        <v>#REF!</v>
      </c>
      <c r="P26" s="911" t="s">
        <v>1366</v>
      </c>
      <c r="Q26" s="641"/>
      <c r="R26" s="641"/>
      <c r="S26" s="974" t="e">
        <f t="shared" si="11"/>
        <v>#REF!</v>
      </c>
      <c r="T26" s="461"/>
      <c r="U26" s="574"/>
      <c r="V26" s="461"/>
      <c r="W26" s="461"/>
      <c r="X26" s="461"/>
      <c r="Y26" s="461"/>
      <c r="Z26" s="461"/>
      <c r="AA26" s="461"/>
      <c r="AB26" s="461"/>
      <c r="AC26" s="461"/>
    </row>
    <row r="27" spans="1:29" s="489" customFormat="1" ht="11.25" customHeight="1">
      <c r="A27" s="544"/>
      <c r="B27" s="568">
        <v>45646</v>
      </c>
      <c r="C27" s="964" t="s">
        <v>250</v>
      </c>
      <c r="D27" s="921"/>
      <c r="E27" s="917">
        <v>7</v>
      </c>
      <c r="F27" s="569" t="s">
        <v>107</v>
      </c>
      <c r="G27" s="569"/>
      <c r="H27" s="969"/>
      <c r="I27" s="971"/>
      <c r="J27" s="971"/>
      <c r="K27" s="969">
        <v>3.6</v>
      </c>
      <c r="L27" s="542" t="e">
        <f>'통장내역(환율표)'!#REF!</f>
        <v>#REF!</v>
      </c>
      <c r="M27" s="909" t="e">
        <f t="shared" si="10"/>
        <v>#REF!</v>
      </c>
      <c r="N27" s="928">
        <f t="shared" si="8"/>
        <v>386021.7300000001</v>
      </c>
      <c r="O27" s="928" t="e">
        <f t="shared" si="9"/>
        <v>#REF!</v>
      </c>
      <c r="P27" s="911" t="s">
        <v>1366</v>
      </c>
      <c r="Q27" s="641"/>
      <c r="R27" s="641"/>
      <c r="S27" s="974" t="e">
        <f t="shared" si="11"/>
        <v>#REF!</v>
      </c>
      <c r="T27" s="461"/>
      <c r="U27" s="574"/>
      <c r="V27" s="461"/>
      <c r="W27" s="461"/>
      <c r="X27" s="461"/>
      <c r="Y27" s="461"/>
      <c r="Z27" s="461"/>
      <c r="AA27" s="461"/>
      <c r="AB27" s="461"/>
      <c r="AC27" s="461"/>
    </row>
    <row r="28" spans="1:29" s="489" customFormat="1" ht="11.25" customHeight="1">
      <c r="A28" s="544"/>
      <c r="B28" s="568">
        <v>45646</v>
      </c>
      <c r="C28" s="916" t="s">
        <v>305</v>
      </c>
      <c r="D28" s="921"/>
      <c r="E28" s="917">
        <v>8</v>
      </c>
      <c r="F28" s="569" t="s">
        <v>105</v>
      </c>
      <c r="G28" s="569" t="s">
        <v>227</v>
      </c>
      <c r="H28" s="969"/>
      <c r="I28" s="971"/>
      <c r="J28" s="971"/>
      <c r="K28" s="918">
        <v>10500</v>
      </c>
      <c r="L28" s="542" t="e">
        <f>'통장내역(환율표)'!#REF!</f>
        <v>#REF!</v>
      </c>
      <c r="M28" s="909" t="e">
        <f t="shared" si="10"/>
        <v>#REF!</v>
      </c>
      <c r="N28" s="928">
        <f t="shared" si="8"/>
        <v>375521.7300000001</v>
      </c>
      <c r="O28" s="928" t="e">
        <f t="shared" si="9"/>
        <v>#REF!</v>
      </c>
      <c r="P28" s="911" t="s">
        <v>1366</v>
      </c>
      <c r="Q28" s="641"/>
      <c r="R28" s="641"/>
      <c r="S28" s="974" t="e">
        <f t="shared" si="11"/>
        <v>#REF!</v>
      </c>
      <c r="T28" s="461"/>
      <c r="U28" s="574"/>
      <c r="V28" s="461"/>
      <c r="W28" s="461"/>
      <c r="X28" s="461"/>
      <c r="Y28" s="461"/>
      <c r="Z28" s="461"/>
      <c r="AA28" s="461"/>
      <c r="AB28" s="461"/>
      <c r="AC28" s="461"/>
    </row>
    <row r="29" spans="1:29" s="489" customFormat="1" ht="11.25" customHeight="1">
      <c r="A29" s="544"/>
      <c r="B29" s="568">
        <v>45646</v>
      </c>
      <c r="C29" s="916" t="s">
        <v>1107</v>
      </c>
      <c r="D29" s="921"/>
      <c r="E29" s="917">
        <v>8</v>
      </c>
      <c r="F29" s="569" t="s">
        <v>107</v>
      </c>
      <c r="G29" s="569"/>
      <c r="H29" s="969"/>
      <c r="I29" s="971"/>
      <c r="J29" s="971"/>
      <c r="K29" s="918">
        <v>6000</v>
      </c>
      <c r="L29" s="542" t="e">
        <f>'통장내역(환율표)'!#REF!</f>
        <v>#REF!</v>
      </c>
      <c r="M29" s="909" t="e">
        <f t="shared" si="10"/>
        <v>#REF!</v>
      </c>
      <c r="N29" s="928">
        <f t="shared" si="8"/>
        <v>369521.7300000001</v>
      </c>
      <c r="O29" s="928" t="e">
        <f t="shared" si="9"/>
        <v>#REF!</v>
      </c>
      <c r="P29" s="911" t="s">
        <v>1366</v>
      </c>
      <c r="Q29" s="641"/>
      <c r="R29" s="641"/>
      <c r="S29" s="974" t="e">
        <f t="shared" si="11"/>
        <v>#REF!</v>
      </c>
      <c r="T29" s="461"/>
      <c r="U29" s="574"/>
      <c r="V29" s="461"/>
      <c r="W29" s="461"/>
      <c r="X29" s="461"/>
      <c r="Y29" s="461"/>
      <c r="Z29" s="461"/>
      <c r="AA29" s="461"/>
      <c r="AB29" s="461"/>
      <c r="AC29" s="461"/>
    </row>
    <row r="30" spans="1:29" s="489" customFormat="1" ht="11.25" customHeight="1">
      <c r="A30" s="544"/>
      <c r="B30" s="568">
        <v>45646</v>
      </c>
      <c r="C30" s="916" t="s">
        <v>1108</v>
      </c>
      <c r="D30" s="921"/>
      <c r="E30" s="917">
        <v>8</v>
      </c>
      <c r="F30" s="569" t="s">
        <v>107</v>
      </c>
      <c r="G30" s="569"/>
      <c r="H30" s="969"/>
      <c r="I30" s="971"/>
      <c r="J30" s="971"/>
      <c r="K30" s="918">
        <v>440</v>
      </c>
      <c r="L30" s="542" t="e">
        <f>'통장내역(환율표)'!#REF!</f>
        <v>#REF!</v>
      </c>
      <c r="M30" s="909" t="e">
        <f t="shared" ref="M30:M34" si="12">K30/L30</f>
        <v>#REF!</v>
      </c>
      <c r="N30" s="928">
        <f t="shared" si="8"/>
        <v>369081.7300000001</v>
      </c>
      <c r="O30" s="928" t="e">
        <f t="shared" si="9"/>
        <v>#REF!</v>
      </c>
      <c r="P30" s="911" t="s">
        <v>1366</v>
      </c>
      <c r="Q30" s="641"/>
      <c r="R30" s="641"/>
      <c r="S30" s="974" t="e">
        <f t="shared" si="11"/>
        <v>#REF!</v>
      </c>
      <c r="T30" s="461"/>
      <c r="U30" s="574"/>
      <c r="V30" s="461"/>
      <c r="W30" s="461"/>
      <c r="X30" s="461"/>
      <c r="Y30" s="461"/>
      <c r="Z30" s="461"/>
      <c r="AA30" s="461"/>
      <c r="AB30" s="461"/>
      <c r="AC30" s="461"/>
    </row>
    <row r="31" spans="1:29" s="489" customFormat="1" ht="11.25" customHeight="1">
      <c r="A31" s="544"/>
      <c r="B31" s="568">
        <v>45646</v>
      </c>
      <c r="C31" s="916" t="s">
        <v>305</v>
      </c>
      <c r="D31" s="921"/>
      <c r="E31" s="917">
        <v>8</v>
      </c>
      <c r="F31" s="569" t="s">
        <v>105</v>
      </c>
      <c r="G31" s="569" t="s">
        <v>227</v>
      </c>
      <c r="H31" s="969"/>
      <c r="I31" s="971"/>
      <c r="J31" s="971"/>
      <c r="K31" s="918">
        <v>7000</v>
      </c>
      <c r="L31" s="542" t="e">
        <f>'통장내역(환율표)'!#REF!</f>
        <v>#REF!</v>
      </c>
      <c r="M31" s="909" t="e">
        <f t="shared" si="12"/>
        <v>#REF!</v>
      </c>
      <c r="N31" s="928">
        <f t="shared" si="8"/>
        <v>362081.7300000001</v>
      </c>
      <c r="O31" s="928" t="e">
        <f t="shared" si="9"/>
        <v>#REF!</v>
      </c>
      <c r="P31" s="911" t="s">
        <v>1366</v>
      </c>
      <c r="Q31" s="641"/>
      <c r="R31" s="641"/>
      <c r="S31" s="974" t="e">
        <f t="shared" si="11"/>
        <v>#REF!</v>
      </c>
      <c r="T31" s="461"/>
      <c r="U31" s="574"/>
      <c r="V31" s="461"/>
      <c r="W31" s="461"/>
      <c r="X31" s="461"/>
      <c r="Y31" s="461"/>
      <c r="Z31" s="461"/>
      <c r="AA31" s="461"/>
      <c r="AB31" s="461"/>
      <c r="AC31" s="461"/>
    </row>
    <row r="32" spans="1:29" s="489" customFormat="1" ht="11.25" customHeight="1">
      <c r="A32" s="544"/>
      <c r="B32" s="568">
        <v>45646</v>
      </c>
      <c r="C32" s="916" t="s">
        <v>1107</v>
      </c>
      <c r="D32" s="921"/>
      <c r="E32" s="917">
        <v>8</v>
      </c>
      <c r="F32" s="569" t="s">
        <v>107</v>
      </c>
      <c r="G32" s="569"/>
      <c r="H32" s="969"/>
      <c r="I32" s="971"/>
      <c r="J32" s="971"/>
      <c r="K32" s="918">
        <v>6000</v>
      </c>
      <c r="L32" s="542" t="e">
        <f>'통장내역(환율표)'!#REF!</f>
        <v>#REF!</v>
      </c>
      <c r="M32" s="909" t="e">
        <f t="shared" si="12"/>
        <v>#REF!</v>
      </c>
      <c r="N32" s="928">
        <f t="shared" si="8"/>
        <v>356081.7300000001</v>
      </c>
      <c r="O32" s="928" t="e">
        <f t="shared" si="9"/>
        <v>#REF!</v>
      </c>
      <c r="P32" s="911" t="s">
        <v>1366</v>
      </c>
      <c r="Q32" s="641"/>
      <c r="R32" s="641"/>
      <c r="S32" s="974" t="e">
        <f t="shared" si="11"/>
        <v>#REF!</v>
      </c>
      <c r="T32" s="461"/>
      <c r="U32" s="574"/>
      <c r="V32" s="461"/>
      <c r="W32" s="461"/>
      <c r="X32" s="461"/>
      <c r="Y32" s="461"/>
      <c r="Z32" s="461"/>
      <c r="AA32" s="461"/>
      <c r="AB32" s="461"/>
      <c r="AC32" s="461"/>
    </row>
    <row r="33" spans="1:29" s="489" customFormat="1" ht="11.25" customHeight="1">
      <c r="A33" s="544"/>
      <c r="B33" s="568">
        <v>45646</v>
      </c>
      <c r="C33" s="916" t="s">
        <v>1108</v>
      </c>
      <c r="D33" s="921"/>
      <c r="E33" s="917">
        <v>8</v>
      </c>
      <c r="F33" s="569" t="s">
        <v>107</v>
      </c>
      <c r="G33" s="569"/>
      <c r="H33" s="969"/>
      <c r="I33" s="971"/>
      <c r="J33" s="971"/>
      <c r="K33" s="918">
        <v>180</v>
      </c>
      <c r="L33" s="542" t="e">
        <f>'통장내역(환율표)'!#REF!</f>
        <v>#REF!</v>
      </c>
      <c r="M33" s="909" t="e">
        <f t="shared" si="12"/>
        <v>#REF!</v>
      </c>
      <c r="N33" s="928">
        <f t="shared" si="8"/>
        <v>355901.7300000001</v>
      </c>
      <c r="O33" s="928" t="e">
        <f t="shared" si="9"/>
        <v>#REF!</v>
      </c>
      <c r="P33" s="911" t="s">
        <v>1366</v>
      </c>
      <c r="Q33" s="641"/>
      <c r="R33" s="641"/>
      <c r="S33" s="974" t="e">
        <f t="shared" si="11"/>
        <v>#REF!</v>
      </c>
      <c r="T33" s="461"/>
      <c r="U33" s="574"/>
      <c r="V33" s="461"/>
      <c r="W33" s="461"/>
      <c r="X33" s="461"/>
      <c r="Y33" s="461"/>
      <c r="Z33" s="461"/>
      <c r="AA33" s="461"/>
      <c r="AB33" s="461"/>
      <c r="AC33" s="461"/>
    </row>
    <row r="34" spans="1:29" s="489" customFormat="1" ht="11.25" customHeight="1">
      <c r="A34" s="544"/>
      <c r="B34" s="568">
        <v>45646</v>
      </c>
      <c r="C34" s="916" t="s">
        <v>445</v>
      </c>
      <c r="D34" s="921"/>
      <c r="E34" s="917">
        <v>9</v>
      </c>
      <c r="F34" s="569" t="s">
        <v>107</v>
      </c>
      <c r="G34" s="569"/>
      <c r="H34" s="969"/>
      <c r="I34" s="971"/>
      <c r="J34" s="971"/>
      <c r="K34" s="918">
        <v>7.2</v>
      </c>
      <c r="L34" s="542" t="e">
        <f>'통장내역(환율표)'!#REF!</f>
        <v>#REF!</v>
      </c>
      <c r="M34" s="909" t="e">
        <f t="shared" si="12"/>
        <v>#REF!</v>
      </c>
      <c r="N34" s="928">
        <f t="shared" si="8"/>
        <v>355894.53000000009</v>
      </c>
      <c r="O34" s="928" t="e">
        <f t="shared" si="9"/>
        <v>#REF!</v>
      </c>
      <c r="P34" s="911" t="s">
        <v>1366</v>
      </c>
      <c r="Q34" s="641"/>
      <c r="R34" s="641"/>
      <c r="S34" s="974" t="e">
        <f t="shared" si="11"/>
        <v>#REF!</v>
      </c>
      <c r="T34" s="461"/>
      <c r="U34" s="574"/>
      <c r="V34" s="461"/>
      <c r="W34" s="461"/>
      <c r="X34" s="461"/>
      <c r="Y34" s="461"/>
      <c r="Z34" s="461"/>
      <c r="AA34" s="461"/>
      <c r="AB34" s="461"/>
      <c r="AC34" s="461"/>
    </row>
    <row r="35" spans="1:29" s="489" customFormat="1" ht="11.25" customHeight="1">
      <c r="A35" s="544"/>
      <c r="B35" s="568">
        <v>45646</v>
      </c>
      <c r="C35" s="916" t="s">
        <v>1324</v>
      </c>
      <c r="D35" s="921"/>
      <c r="E35" s="569">
        <v>10</v>
      </c>
      <c r="F35" s="569" t="s">
        <v>116</v>
      </c>
      <c r="G35" s="569" t="s">
        <v>140</v>
      </c>
      <c r="H35" s="569"/>
      <c r="I35" s="569"/>
      <c r="J35" s="569"/>
      <c r="K35" s="918">
        <v>917</v>
      </c>
      <c r="L35" s="542" t="e">
        <f>'통장내역(환율표)'!#REF!</f>
        <v>#REF!</v>
      </c>
      <c r="M35" s="909" t="e">
        <f t="shared" ref="M35:M46" si="13">K35/L35</f>
        <v>#REF!</v>
      </c>
      <c r="N35" s="928">
        <f t="shared" si="8"/>
        <v>354977.53000000009</v>
      </c>
      <c r="O35" s="928" t="e">
        <f t="shared" si="9"/>
        <v>#REF!</v>
      </c>
      <c r="P35" s="911" t="s">
        <v>1366</v>
      </c>
      <c r="Q35" s="641"/>
      <c r="R35" s="641"/>
      <c r="S35" s="974" t="e">
        <f t="shared" si="11"/>
        <v>#REF!</v>
      </c>
      <c r="T35" s="461"/>
      <c r="U35" s="574"/>
      <c r="V35" s="461"/>
      <c r="W35" s="461"/>
      <c r="X35" s="461"/>
      <c r="Y35" s="461"/>
      <c r="Z35" s="461"/>
      <c r="AA35" s="461"/>
      <c r="AB35" s="461"/>
      <c r="AC35" s="461"/>
    </row>
    <row r="36" spans="1:29" s="489" customFormat="1" ht="11.25" customHeight="1">
      <c r="A36" s="544"/>
      <c r="B36" s="568">
        <v>45646</v>
      </c>
      <c r="C36" s="916" t="s">
        <v>857</v>
      </c>
      <c r="D36" s="921"/>
      <c r="E36" s="569">
        <v>11</v>
      </c>
      <c r="F36" s="569" t="s">
        <v>107</v>
      </c>
      <c r="G36" s="569"/>
      <c r="H36" s="569"/>
      <c r="I36" s="569"/>
      <c r="J36" s="569"/>
      <c r="K36" s="918">
        <v>19.899999999999999</v>
      </c>
      <c r="L36" s="542" t="e">
        <f>'통장내역(환율표)'!#REF!</f>
        <v>#REF!</v>
      </c>
      <c r="M36" s="909" t="e">
        <f t="shared" si="13"/>
        <v>#REF!</v>
      </c>
      <c r="N36" s="928">
        <f t="shared" si="8"/>
        <v>354957.63000000006</v>
      </c>
      <c r="O36" s="928" t="e">
        <f t="shared" si="9"/>
        <v>#REF!</v>
      </c>
      <c r="P36" s="911" t="s">
        <v>1366</v>
      </c>
      <c r="Q36" s="641"/>
      <c r="R36" s="641"/>
      <c r="S36" s="974" t="e">
        <f t="shared" si="11"/>
        <v>#REF!</v>
      </c>
      <c r="T36" s="461"/>
      <c r="U36" s="574"/>
      <c r="V36" s="461"/>
      <c r="W36" s="461"/>
      <c r="X36" s="461"/>
      <c r="Y36" s="461"/>
      <c r="Z36" s="461"/>
      <c r="AA36" s="461"/>
      <c r="AB36" s="461"/>
      <c r="AC36" s="461"/>
    </row>
    <row r="37" spans="1:29" s="489" customFormat="1" ht="11.25" customHeight="1">
      <c r="A37" s="544"/>
      <c r="B37" s="568">
        <v>45646</v>
      </c>
      <c r="C37" s="916" t="s">
        <v>844</v>
      </c>
      <c r="D37" s="921"/>
      <c r="E37" s="569">
        <v>12</v>
      </c>
      <c r="F37" s="569" t="s">
        <v>146</v>
      </c>
      <c r="G37" s="569" t="s">
        <v>147</v>
      </c>
      <c r="H37" s="569"/>
      <c r="I37" s="569"/>
      <c r="J37" s="569"/>
      <c r="K37" s="918">
        <v>15</v>
      </c>
      <c r="L37" s="542" t="e">
        <f>'통장내역(환율표)'!#REF!</f>
        <v>#REF!</v>
      </c>
      <c r="M37" s="909" t="e">
        <f t="shared" si="13"/>
        <v>#REF!</v>
      </c>
      <c r="N37" s="928">
        <f t="shared" si="8"/>
        <v>354942.63000000006</v>
      </c>
      <c r="O37" s="928" t="e">
        <f t="shared" si="9"/>
        <v>#REF!</v>
      </c>
      <c r="P37" s="911" t="s">
        <v>1366</v>
      </c>
      <c r="Q37" s="641"/>
      <c r="R37" s="641"/>
      <c r="S37" s="974" t="e">
        <f t="shared" si="11"/>
        <v>#REF!</v>
      </c>
      <c r="T37" s="461"/>
      <c r="U37" s="574"/>
      <c r="V37" s="461"/>
      <c r="W37" s="461"/>
      <c r="X37" s="461"/>
      <c r="Y37" s="461"/>
      <c r="Z37" s="461"/>
      <c r="AA37" s="461"/>
      <c r="AB37" s="461"/>
      <c r="AC37" s="461"/>
    </row>
    <row r="38" spans="1:29" s="489" customFormat="1" ht="11.25" customHeight="1">
      <c r="A38" s="544"/>
      <c r="B38" s="568">
        <v>45646</v>
      </c>
      <c r="C38" s="965" t="s">
        <v>845</v>
      </c>
      <c r="D38" s="921"/>
      <c r="E38" s="569">
        <v>13</v>
      </c>
      <c r="F38" s="569" t="s">
        <v>125</v>
      </c>
      <c r="G38" s="569" t="s">
        <v>145</v>
      </c>
      <c r="H38" s="569"/>
      <c r="I38" s="569"/>
      <c r="J38" s="569"/>
      <c r="K38" s="918">
        <v>565.99</v>
      </c>
      <c r="L38" s="542" t="e">
        <f>'통장내역(환율표)'!#REF!</f>
        <v>#REF!</v>
      </c>
      <c r="M38" s="909" t="e">
        <f t="shared" si="13"/>
        <v>#REF!</v>
      </c>
      <c r="N38" s="928">
        <f t="shared" si="8"/>
        <v>354376.64000000007</v>
      </c>
      <c r="O38" s="928" t="e">
        <f t="shared" si="9"/>
        <v>#REF!</v>
      </c>
      <c r="P38" s="911" t="s">
        <v>1366</v>
      </c>
      <c r="Q38" s="641"/>
      <c r="R38" s="641"/>
      <c r="S38" s="974" t="e">
        <f t="shared" si="11"/>
        <v>#REF!</v>
      </c>
      <c r="T38" s="461"/>
      <c r="U38" s="574"/>
      <c r="V38" s="461"/>
      <c r="W38" s="461"/>
      <c r="X38" s="461"/>
      <c r="Y38" s="461"/>
      <c r="Z38" s="461"/>
      <c r="AA38" s="461"/>
      <c r="AB38" s="461"/>
      <c r="AC38" s="461"/>
    </row>
    <row r="39" spans="1:29" s="489" customFormat="1" ht="11.25" customHeight="1">
      <c r="A39" s="544"/>
      <c r="B39" s="568">
        <v>45646</v>
      </c>
      <c r="C39" s="965" t="s">
        <v>862</v>
      </c>
      <c r="D39" s="921"/>
      <c r="E39" s="569">
        <v>14</v>
      </c>
      <c r="F39" s="569" t="s">
        <v>107</v>
      </c>
      <c r="G39" s="569"/>
      <c r="H39" s="569"/>
      <c r="I39" s="569"/>
      <c r="J39" s="569"/>
      <c r="K39" s="918">
        <v>3.6</v>
      </c>
      <c r="L39" s="542" t="e">
        <f>'통장내역(환율표)'!#REF!</f>
        <v>#REF!</v>
      </c>
      <c r="M39" s="909" t="e">
        <f t="shared" si="13"/>
        <v>#REF!</v>
      </c>
      <c r="N39" s="928">
        <f t="shared" si="8"/>
        <v>354373.0400000001</v>
      </c>
      <c r="O39" s="928" t="e">
        <f t="shared" si="9"/>
        <v>#REF!</v>
      </c>
      <c r="P39" s="911" t="s">
        <v>1366</v>
      </c>
      <c r="Q39" s="641"/>
      <c r="R39" s="641"/>
      <c r="S39" s="974" t="e">
        <f t="shared" si="11"/>
        <v>#REF!</v>
      </c>
      <c r="T39" s="461"/>
      <c r="U39" s="574"/>
      <c r="V39" s="461"/>
      <c r="W39" s="461"/>
      <c r="X39" s="461"/>
      <c r="Y39" s="461"/>
      <c r="Z39" s="461"/>
      <c r="AA39" s="461"/>
      <c r="AB39" s="461"/>
      <c r="AC39" s="461"/>
    </row>
    <row r="40" spans="1:29" s="489" customFormat="1" ht="11.25" customHeight="1">
      <c r="A40" s="544"/>
      <c r="B40" s="568">
        <v>45646</v>
      </c>
      <c r="C40" s="965" t="s">
        <v>1293</v>
      </c>
      <c r="D40" s="921"/>
      <c r="E40" s="569">
        <v>15</v>
      </c>
      <c r="F40" s="569" t="s">
        <v>146</v>
      </c>
      <c r="G40" s="569" t="s">
        <v>147</v>
      </c>
      <c r="H40" s="569"/>
      <c r="I40" s="569"/>
      <c r="J40" s="569"/>
      <c r="K40" s="918">
        <v>189.76</v>
      </c>
      <c r="L40" s="542" t="e">
        <f>'통장내역(환율표)'!#REF!</f>
        <v>#REF!</v>
      </c>
      <c r="M40" s="909" t="e">
        <f t="shared" si="13"/>
        <v>#REF!</v>
      </c>
      <c r="N40" s="928">
        <f t="shared" si="8"/>
        <v>354183.28000000009</v>
      </c>
      <c r="O40" s="928" t="e">
        <f t="shared" si="9"/>
        <v>#REF!</v>
      </c>
      <c r="P40" s="911" t="s">
        <v>1366</v>
      </c>
      <c r="Q40" s="641"/>
      <c r="R40" s="641"/>
      <c r="S40" s="974" t="e">
        <f t="shared" si="11"/>
        <v>#REF!</v>
      </c>
      <c r="T40" s="461"/>
      <c r="U40" s="574"/>
      <c r="V40" s="461"/>
      <c r="W40" s="461"/>
      <c r="X40" s="461"/>
      <c r="Y40" s="461"/>
      <c r="Z40" s="461"/>
      <c r="AA40" s="461"/>
      <c r="AB40" s="461"/>
      <c r="AC40" s="461"/>
    </row>
    <row r="41" spans="1:29" ht="11.25" customHeight="1">
      <c r="B41" s="568">
        <v>45646</v>
      </c>
      <c r="C41" s="965" t="s">
        <v>1248</v>
      </c>
      <c r="D41" s="921"/>
      <c r="E41" s="917">
        <v>16</v>
      </c>
      <c r="F41" s="569" t="s">
        <v>116</v>
      </c>
      <c r="G41" s="569" t="s">
        <v>140</v>
      </c>
      <c r="H41" s="569"/>
      <c r="I41" s="569"/>
      <c r="J41" s="569"/>
      <c r="K41" s="918">
        <v>299.2</v>
      </c>
      <c r="L41" s="542" t="e">
        <f>'통장내역(환율표)'!#REF!</f>
        <v>#REF!</v>
      </c>
      <c r="M41" s="909" t="e">
        <f t="shared" si="13"/>
        <v>#REF!</v>
      </c>
      <c r="N41" s="928">
        <f t="shared" si="8"/>
        <v>353884.08000000007</v>
      </c>
      <c r="O41" s="928" t="e">
        <f t="shared" si="9"/>
        <v>#REF!</v>
      </c>
      <c r="P41" s="911" t="s">
        <v>1366</v>
      </c>
      <c r="Q41" s="641"/>
      <c r="R41" s="641"/>
      <c r="S41" s="974" t="e">
        <f t="shared" si="11"/>
        <v>#REF!</v>
      </c>
    </row>
    <row r="42" spans="1:29" ht="11.25" customHeight="1">
      <c r="B42" s="568">
        <v>45646</v>
      </c>
      <c r="C42" s="965" t="s">
        <v>1249</v>
      </c>
      <c r="D42" s="921"/>
      <c r="E42" s="917">
        <v>17</v>
      </c>
      <c r="F42" s="569" t="s">
        <v>107</v>
      </c>
      <c r="G42" s="569"/>
      <c r="H42" s="569"/>
      <c r="I42" s="569"/>
      <c r="J42" s="569"/>
      <c r="K42" s="918">
        <v>12</v>
      </c>
      <c r="L42" s="542" t="e">
        <f>'통장내역(환율표)'!#REF!</f>
        <v>#REF!</v>
      </c>
      <c r="M42" s="909" t="e">
        <f t="shared" si="13"/>
        <v>#REF!</v>
      </c>
      <c r="N42" s="928">
        <f t="shared" si="8"/>
        <v>353872.08000000007</v>
      </c>
      <c r="O42" s="928" t="e">
        <f t="shared" si="9"/>
        <v>#REF!</v>
      </c>
      <c r="P42" s="911" t="s">
        <v>1366</v>
      </c>
      <c r="Q42" s="641"/>
      <c r="R42" s="641"/>
      <c r="S42" s="974" t="e">
        <f t="shared" si="11"/>
        <v>#REF!</v>
      </c>
    </row>
    <row r="43" spans="1:29" ht="11.25" customHeight="1">
      <c r="B43" s="568">
        <v>45646</v>
      </c>
      <c r="C43" s="965" t="s">
        <v>1292</v>
      </c>
      <c r="D43" s="921"/>
      <c r="E43" s="917">
        <v>18</v>
      </c>
      <c r="F43" s="569" t="s">
        <v>125</v>
      </c>
      <c r="G43" s="972" t="s">
        <v>145</v>
      </c>
      <c r="H43" s="972"/>
      <c r="I43" s="972"/>
      <c r="J43" s="972"/>
      <c r="K43" s="919">
        <v>8866.4699999999993</v>
      </c>
      <c r="L43" s="542" t="e">
        <f>'통장내역(환율표)'!#REF!</f>
        <v>#REF!</v>
      </c>
      <c r="M43" s="909" t="e">
        <f t="shared" si="13"/>
        <v>#REF!</v>
      </c>
      <c r="N43" s="928">
        <f t="shared" si="8"/>
        <v>345005.6100000001</v>
      </c>
      <c r="O43" s="928" t="e">
        <f t="shared" si="9"/>
        <v>#REF!</v>
      </c>
      <c r="P43" s="911" t="s">
        <v>1366</v>
      </c>
      <c r="Q43" s="641"/>
      <c r="R43" s="641"/>
      <c r="S43" s="974" t="e">
        <f t="shared" si="11"/>
        <v>#REF!</v>
      </c>
    </row>
    <row r="44" spans="1:29" ht="11.25" customHeight="1">
      <c r="B44" s="568">
        <v>45646</v>
      </c>
      <c r="C44" s="965" t="s">
        <v>862</v>
      </c>
      <c r="D44" s="921"/>
      <c r="E44" s="917">
        <v>19</v>
      </c>
      <c r="F44" s="569" t="s">
        <v>107</v>
      </c>
      <c r="G44" s="972"/>
      <c r="H44" s="972"/>
      <c r="I44" s="972"/>
      <c r="J44" s="972"/>
      <c r="K44" s="919">
        <v>3.6</v>
      </c>
      <c r="L44" s="542" t="e">
        <f>'통장내역(환율표)'!#REF!</f>
        <v>#REF!</v>
      </c>
      <c r="M44" s="909" t="e">
        <f t="shared" si="13"/>
        <v>#REF!</v>
      </c>
      <c r="N44" s="928">
        <f t="shared" si="8"/>
        <v>345002.01000000013</v>
      </c>
      <c r="O44" s="928" t="e">
        <f t="shared" si="9"/>
        <v>#REF!</v>
      </c>
      <c r="P44" s="911" t="s">
        <v>1366</v>
      </c>
      <c r="Q44" s="641"/>
      <c r="R44" s="641"/>
      <c r="S44" s="974" t="e">
        <f t="shared" si="11"/>
        <v>#REF!</v>
      </c>
    </row>
    <row r="45" spans="1:29" ht="11.25" customHeight="1">
      <c r="B45" s="568">
        <v>45646</v>
      </c>
      <c r="C45" s="965" t="s">
        <v>1153</v>
      </c>
      <c r="D45" s="921"/>
      <c r="E45" s="917">
        <v>20</v>
      </c>
      <c r="F45" s="569" t="s">
        <v>146</v>
      </c>
      <c r="G45" s="972" t="s">
        <v>147</v>
      </c>
      <c r="H45" s="972"/>
      <c r="I45" s="972"/>
      <c r="J45" s="972"/>
      <c r="K45" s="919">
        <v>1592.21</v>
      </c>
      <c r="L45" s="542" t="e">
        <f>'통장내역(환율표)'!#REF!</f>
        <v>#REF!</v>
      </c>
      <c r="M45" s="909" t="e">
        <f t="shared" si="13"/>
        <v>#REF!</v>
      </c>
      <c r="N45" s="928">
        <f t="shared" si="8"/>
        <v>343409.8000000001</v>
      </c>
      <c r="O45" s="928" t="e">
        <f t="shared" si="9"/>
        <v>#REF!</v>
      </c>
      <c r="P45" s="911" t="s">
        <v>1366</v>
      </c>
      <c r="Q45" s="641"/>
      <c r="R45" s="641"/>
      <c r="S45" s="974" t="e">
        <f t="shared" si="11"/>
        <v>#REF!</v>
      </c>
    </row>
    <row r="46" spans="1:29" ht="11.25" customHeight="1">
      <c r="B46" s="568">
        <v>45646</v>
      </c>
      <c r="C46" s="965" t="s">
        <v>1376</v>
      </c>
      <c r="D46" s="921"/>
      <c r="E46" s="972">
        <v>21</v>
      </c>
      <c r="F46" s="972" t="s">
        <v>107</v>
      </c>
      <c r="G46" s="973"/>
      <c r="H46" s="972"/>
      <c r="I46" s="972"/>
      <c r="J46" s="972"/>
      <c r="K46" s="919">
        <v>800</v>
      </c>
      <c r="L46" s="542" t="e">
        <f>'통장내역(환율표)'!#REF!</f>
        <v>#REF!</v>
      </c>
      <c r="M46" s="909" t="e">
        <f t="shared" si="13"/>
        <v>#REF!</v>
      </c>
      <c r="N46" s="928">
        <f t="shared" si="8"/>
        <v>342609.8000000001</v>
      </c>
      <c r="O46" s="928" t="e">
        <f t="shared" si="9"/>
        <v>#REF!</v>
      </c>
      <c r="P46" s="911" t="s">
        <v>1366</v>
      </c>
      <c r="Q46" s="641"/>
      <c r="R46" s="641"/>
      <c r="S46" s="974" t="e">
        <f t="shared" si="11"/>
        <v>#REF!</v>
      </c>
    </row>
    <row r="47" spans="1:29" ht="11.25" customHeight="1">
      <c r="B47" s="568">
        <v>45646</v>
      </c>
      <c r="C47" s="965" t="s">
        <v>852</v>
      </c>
      <c r="D47" s="921"/>
      <c r="E47" s="917">
        <v>22</v>
      </c>
      <c r="F47" s="972" t="s">
        <v>107</v>
      </c>
      <c r="G47" s="972"/>
      <c r="H47" s="972"/>
      <c r="I47" s="972"/>
      <c r="J47" s="972"/>
      <c r="K47" s="919">
        <v>268.95</v>
      </c>
      <c r="L47" s="542" t="e">
        <f>'통장내역(환율표)'!#REF!</f>
        <v>#REF!</v>
      </c>
      <c r="M47" s="909" t="e">
        <f t="shared" ref="M47:M52" si="14">K47/L47</f>
        <v>#REF!</v>
      </c>
      <c r="N47" s="928">
        <f t="shared" si="8"/>
        <v>342340.85000000009</v>
      </c>
      <c r="O47" s="928" t="e">
        <f t="shared" si="9"/>
        <v>#REF!</v>
      </c>
      <c r="P47" s="911" t="s">
        <v>1366</v>
      </c>
      <c r="Q47" s="641"/>
      <c r="R47" s="641"/>
      <c r="S47" s="974" t="e">
        <f t="shared" si="11"/>
        <v>#REF!</v>
      </c>
    </row>
    <row r="48" spans="1:29" ht="11.25" customHeight="1">
      <c r="B48" s="568">
        <v>45646</v>
      </c>
      <c r="C48" s="965" t="s">
        <v>851</v>
      </c>
      <c r="D48" s="950"/>
      <c r="E48" s="917">
        <v>23</v>
      </c>
      <c r="F48" s="972" t="s">
        <v>116</v>
      </c>
      <c r="G48" s="972" t="s">
        <v>140</v>
      </c>
      <c r="H48" s="972"/>
      <c r="I48" s="972"/>
      <c r="J48" s="972"/>
      <c r="K48" s="919">
        <v>138.6</v>
      </c>
      <c r="L48" s="542" t="e">
        <f>'통장내역(환율표)'!#REF!</f>
        <v>#REF!</v>
      </c>
      <c r="M48" s="909" t="e">
        <f t="shared" si="14"/>
        <v>#REF!</v>
      </c>
      <c r="N48" s="928">
        <f t="shared" si="8"/>
        <v>342202.25000000012</v>
      </c>
      <c r="O48" s="928" t="e">
        <f t="shared" si="9"/>
        <v>#REF!</v>
      </c>
      <c r="P48" s="911" t="s">
        <v>1366</v>
      </c>
      <c r="Q48" s="641"/>
      <c r="R48" s="641"/>
      <c r="S48" s="974" t="e">
        <f t="shared" si="11"/>
        <v>#REF!</v>
      </c>
    </row>
    <row r="49" spans="2:19" ht="11.25" customHeight="1">
      <c r="B49" s="568">
        <v>45646</v>
      </c>
      <c r="C49" s="965" t="s">
        <v>862</v>
      </c>
      <c r="D49" s="921"/>
      <c r="E49" s="917">
        <v>24</v>
      </c>
      <c r="F49" s="972" t="s">
        <v>107</v>
      </c>
      <c r="G49" s="972"/>
      <c r="H49" s="972"/>
      <c r="I49" s="972"/>
      <c r="J49" s="972"/>
      <c r="K49" s="919">
        <v>3.6</v>
      </c>
      <c r="L49" s="542" t="e">
        <f>'통장내역(환율표)'!#REF!</f>
        <v>#REF!</v>
      </c>
      <c r="M49" s="909" t="e">
        <f t="shared" si="14"/>
        <v>#REF!</v>
      </c>
      <c r="N49" s="928">
        <f t="shared" si="8"/>
        <v>342198.65000000014</v>
      </c>
      <c r="O49" s="928" t="e">
        <f t="shared" si="9"/>
        <v>#REF!</v>
      </c>
      <c r="P49" s="911" t="s">
        <v>1366</v>
      </c>
      <c r="Q49" s="641"/>
      <c r="R49" s="641"/>
      <c r="S49" s="974" t="e">
        <f t="shared" si="11"/>
        <v>#REF!</v>
      </c>
    </row>
    <row r="50" spans="2:19" ht="11.25" customHeight="1">
      <c r="B50" s="568">
        <v>45646</v>
      </c>
      <c r="C50" s="965" t="s">
        <v>1011</v>
      </c>
      <c r="D50" s="921"/>
      <c r="E50" s="917">
        <v>25</v>
      </c>
      <c r="F50" s="972" t="s">
        <v>116</v>
      </c>
      <c r="G50" s="972" t="s">
        <v>140</v>
      </c>
      <c r="H50" s="972"/>
      <c r="I50" s="972"/>
      <c r="J50" s="972"/>
      <c r="K50" s="919">
        <v>299.39999999999998</v>
      </c>
      <c r="L50" s="542" t="e">
        <f>'통장내역(환율표)'!#REF!</f>
        <v>#REF!</v>
      </c>
      <c r="M50" s="909" t="e">
        <f t="shared" si="14"/>
        <v>#REF!</v>
      </c>
      <c r="N50" s="928">
        <f t="shared" si="8"/>
        <v>341899.25000000012</v>
      </c>
      <c r="O50" s="928" t="e">
        <f t="shared" si="9"/>
        <v>#REF!</v>
      </c>
      <c r="P50" s="911" t="s">
        <v>1366</v>
      </c>
      <c r="Q50" s="641"/>
      <c r="R50" s="641"/>
      <c r="S50" s="974" t="e">
        <f t="shared" si="11"/>
        <v>#REF!</v>
      </c>
    </row>
    <row r="51" spans="2:19" ht="11.25" customHeight="1">
      <c r="B51" s="568">
        <v>45646</v>
      </c>
      <c r="C51" s="965" t="s">
        <v>1371</v>
      </c>
      <c r="D51" s="921"/>
      <c r="E51" s="972">
        <v>26</v>
      </c>
      <c r="F51" s="972" t="s">
        <v>146</v>
      </c>
      <c r="G51" s="972" t="s">
        <v>147</v>
      </c>
      <c r="H51" s="972"/>
      <c r="I51" s="972"/>
      <c r="J51" s="972"/>
      <c r="K51" s="919">
        <v>916.56</v>
      </c>
      <c r="L51" s="542" t="e">
        <f>'통장내역(환율표)'!#REF!</f>
        <v>#REF!</v>
      </c>
      <c r="M51" s="909" t="e">
        <f t="shared" si="14"/>
        <v>#REF!</v>
      </c>
      <c r="N51" s="928">
        <f t="shared" si="8"/>
        <v>340982.69000000012</v>
      </c>
      <c r="O51" s="928" t="e">
        <f t="shared" si="9"/>
        <v>#REF!</v>
      </c>
      <c r="P51" s="911" t="s">
        <v>1366</v>
      </c>
      <c r="Q51" s="641"/>
      <c r="R51" s="641"/>
      <c r="S51" s="974" t="e">
        <f t="shared" si="11"/>
        <v>#REF!</v>
      </c>
    </row>
    <row r="52" spans="2:19" ht="11.25" customHeight="1">
      <c r="B52" s="568">
        <v>45646</v>
      </c>
      <c r="C52" s="965" t="s">
        <v>1372</v>
      </c>
      <c r="D52" s="921"/>
      <c r="E52" s="917">
        <v>27</v>
      </c>
      <c r="F52" s="972" t="s">
        <v>107</v>
      </c>
      <c r="G52" s="972"/>
      <c r="H52" s="972"/>
      <c r="I52" s="972"/>
      <c r="J52" s="972"/>
      <c r="K52" s="919">
        <v>741.88</v>
      </c>
      <c r="L52" s="542" t="e">
        <f>'통장내역(환율표)'!#REF!</f>
        <v>#REF!</v>
      </c>
      <c r="M52" s="909" t="e">
        <f t="shared" si="14"/>
        <v>#REF!</v>
      </c>
      <c r="N52" s="928">
        <f t="shared" si="8"/>
        <v>340240.81000000011</v>
      </c>
      <c r="O52" s="928" t="e">
        <f t="shared" si="9"/>
        <v>#REF!</v>
      </c>
      <c r="P52" s="911" t="s">
        <v>1366</v>
      </c>
      <c r="Q52" s="641"/>
      <c r="R52" s="641"/>
      <c r="S52" s="974" t="e">
        <f t="shared" si="11"/>
        <v>#REF!</v>
      </c>
    </row>
    <row r="53" spans="2:19" ht="11.25" customHeight="1">
      <c r="B53" s="716">
        <v>45646</v>
      </c>
      <c r="C53" s="975" t="s">
        <v>1373</v>
      </c>
      <c r="D53" s="976"/>
      <c r="E53" s="977">
        <v>28</v>
      </c>
      <c r="F53" s="978" t="s">
        <v>146</v>
      </c>
      <c r="G53" s="978" t="s">
        <v>147</v>
      </c>
      <c r="H53" s="978"/>
      <c r="I53" s="978"/>
      <c r="J53" s="978"/>
      <c r="K53" s="979" t="e">
        <f>M53*L53</f>
        <v>#REF!</v>
      </c>
      <c r="L53" s="724" t="e">
        <f>'통장내역(환율표)'!#REF!</f>
        <v>#REF!</v>
      </c>
      <c r="M53" s="909">
        <v>976.25578443293989</v>
      </c>
      <c r="N53" s="931" t="e">
        <f t="shared" si="8"/>
        <v>#REF!</v>
      </c>
      <c r="O53" s="931" t="e">
        <f t="shared" si="9"/>
        <v>#REF!</v>
      </c>
      <c r="P53" s="980" t="s">
        <v>1366</v>
      </c>
      <c r="Q53" s="728"/>
      <c r="R53" s="728"/>
      <c r="S53" s="974" t="e">
        <f t="shared" si="11"/>
        <v>#REF!</v>
      </c>
    </row>
    <row r="54" spans="2:19" ht="11.25" customHeight="1">
      <c r="B54" s="716">
        <v>45646</v>
      </c>
      <c r="C54" s="975" t="s">
        <v>1373</v>
      </c>
      <c r="D54" s="976"/>
      <c r="E54" s="977">
        <v>28</v>
      </c>
      <c r="F54" s="978" t="s">
        <v>146</v>
      </c>
      <c r="G54" s="978" t="s">
        <v>147</v>
      </c>
      <c r="H54" s="978"/>
      <c r="I54" s="978"/>
      <c r="J54" s="978"/>
      <c r="K54" s="979" t="e">
        <f>18133.96-K53</f>
        <v>#REF!</v>
      </c>
      <c r="L54" s="724" t="e">
        <f>'통장내역(환율표)'!#REF!</f>
        <v>#REF!</v>
      </c>
      <c r="M54" s="981" t="e">
        <f t="shared" si="10"/>
        <v>#REF!</v>
      </c>
      <c r="N54" s="931" t="e">
        <f t="shared" ref="N54:N96" si="15">N53+H54-K54</f>
        <v>#REF!</v>
      </c>
      <c r="O54" s="931" t="e">
        <f t="shared" ref="O54:O96" si="16">O53+J54-M54</f>
        <v>#REF!</v>
      </c>
      <c r="P54" s="980" t="s">
        <v>1382</v>
      </c>
      <c r="Q54" s="728"/>
      <c r="R54" s="728"/>
      <c r="S54" s="974" t="e">
        <f>45881-M54</f>
        <v>#REF!</v>
      </c>
    </row>
    <row r="55" spans="2:19" ht="11.25" customHeight="1">
      <c r="B55" s="568">
        <v>45646</v>
      </c>
      <c r="C55" s="965" t="s">
        <v>1374</v>
      </c>
      <c r="D55" s="921"/>
      <c r="E55" s="917">
        <v>29</v>
      </c>
      <c r="F55" s="972" t="s">
        <v>107</v>
      </c>
      <c r="G55" s="972"/>
      <c r="H55" s="972"/>
      <c r="I55" s="972"/>
      <c r="J55" s="972"/>
      <c r="K55" s="919">
        <v>1171.71</v>
      </c>
      <c r="L55" s="542" t="e">
        <f>'통장내역(환율표)'!#REF!</f>
        <v>#REF!</v>
      </c>
      <c r="M55" s="981" t="e">
        <f t="shared" si="10"/>
        <v>#REF!</v>
      </c>
      <c r="N55" s="928" t="e">
        <f t="shared" si="15"/>
        <v>#REF!</v>
      </c>
      <c r="O55" s="928" t="e">
        <f t="shared" si="16"/>
        <v>#REF!</v>
      </c>
      <c r="P55" s="911" t="s">
        <v>1071</v>
      </c>
      <c r="Q55" s="641"/>
      <c r="R55" s="641"/>
      <c r="S55" s="974" t="e">
        <f>S54-M55</f>
        <v>#REF!</v>
      </c>
    </row>
    <row r="56" spans="2:19" ht="11.25" customHeight="1">
      <c r="B56" s="568">
        <v>45646</v>
      </c>
      <c r="C56" s="965" t="s">
        <v>1375</v>
      </c>
      <c r="D56" s="921"/>
      <c r="E56" s="569">
        <v>30</v>
      </c>
      <c r="F56" s="569" t="s">
        <v>107</v>
      </c>
      <c r="G56" s="569"/>
      <c r="H56" s="569"/>
      <c r="I56" s="569"/>
      <c r="J56" s="569"/>
      <c r="K56" s="918">
        <v>802</v>
      </c>
      <c r="L56" s="542" t="e">
        <f>'통장내역(환율표)'!#REF!</f>
        <v>#REF!</v>
      </c>
      <c r="M56" s="981" t="e">
        <f t="shared" si="10"/>
        <v>#REF!</v>
      </c>
      <c r="N56" s="928" t="e">
        <f t="shared" si="15"/>
        <v>#REF!</v>
      </c>
      <c r="O56" s="928" t="e">
        <f t="shared" si="16"/>
        <v>#REF!</v>
      </c>
      <c r="P56" s="911" t="s">
        <v>1071</v>
      </c>
      <c r="Q56" s="641"/>
      <c r="R56" s="641"/>
      <c r="S56" s="974" t="e">
        <f t="shared" ref="S56:S96" si="17">S55-M56</f>
        <v>#REF!</v>
      </c>
    </row>
    <row r="57" spans="2:19" ht="11.25" customHeight="1">
      <c r="B57" s="568">
        <v>45646</v>
      </c>
      <c r="C57" s="965" t="s">
        <v>1145</v>
      </c>
      <c r="D57" s="921"/>
      <c r="E57" s="917">
        <v>31</v>
      </c>
      <c r="F57" s="569" t="s">
        <v>125</v>
      </c>
      <c r="G57" s="569" t="s">
        <v>145</v>
      </c>
      <c r="H57" s="569"/>
      <c r="I57" s="569"/>
      <c r="J57" s="569"/>
      <c r="K57" s="918">
        <v>173</v>
      </c>
      <c r="L57" s="542" t="e">
        <f>'통장내역(환율표)'!#REF!</f>
        <v>#REF!</v>
      </c>
      <c r="M57" s="981" t="e">
        <f t="shared" si="10"/>
        <v>#REF!</v>
      </c>
      <c r="N57" s="928" t="e">
        <f t="shared" si="15"/>
        <v>#REF!</v>
      </c>
      <c r="O57" s="928" t="e">
        <f t="shared" si="16"/>
        <v>#REF!</v>
      </c>
      <c r="P57" s="911" t="s">
        <v>1071</v>
      </c>
      <c r="Q57" s="641"/>
      <c r="R57" s="641"/>
      <c r="S57" s="974" t="e">
        <f t="shared" si="17"/>
        <v>#REF!</v>
      </c>
    </row>
    <row r="58" spans="2:19" ht="11.25" customHeight="1">
      <c r="B58" s="568">
        <v>45646</v>
      </c>
      <c r="C58" s="965" t="s">
        <v>862</v>
      </c>
      <c r="D58" s="921"/>
      <c r="E58" s="917">
        <v>32</v>
      </c>
      <c r="F58" s="569" t="s">
        <v>107</v>
      </c>
      <c r="G58" s="569"/>
      <c r="H58" s="569"/>
      <c r="I58" s="569"/>
      <c r="J58" s="569"/>
      <c r="K58" s="918">
        <v>7.2</v>
      </c>
      <c r="L58" s="542" t="e">
        <f>'통장내역(환율표)'!#REF!</f>
        <v>#REF!</v>
      </c>
      <c r="M58" s="981" t="e">
        <f t="shared" si="10"/>
        <v>#REF!</v>
      </c>
      <c r="N58" s="928" t="e">
        <f t="shared" si="15"/>
        <v>#REF!</v>
      </c>
      <c r="O58" s="928" t="e">
        <f t="shared" si="16"/>
        <v>#REF!</v>
      </c>
      <c r="P58" s="911" t="s">
        <v>1071</v>
      </c>
      <c r="Q58" s="641"/>
      <c r="R58" s="641"/>
      <c r="S58" s="974" t="e">
        <f t="shared" si="17"/>
        <v>#REF!</v>
      </c>
    </row>
    <row r="59" spans="2:19" ht="11.25" customHeight="1">
      <c r="B59" s="568">
        <v>45646</v>
      </c>
      <c r="C59" s="965" t="s">
        <v>1377</v>
      </c>
      <c r="D59" s="921"/>
      <c r="E59" s="569">
        <v>33</v>
      </c>
      <c r="F59" s="569" t="s">
        <v>107</v>
      </c>
      <c r="G59" s="569"/>
      <c r="H59" s="569"/>
      <c r="I59" s="569"/>
      <c r="J59" s="569"/>
      <c r="K59" s="918">
        <v>21155</v>
      </c>
      <c r="L59" s="542" t="e">
        <f>'통장내역(환율표)'!#REF!</f>
        <v>#REF!</v>
      </c>
      <c r="M59" s="981" t="e">
        <f t="shared" si="10"/>
        <v>#REF!</v>
      </c>
      <c r="N59" s="928" t="e">
        <f t="shared" si="15"/>
        <v>#REF!</v>
      </c>
      <c r="O59" s="928" t="e">
        <f t="shared" si="16"/>
        <v>#REF!</v>
      </c>
      <c r="P59" s="911" t="s">
        <v>1071</v>
      </c>
      <c r="Q59" s="641"/>
      <c r="R59" s="641"/>
      <c r="S59" s="974" t="e">
        <f t="shared" si="17"/>
        <v>#REF!</v>
      </c>
    </row>
    <row r="60" spans="2:19" ht="11.25" customHeight="1">
      <c r="B60" s="568">
        <v>45646</v>
      </c>
      <c r="C60" s="965" t="s">
        <v>1328</v>
      </c>
      <c r="D60" s="921"/>
      <c r="E60" s="917">
        <v>34</v>
      </c>
      <c r="F60" s="569" t="s">
        <v>146</v>
      </c>
      <c r="G60" s="569" t="s">
        <v>147</v>
      </c>
      <c r="H60" s="569"/>
      <c r="I60" s="569"/>
      <c r="J60" s="569"/>
      <c r="K60" s="918">
        <v>15183.25</v>
      </c>
      <c r="L60" s="542" t="e">
        <f>'통장내역(환율표)'!#REF!</f>
        <v>#REF!</v>
      </c>
      <c r="M60" s="981" t="e">
        <f t="shared" si="10"/>
        <v>#REF!</v>
      </c>
      <c r="N60" s="928" t="e">
        <f t="shared" si="15"/>
        <v>#REF!</v>
      </c>
      <c r="O60" s="928" t="e">
        <f t="shared" si="16"/>
        <v>#REF!</v>
      </c>
      <c r="P60" s="911" t="s">
        <v>1071</v>
      </c>
      <c r="Q60" s="641"/>
      <c r="R60" s="641"/>
      <c r="S60" s="974" t="e">
        <f t="shared" si="17"/>
        <v>#REF!</v>
      </c>
    </row>
    <row r="61" spans="2:19" ht="11.25" customHeight="1">
      <c r="B61" s="568">
        <v>45646</v>
      </c>
      <c r="C61" s="965" t="s">
        <v>839</v>
      </c>
      <c r="D61" s="921"/>
      <c r="E61" s="917">
        <v>35</v>
      </c>
      <c r="F61" s="569" t="s">
        <v>125</v>
      </c>
      <c r="G61" s="569" t="s">
        <v>145</v>
      </c>
      <c r="H61" s="569"/>
      <c r="I61" s="569"/>
      <c r="J61" s="569"/>
      <c r="K61" s="918">
        <v>8298</v>
      </c>
      <c r="L61" s="542" t="e">
        <f>'통장내역(환율표)'!#REF!</f>
        <v>#REF!</v>
      </c>
      <c r="M61" s="981" t="e">
        <f t="shared" si="10"/>
        <v>#REF!</v>
      </c>
      <c r="N61" s="928" t="e">
        <f t="shared" si="15"/>
        <v>#REF!</v>
      </c>
      <c r="O61" s="928" t="e">
        <f t="shared" si="16"/>
        <v>#REF!</v>
      </c>
      <c r="P61" s="911" t="s">
        <v>1071</v>
      </c>
      <c r="Q61" s="641"/>
      <c r="R61" s="641"/>
      <c r="S61" s="974" t="e">
        <f t="shared" si="17"/>
        <v>#REF!</v>
      </c>
    </row>
    <row r="62" spans="2:19" ht="11.25" customHeight="1">
      <c r="B62" s="568">
        <v>45646</v>
      </c>
      <c r="C62" s="965" t="s">
        <v>862</v>
      </c>
      <c r="D62" s="921"/>
      <c r="E62" s="917">
        <v>36</v>
      </c>
      <c r="F62" s="569" t="s">
        <v>107</v>
      </c>
      <c r="G62" s="569"/>
      <c r="H62" s="569"/>
      <c r="I62" s="569"/>
      <c r="J62" s="569"/>
      <c r="K62" s="918">
        <v>7.2</v>
      </c>
      <c r="L62" s="542" t="e">
        <f>'통장내역(환율표)'!#REF!</f>
        <v>#REF!</v>
      </c>
      <c r="M62" s="981" t="e">
        <f t="shared" si="10"/>
        <v>#REF!</v>
      </c>
      <c r="N62" s="928" t="e">
        <f t="shared" si="15"/>
        <v>#REF!</v>
      </c>
      <c r="O62" s="928" t="e">
        <f t="shared" si="16"/>
        <v>#REF!</v>
      </c>
      <c r="P62" s="911" t="s">
        <v>1071</v>
      </c>
      <c r="Q62" s="641"/>
      <c r="R62" s="641"/>
      <c r="S62" s="974" t="e">
        <f t="shared" si="17"/>
        <v>#REF!</v>
      </c>
    </row>
    <row r="63" spans="2:19" ht="11.25" customHeight="1">
      <c r="B63" s="568">
        <v>45646</v>
      </c>
      <c r="C63" s="965" t="s">
        <v>999</v>
      </c>
      <c r="D63" s="921"/>
      <c r="E63" s="917">
        <v>37</v>
      </c>
      <c r="F63" s="569" t="s">
        <v>146</v>
      </c>
      <c r="G63" s="569" t="s">
        <v>147</v>
      </c>
      <c r="H63" s="569"/>
      <c r="I63" s="569"/>
      <c r="J63" s="569"/>
      <c r="K63" s="918">
        <v>2375</v>
      </c>
      <c r="L63" s="542" t="e">
        <f>'통장내역(환율표)'!#REF!</f>
        <v>#REF!</v>
      </c>
      <c r="M63" s="981" t="e">
        <f t="shared" si="10"/>
        <v>#REF!</v>
      </c>
      <c r="N63" s="928" t="e">
        <f t="shared" si="15"/>
        <v>#REF!</v>
      </c>
      <c r="O63" s="928" t="e">
        <f t="shared" si="16"/>
        <v>#REF!</v>
      </c>
      <c r="P63" s="911" t="s">
        <v>1071</v>
      </c>
      <c r="Q63" s="641"/>
      <c r="R63" s="641"/>
      <c r="S63" s="974" t="e">
        <f t="shared" si="17"/>
        <v>#REF!</v>
      </c>
    </row>
    <row r="64" spans="2:19" ht="11.25" customHeight="1">
      <c r="B64" s="568">
        <v>45646</v>
      </c>
      <c r="C64" s="965" t="s">
        <v>997</v>
      </c>
      <c r="D64" s="921"/>
      <c r="E64" s="917">
        <v>38</v>
      </c>
      <c r="F64" s="569" t="s">
        <v>146</v>
      </c>
      <c r="G64" s="569" t="s">
        <v>147</v>
      </c>
      <c r="H64" s="569"/>
      <c r="I64" s="569"/>
      <c r="J64" s="569"/>
      <c r="K64" s="918">
        <v>114</v>
      </c>
      <c r="L64" s="542" t="e">
        <f>'통장내역(환율표)'!#REF!</f>
        <v>#REF!</v>
      </c>
      <c r="M64" s="981" t="e">
        <f t="shared" si="10"/>
        <v>#REF!</v>
      </c>
      <c r="N64" s="928" t="e">
        <f t="shared" si="15"/>
        <v>#REF!</v>
      </c>
      <c r="O64" s="928" t="e">
        <f t="shared" si="16"/>
        <v>#REF!</v>
      </c>
      <c r="P64" s="911" t="s">
        <v>1071</v>
      </c>
      <c r="Q64" s="641"/>
      <c r="R64" s="641"/>
      <c r="S64" s="974" t="e">
        <f t="shared" si="17"/>
        <v>#REF!</v>
      </c>
    </row>
    <row r="65" spans="2:19" ht="11.25" customHeight="1">
      <c r="B65" s="568">
        <v>45646</v>
      </c>
      <c r="C65" s="965" t="s">
        <v>998</v>
      </c>
      <c r="D65" s="921"/>
      <c r="E65" s="917">
        <v>39</v>
      </c>
      <c r="F65" s="569" t="s">
        <v>146</v>
      </c>
      <c r="G65" s="569" t="s">
        <v>147</v>
      </c>
      <c r="H65" s="569"/>
      <c r="I65" s="569"/>
      <c r="J65" s="569"/>
      <c r="K65" s="918">
        <v>663</v>
      </c>
      <c r="L65" s="542" t="e">
        <f>'통장내역(환율표)'!#REF!</f>
        <v>#REF!</v>
      </c>
      <c r="M65" s="981" t="e">
        <f t="shared" si="10"/>
        <v>#REF!</v>
      </c>
      <c r="N65" s="928" t="e">
        <f t="shared" si="15"/>
        <v>#REF!</v>
      </c>
      <c r="O65" s="928" t="e">
        <f t="shared" si="16"/>
        <v>#REF!</v>
      </c>
      <c r="P65" s="911" t="s">
        <v>1071</v>
      </c>
      <c r="Q65" s="641"/>
      <c r="R65" s="641"/>
      <c r="S65" s="974" t="e">
        <f t="shared" si="17"/>
        <v>#REF!</v>
      </c>
    </row>
    <row r="66" spans="2:19" ht="11.25" customHeight="1">
      <c r="B66" s="568">
        <v>45646</v>
      </c>
      <c r="C66" s="965" t="s">
        <v>862</v>
      </c>
      <c r="D66" s="921"/>
      <c r="E66" s="917">
        <v>40</v>
      </c>
      <c r="F66" s="569" t="s">
        <v>107</v>
      </c>
      <c r="G66" s="569"/>
      <c r="H66" s="569"/>
      <c r="I66" s="569"/>
      <c r="J66" s="569"/>
      <c r="K66" s="918">
        <v>3.6</v>
      </c>
      <c r="L66" s="542" t="e">
        <f>'통장내역(환율표)'!#REF!</f>
        <v>#REF!</v>
      </c>
      <c r="M66" s="981" t="e">
        <f t="shared" si="10"/>
        <v>#REF!</v>
      </c>
      <c r="N66" s="928" t="e">
        <f t="shared" si="15"/>
        <v>#REF!</v>
      </c>
      <c r="O66" s="928" t="e">
        <f t="shared" si="16"/>
        <v>#REF!</v>
      </c>
      <c r="P66" s="911" t="s">
        <v>1071</v>
      </c>
      <c r="Q66" s="641"/>
      <c r="R66" s="641"/>
      <c r="S66" s="974" t="e">
        <f t="shared" si="17"/>
        <v>#REF!</v>
      </c>
    </row>
    <row r="67" spans="2:19" ht="11.25" customHeight="1">
      <c r="B67" s="568">
        <v>45646</v>
      </c>
      <c r="C67" s="965" t="s">
        <v>1363</v>
      </c>
      <c r="D67" s="921"/>
      <c r="E67" s="917">
        <v>41</v>
      </c>
      <c r="F67" s="569" t="s">
        <v>146</v>
      </c>
      <c r="G67" s="569" t="s">
        <v>147</v>
      </c>
      <c r="H67" s="569"/>
      <c r="I67" s="569"/>
      <c r="J67" s="569"/>
      <c r="K67" s="918">
        <v>440</v>
      </c>
      <c r="L67" s="542" t="e">
        <f>'통장내역(환율표)'!#REF!</f>
        <v>#REF!</v>
      </c>
      <c r="M67" s="981" t="e">
        <f t="shared" si="10"/>
        <v>#REF!</v>
      </c>
      <c r="N67" s="928" t="e">
        <f t="shared" si="15"/>
        <v>#REF!</v>
      </c>
      <c r="O67" s="928" t="e">
        <f t="shared" si="16"/>
        <v>#REF!</v>
      </c>
      <c r="P67" s="911" t="s">
        <v>1071</v>
      </c>
      <c r="Q67" s="641"/>
      <c r="R67" s="641"/>
      <c r="S67" s="974" t="e">
        <f t="shared" si="17"/>
        <v>#REF!</v>
      </c>
    </row>
    <row r="68" spans="2:19" ht="11.25" customHeight="1">
      <c r="B68" s="568">
        <v>45646</v>
      </c>
      <c r="C68" s="965" t="s">
        <v>1364</v>
      </c>
      <c r="D68" s="921"/>
      <c r="E68" s="917">
        <v>42</v>
      </c>
      <c r="F68" s="569" t="s">
        <v>146</v>
      </c>
      <c r="G68" s="569" t="s">
        <v>147</v>
      </c>
      <c r="H68" s="569"/>
      <c r="I68" s="569"/>
      <c r="J68" s="569"/>
      <c r="K68" s="918">
        <v>99</v>
      </c>
      <c r="L68" s="542" t="e">
        <f>'통장내역(환율표)'!#REF!</f>
        <v>#REF!</v>
      </c>
      <c r="M68" s="981" t="e">
        <f t="shared" si="10"/>
        <v>#REF!</v>
      </c>
      <c r="N68" s="928" t="e">
        <f t="shared" si="15"/>
        <v>#REF!</v>
      </c>
      <c r="O68" s="928" t="e">
        <f t="shared" si="16"/>
        <v>#REF!</v>
      </c>
      <c r="P68" s="911" t="s">
        <v>1071</v>
      </c>
      <c r="Q68" s="641"/>
      <c r="R68" s="641"/>
      <c r="S68" s="974" t="e">
        <f t="shared" si="17"/>
        <v>#REF!</v>
      </c>
    </row>
    <row r="69" spans="2:19" ht="11.25" customHeight="1">
      <c r="B69" s="568">
        <v>45646</v>
      </c>
      <c r="C69" s="965" t="s">
        <v>1378</v>
      </c>
      <c r="D69" s="921"/>
      <c r="E69" s="917">
        <v>43</v>
      </c>
      <c r="F69" s="569" t="s">
        <v>107</v>
      </c>
      <c r="G69" s="569"/>
      <c r="H69" s="569"/>
      <c r="I69" s="569"/>
      <c r="J69" s="569"/>
      <c r="K69" s="918">
        <v>3.6</v>
      </c>
      <c r="L69" s="542" t="e">
        <f>'통장내역(환율표)'!#REF!</f>
        <v>#REF!</v>
      </c>
      <c r="M69" s="981" t="e">
        <f t="shared" si="10"/>
        <v>#REF!</v>
      </c>
      <c r="N69" s="928" t="e">
        <f t="shared" si="15"/>
        <v>#REF!</v>
      </c>
      <c r="O69" s="928" t="e">
        <f t="shared" si="16"/>
        <v>#REF!</v>
      </c>
      <c r="P69" s="911" t="s">
        <v>1071</v>
      </c>
      <c r="Q69" s="641"/>
      <c r="R69" s="641"/>
      <c r="S69" s="974" t="e">
        <f t="shared" si="17"/>
        <v>#REF!</v>
      </c>
    </row>
    <row r="70" spans="2:19" ht="11.25" customHeight="1">
      <c r="B70" s="568">
        <v>45646</v>
      </c>
      <c r="C70" s="965" t="s">
        <v>995</v>
      </c>
      <c r="D70" s="921"/>
      <c r="E70" s="917">
        <v>44</v>
      </c>
      <c r="F70" s="569" t="s">
        <v>146</v>
      </c>
      <c r="G70" s="569" t="s">
        <v>147</v>
      </c>
      <c r="H70" s="569"/>
      <c r="I70" s="569"/>
      <c r="J70" s="569"/>
      <c r="K70" s="918">
        <v>194</v>
      </c>
      <c r="L70" s="542" t="e">
        <f>'통장내역(환율표)'!#REF!</f>
        <v>#REF!</v>
      </c>
      <c r="M70" s="981" t="e">
        <f t="shared" si="10"/>
        <v>#REF!</v>
      </c>
      <c r="N70" s="928" t="e">
        <f t="shared" si="15"/>
        <v>#REF!</v>
      </c>
      <c r="O70" s="928" t="e">
        <f t="shared" si="16"/>
        <v>#REF!</v>
      </c>
      <c r="P70" s="911" t="s">
        <v>1071</v>
      </c>
      <c r="Q70" s="641"/>
      <c r="R70" s="641"/>
      <c r="S70" s="974" t="e">
        <f t="shared" si="17"/>
        <v>#REF!</v>
      </c>
    </row>
    <row r="71" spans="2:19" ht="11.25" customHeight="1">
      <c r="B71" s="568">
        <v>45646</v>
      </c>
      <c r="C71" s="965" t="s">
        <v>996</v>
      </c>
      <c r="D71" s="921"/>
      <c r="E71" s="917">
        <v>45</v>
      </c>
      <c r="F71" s="569" t="s">
        <v>146</v>
      </c>
      <c r="G71" s="569" t="s">
        <v>147</v>
      </c>
      <c r="H71" s="569"/>
      <c r="I71" s="569"/>
      <c r="J71" s="569"/>
      <c r="K71" s="918">
        <v>560</v>
      </c>
      <c r="L71" s="542" t="e">
        <f>'통장내역(환율표)'!#REF!</f>
        <v>#REF!</v>
      </c>
      <c r="M71" s="981" t="e">
        <f t="shared" si="10"/>
        <v>#REF!</v>
      </c>
      <c r="N71" s="928" t="e">
        <f t="shared" si="15"/>
        <v>#REF!</v>
      </c>
      <c r="O71" s="928" t="e">
        <f t="shared" si="16"/>
        <v>#REF!</v>
      </c>
      <c r="P71" s="911" t="s">
        <v>1071</v>
      </c>
      <c r="Q71" s="641"/>
      <c r="R71" s="641"/>
      <c r="S71" s="974" t="e">
        <f t="shared" si="17"/>
        <v>#REF!</v>
      </c>
    </row>
    <row r="72" spans="2:19" ht="11.25" customHeight="1">
      <c r="B72" s="568">
        <v>45646</v>
      </c>
      <c r="C72" s="965" t="s">
        <v>994</v>
      </c>
      <c r="D72" s="921"/>
      <c r="E72" s="917">
        <v>46</v>
      </c>
      <c r="F72" s="569" t="s">
        <v>146</v>
      </c>
      <c r="G72" s="569" t="s">
        <v>147</v>
      </c>
      <c r="H72" s="569"/>
      <c r="I72" s="569"/>
      <c r="J72" s="569"/>
      <c r="K72" s="918">
        <v>10</v>
      </c>
      <c r="L72" s="542" t="e">
        <f>'통장내역(환율표)'!#REF!</f>
        <v>#REF!</v>
      </c>
      <c r="M72" s="981" t="e">
        <f t="shared" si="10"/>
        <v>#REF!</v>
      </c>
      <c r="N72" s="928" t="e">
        <f t="shared" si="15"/>
        <v>#REF!</v>
      </c>
      <c r="O72" s="928" t="e">
        <f t="shared" si="16"/>
        <v>#REF!</v>
      </c>
      <c r="P72" s="911" t="s">
        <v>1071</v>
      </c>
      <c r="Q72" s="641"/>
      <c r="R72" s="641"/>
      <c r="S72" s="974" t="e">
        <f t="shared" si="17"/>
        <v>#REF!</v>
      </c>
    </row>
    <row r="73" spans="2:19" ht="11.25" customHeight="1">
      <c r="B73" s="568">
        <v>45646</v>
      </c>
      <c r="C73" s="965" t="s">
        <v>1379</v>
      </c>
      <c r="D73" s="921"/>
      <c r="E73" s="917">
        <v>47</v>
      </c>
      <c r="F73" s="569" t="s">
        <v>107</v>
      </c>
      <c r="G73" s="569"/>
      <c r="H73" s="569"/>
      <c r="I73" s="569"/>
      <c r="J73" s="569"/>
      <c r="K73" s="918">
        <v>3.6</v>
      </c>
      <c r="L73" s="542" t="e">
        <f>'통장내역(환율표)'!#REF!</f>
        <v>#REF!</v>
      </c>
      <c r="M73" s="981" t="e">
        <f t="shared" si="10"/>
        <v>#REF!</v>
      </c>
      <c r="N73" s="928" t="e">
        <f t="shared" si="15"/>
        <v>#REF!</v>
      </c>
      <c r="O73" s="928" t="e">
        <f t="shared" si="16"/>
        <v>#REF!</v>
      </c>
      <c r="P73" s="911" t="s">
        <v>1071</v>
      </c>
      <c r="Q73" s="641"/>
      <c r="R73" s="641"/>
      <c r="S73" s="974" t="e">
        <f t="shared" si="17"/>
        <v>#REF!</v>
      </c>
    </row>
    <row r="74" spans="2:19" ht="11.25" customHeight="1">
      <c r="B74" s="568">
        <v>45647</v>
      </c>
      <c r="C74" s="966" t="s">
        <v>55</v>
      </c>
      <c r="D74" s="921"/>
      <c r="E74" s="917">
        <v>48</v>
      </c>
      <c r="F74" s="569" t="s">
        <v>60</v>
      </c>
      <c r="G74" s="569"/>
      <c r="H74" s="918">
        <v>97.84</v>
      </c>
      <c r="I74" s="542" t="e">
        <f>'통장내역(환율표)'!#REF!</f>
        <v>#REF!</v>
      </c>
      <c r="J74" s="944" t="e">
        <f>E74/I74</f>
        <v>#REF!</v>
      </c>
      <c r="K74" s="913"/>
      <c r="L74" s="542" t="e">
        <f>'통장내역(환율표)'!#REF!</f>
        <v>#REF!</v>
      </c>
      <c r="M74" s="981"/>
      <c r="N74" s="928" t="e">
        <f t="shared" si="15"/>
        <v>#REF!</v>
      </c>
      <c r="O74" s="928" t="e">
        <f t="shared" si="16"/>
        <v>#REF!</v>
      </c>
      <c r="P74" s="911" t="s">
        <v>1071</v>
      </c>
      <c r="Q74" s="641"/>
      <c r="R74" s="641"/>
      <c r="S74" s="974" t="e">
        <f>S73-M74+J74</f>
        <v>#REF!</v>
      </c>
    </row>
    <row r="75" spans="2:19" ht="11.25" customHeight="1">
      <c r="B75" s="568">
        <v>45647</v>
      </c>
      <c r="C75" s="965" t="s">
        <v>885</v>
      </c>
      <c r="D75" s="921"/>
      <c r="E75" s="917">
        <v>49</v>
      </c>
      <c r="F75" s="569" t="s">
        <v>107</v>
      </c>
      <c r="G75" s="569"/>
      <c r="H75" s="569"/>
      <c r="I75" s="569"/>
      <c r="J75" s="569"/>
      <c r="K75" s="918">
        <v>16000</v>
      </c>
      <c r="L75" s="542" t="e">
        <f>'통장내역(환율표)'!#REF!</f>
        <v>#REF!</v>
      </c>
      <c r="M75" s="981" t="e">
        <f t="shared" si="10"/>
        <v>#REF!</v>
      </c>
      <c r="N75" s="928" t="e">
        <f t="shared" si="15"/>
        <v>#REF!</v>
      </c>
      <c r="O75" s="928" t="e">
        <f t="shared" si="16"/>
        <v>#REF!</v>
      </c>
      <c r="P75" s="911" t="s">
        <v>1071</v>
      </c>
      <c r="Q75" s="641"/>
      <c r="R75" s="641" t="s">
        <v>211</v>
      </c>
      <c r="S75" s="974" t="e">
        <f t="shared" si="17"/>
        <v>#REF!</v>
      </c>
    </row>
    <row r="76" spans="2:19" ht="11.25" customHeight="1">
      <c r="B76" s="568">
        <v>45647</v>
      </c>
      <c r="C76" s="965" t="s">
        <v>938</v>
      </c>
      <c r="D76" s="921"/>
      <c r="E76" s="917">
        <v>49</v>
      </c>
      <c r="F76" s="569" t="s">
        <v>107</v>
      </c>
      <c r="G76" s="569"/>
      <c r="H76" s="569"/>
      <c r="I76" s="569"/>
      <c r="J76" s="569"/>
      <c r="K76" s="918">
        <v>24000</v>
      </c>
      <c r="L76" s="542" t="e">
        <f>'통장내역(환율표)'!#REF!</f>
        <v>#REF!</v>
      </c>
      <c r="M76" s="981" t="e">
        <f t="shared" si="10"/>
        <v>#REF!</v>
      </c>
      <c r="N76" s="928" t="e">
        <f t="shared" si="15"/>
        <v>#REF!</v>
      </c>
      <c r="O76" s="928" t="e">
        <f t="shared" si="16"/>
        <v>#REF!</v>
      </c>
      <c r="P76" s="911" t="s">
        <v>1071</v>
      </c>
      <c r="Q76" s="641"/>
      <c r="R76" s="641" t="s">
        <v>211</v>
      </c>
      <c r="S76" s="974" t="e">
        <f t="shared" si="17"/>
        <v>#REF!</v>
      </c>
    </row>
    <row r="77" spans="2:19" ht="11.25" customHeight="1">
      <c r="B77" s="568">
        <v>45647</v>
      </c>
      <c r="C77" s="965" t="s">
        <v>887</v>
      </c>
      <c r="D77" s="921"/>
      <c r="E77" s="917">
        <v>49</v>
      </c>
      <c r="F77" s="569" t="s">
        <v>107</v>
      </c>
      <c r="G77" s="569"/>
      <c r="H77" s="569"/>
      <c r="I77" s="569"/>
      <c r="J77" s="569"/>
      <c r="K77" s="918">
        <v>5145.1900000000005</v>
      </c>
      <c r="L77" s="542" t="e">
        <f>'통장내역(환율표)'!#REF!</f>
        <v>#REF!</v>
      </c>
      <c r="M77" s="981" t="e">
        <f t="shared" si="10"/>
        <v>#REF!</v>
      </c>
      <c r="N77" s="928" t="e">
        <f t="shared" si="15"/>
        <v>#REF!</v>
      </c>
      <c r="O77" s="928" t="e">
        <f t="shared" si="16"/>
        <v>#REF!</v>
      </c>
      <c r="P77" s="911" t="s">
        <v>1071</v>
      </c>
      <c r="Q77" s="641"/>
      <c r="R77" s="641" t="s">
        <v>211</v>
      </c>
      <c r="S77" s="974" t="e">
        <f t="shared" si="17"/>
        <v>#REF!</v>
      </c>
    </row>
    <row r="78" spans="2:19" ht="11.25" customHeight="1">
      <c r="B78" s="568">
        <v>45647</v>
      </c>
      <c r="C78" s="965" t="s">
        <v>888</v>
      </c>
      <c r="D78" s="921"/>
      <c r="E78" s="917">
        <v>49</v>
      </c>
      <c r="F78" s="569" t="s">
        <v>107</v>
      </c>
      <c r="G78" s="569"/>
      <c r="H78" s="569"/>
      <c r="I78" s="569"/>
      <c r="J78" s="569"/>
      <c r="K78" s="918">
        <v>8342</v>
      </c>
      <c r="L78" s="542" t="e">
        <f>'통장내역(환율표)'!#REF!</f>
        <v>#REF!</v>
      </c>
      <c r="M78" s="981" t="e">
        <f t="shared" si="10"/>
        <v>#REF!</v>
      </c>
      <c r="N78" s="928" t="e">
        <f t="shared" si="15"/>
        <v>#REF!</v>
      </c>
      <c r="O78" s="928" t="e">
        <f t="shared" si="16"/>
        <v>#REF!</v>
      </c>
      <c r="P78" s="911" t="s">
        <v>1071</v>
      </c>
      <c r="Q78" s="641"/>
      <c r="R78" s="641" t="s">
        <v>211</v>
      </c>
      <c r="S78" s="974" t="e">
        <f t="shared" si="17"/>
        <v>#REF!</v>
      </c>
    </row>
    <row r="79" spans="2:19" ht="11.25" customHeight="1">
      <c r="B79" s="568">
        <v>45647</v>
      </c>
      <c r="C79" s="965" t="s">
        <v>892</v>
      </c>
      <c r="D79" s="921"/>
      <c r="E79" s="917">
        <v>49</v>
      </c>
      <c r="F79" s="569" t="s">
        <v>107</v>
      </c>
      <c r="G79" s="569"/>
      <c r="H79" s="569"/>
      <c r="I79" s="569"/>
      <c r="J79" s="569"/>
      <c r="K79" s="918">
        <v>300</v>
      </c>
      <c r="L79" s="542" t="e">
        <f>'통장내역(환율표)'!#REF!</f>
        <v>#REF!</v>
      </c>
      <c r="M79" s="981" t="e">
        <f t="shared" si="10"/>
        <v>#REF!</v>
      </c>
      <c r="N79" s="928" t="e">
        <f t="shared" si="15"/>
        <v>#REF!</v>
      </c>
      <c r="O79" s="928" t="e">
        <f t="shared" si="16"/>
        <v>#REF!</v>
      </c>
      <c r="P79" s="911" t="s">
        <v>1071</v>
      </c>
      <c r="Q79" s="641"/>
      <c r="R79" s="641" t="s">
        <v>211</v>
      </c>
      <c r="S79" s="974" t="e">
        <f t="shared" si="17"/>
        <v>#REF!</v>
      </c>
    </row>
    <row r="80" spans="2:19" ht="11.25" customHeight="1">
      <c r="B80" s="568">
        <v>45647</v>
      </c>
      <c r="C80" s="965" t="s">
        <v>885</v>
      </c>
      <c r="D80" s="921"/>
      <c r="E80" s="917">
        <v>49</v>
      </c>
      <c r="F80" s="569" t="s">
        <v>107</v>
      </c>
      <c r="G80" s="569"/>
      <c r="H80" s="569"/>
      <c r="I80" s="569"/>
      <c r="J80" s="569"/>
      <c r="K80" s="918">
        <v>15000</v>
      </c>
      <c r="L80" s="542" t="e">
        <f>'통장내역(환율표)'!#REF!</f>
        <v>#REF!</v>
      </c>
      <c r="M80" s="981" t="e">
        <f t="shared" si="10"/>
        <v>#REF!</v>
      </c>
      <c r="N80" s="928" t="e">
        <f t="shared" si="15"/>
        <v>#REF!</v>
      </c>
      <c r="O80" s="928" t="e">
        <f t="shared" si="16"/>
        <v>#REF!</v>
      </c>
      <c r="P80" s="911" t="s">
        <v>1071</v>
      </c>
      <c r="Q80" s="641"/>
      <c r="R80" s="641" t="s">
        <v>188</v>
      </c>
      <c r="S80" s="974" t="e">
        <f t="shared" si="17"/>
        <v>#REF!</v>
      </c>
    </row>
    <row r="81" spans="2:19" ht="11.25" customHeight="1">
      <c r="B81" s="568">
        <v>45647</v>
      </c>
      <c r="C81" s="965" t="s">
        <v>938</v>
      </c>
      <c r="D81" s="921"/>
      <c r="E81" s="917">
        <v>49</v>
      </c>
      <c r="F81" s="569" t="s">
        <v>107</v>
      </c>
      <c r="G81" s="569"/>
      <c r="H81" s="569"/>
      <c r="I81" s="569"/>
      <c r="J81" s="569"/>
      <c r="K81" s="918">
        <v>22000</v>
      </c>
      <c r="L81" s="542" t="e">
        <f>'통장내역(환율표)'!#REF!</f>
        <v>#REF!</v>
      </c>
      <c r="M81" s="981" t="e">
        <f t="shared" si="10"/>
        <v>#REF!</v>
      </c>
      <c r="N81" s="928" t="e">
        <f t="shared" si="15"/>
        <v>#REF!</v>
      </c>
      <c r="O81" s="928" t="e">
        <f t="shared" si="16"/>
        <v>#REF!</v>
      </c>
      <c r="P81" s="911" t="s">
        <v>1071</v>
      </c>
      <c r="Q81" s="641"/>
      <c r="R81" s="641" t="s">
        <v>188</v>
      </c>
      <c r="S81" s="974" t="e">
        <f t="shared" si="17"/>
        <v>#REF!</v>
      </c>
    </row>
    <row r="82" spans="2:19" ht="11.25" customHeight="1">
      <c r="B82" s="568">
        <v>45647</v>
      </c>
      <c r="C82" s="965" t="s">
        <v>887</v>
      </c>
      <c r="D82" s="921"/>
      <c r="E82" s="917">
        <v>49</v>
      </c>
      <c r="F82" s="569" t="s">
        <v>107</v>
      </c>
      <c r="G82" s="569"/>
      <c r="H82" s="569"/>
      <c r="I82" s="569"/>
      <c r="J82" s="569"/>
      <c r="K82" s="918">
        <v>8576.1899999999987</v>
      </c>
      <c r="L82" s="542" t="e">
        <f>'통장내역(환율표)'!#REF!</f>
        <v>#REF!</v>
      </c>
      <c r="M82" s="981" t="e">
        <f t="shared" si="10"/>
        <v>#REF!</v>
      </c>
      <c r="N82" s="928" t="e">
        <f t="shared" si="15"/>
        <v>#REF!</v>
      </c>
      <c r="O82" s="928" t="e">
        <f t="shared" si="16"/>
        <v>#REF!</v>
      </c>
      <c r="P82" s="911" t="s">
        <v>1071</v>
      </c>
      <c r="Q82" s="641"/>
      <c r="R82" s="641" t="s">
        <v>188</v>
      </c>
      <c r="S82" s="974" t="e">
        <f t="shared" si="17"/>
        <v>#REF!</v>
      </c>
    </row>
    <row r="83" spans="2:19" ht="11.25" customHeight="1">
      <c r="B83" s="568">
        <v>45647</v>
      </c>
      <c r="C83" s="965" t="s">
        <v>888</v>
      </c>
      <c r="D83" s="921"/>
      <c r="E83" s="917">
        <v>49</v>
      </c>
      <c r="F83" s="569" t="s">
        <v>107</v>
      </c>
      <c r="G83" s="569"/>
      <c r="H83" s="569"/>
      <c r="I83" s="569"/>
      <c r="J83" s="569"/>
      <c r="K83" s="918">
        <v>7167.5</v>
      </c>
      <c r="L83" s="542" t="e">
        <f>'통장내역(환율표)'!#REF!</f>
        <v>#REF!</v>
      </c>
      <c r="M83" s="981" t="e">
        <f t="shared" si="10"/>
        <v>#REF!</v>
      </c>
      <c r="N83" s="928" t="e">
        <f t="shared" si="15"/>
        <v>#REF!</v>
      </c>
      <c r="O83" s="928" t="e">
        <f t="shared" si="16"/>
        <v>#REF!</v>
      </c>
      <c r="P83" s="911" t="s">
        <v>1071</v>
      </c>
      <c r="Q83" s="641"/>
      <c r="R83" s="641" t="s">
        <v>188</v>
      </c>
      <c r="S83" s="974" t="e">
        <f t="shared" si="17"/>
        <v>#REF!</v>
      </c>
    </row>
    <row r="84" spans="2:19" ht="11.25" customHeight="1">
      <c r="B84" s="568">
        <v>45647</v>
      </c>
      <c r="C84" s="965" t="s">
        <v>892</v>
      </c>
      <c r="D84" s="921"/>
      <c r="E84" s="917">
        <v>49</v>
      </c>
      <c r="F84" s="569" t="s">
        <v>107</v>
      </c>
      <c r="G84" s="569"/>
      <c r="H84" s="569"/>
      <c r="I84" s="569"/>
      <c r="J84" s="569"/>
      <c r="K84" s="918">
        <v>300</v>
      </c>
      <c r="L84" s="542" t="e">
        <f>'통장내역(환율표)'!#REF!</f>
        <v>#REF!</v>
      </c>
      <c r="M84" s="981" t="e">
        <f t="shared" si="10"/>
        <v>#REF!</v>
      </c>
      <c r="N84" s="928" t="e">
        <f t="shared" si="15"/>
        <v>#REF!</v>
      </c>
      <c r="O84" s="928" t="e">
        <f t="shared" si="16"/>
        <v>#REF!</v>
      </c>
      <c r="P84" s="911" t="s">
        <v>1071</v>
      </c>
      <c r="Q84" s="641"/>
      <c r="R84" s="641" t="s">
        <v>188</v>
      </c>
      <c r="S84" s="974" t="e">
        <f t="shared" si="17"/>
        <v>#REF!</v>
      </c>
    </row>
    <row r="85" spans="2:19" ht="11.25" customHeight="1">
      <c r="B85" s="568">
        <v>45647</v>
      </c>
      <c r="C85" s="965" t="s">
        <v>891</v>
      </c>
      <c r="D85" s="921"/>
      <c r="E85" s="917">
        <v>49</v>
      </c>
      <c r="F85" s="569" t="s">
        <v>107</v>
      </c>
      <c r="G85" s="569"/>
      <c r="H85" s="569"/>
      <c r="I85" s="569"/>
      <c r="J85" s="569"/>
      <c r="K85" s="918">
        <v>25750</v>
      </c>
      <c r="L85" s="542" t="e">
        <f>'통장내역(환율표)'!#REF!</f>
        <v>#REF!</v>
      </c>
      <c r="M85" s="981" t="e">
        <f t="shared" si="10"/>
        <v>#REF!</v>
      </c>
      <c r="N85" s="928" t="e">
        <f t="shared" si="15"/>
        <v>#REF!</v>
      </c>
      <c r="O85" s="928" t="e">
        <f t="shared" si="16"/>
        <v>#REF!</v>
      </c>
      <c r="P85" s="911" t="s">
        <v>1071</v>
      </c>
      <c r="Q85" s="641"/>
      <c r="R85" s="641" t="s">
        <v>986</v>
      </c>
      <c r="S85" s="974" t="e">
        <f t="shared" si="17"/>
        <v>#REF!</v>
      </c>
    </row>
    <row r="86" spans="2:19" ht="11.25" customHeight="1">
      <c r="B86" s="568">
        <v>45647</v>
      </c>
      <c r="C86" s="965" t="s">
        <v>939</v>
      </c>
      <c r="D86" s="921"/>
      <c r="E86" s="917">
        <v>49</v>
      </c>
      <c r="F86" s="569" t="s">
        <v>107</v>
      </c>
      <c r="G86" s="569"/>
      <c r="H86" s="569"/>
      <c r="I86" s="569"/>
      <c r="J86" s="569"/>
      <c r="K86" s="918">
        <v>7173.94</v>
      </c>
      <c r="L86" s="542" t="e">
        <f>'통장내역(환율표)'!#REF!</f>
        <v>#REF!</v>
      </c>
      <c r="M86" s="981" t="e">
        <f t="shared" si="10"/>
        <v>#REF!</v>
      </c>
      <c r="N86" s="928" t="e">
        <f t="shared" si="15"/>
        <v>#REF!</v>
      </c>
      <c r="O86" s="928" t="e">
        <f t="shared" si="16"/>
        <v>#REF!</v>
      </c>
      <c r="P86" s="911" t="s">
        <v>1071</v>
      </c>
      <c r="Q86" s="641"/>
      <c r="R86" s="641" t="s">
        <v>986</v>
      </c>
      <c r="S86" s="974" t="e">
        <f t="shared" si="17"/>
        <v>#REF!</v>
      </c>
    </row>
    <row r="87" spans="2:19" ht="11.25" customHeight="1">
      <c r="B87" s="568">
        <v>45647</v>
      </c>
      <c r="C87" s="965" t="s">
        <v>892</v>
      </c>
      <c r="D87" s="921"/>
      <c r="E87" s="917">
        <v>49</v>
      </c>
      <c r="F87" s="569" t="s">
        <v>107</v>
      </c>
      <c r="G87" s="569"/>
      <c r="H87" s="569"/>
      <c r="I87" s="569"/>
      <c r="J87" s="569"/>
      <c r="K87" s="918">
        <v>300</v>
      </c>
      <c r="L87" s="542" t="e">
        <f>'통장내역(환율표)'!#REF!</f>
        <v>#REF!</v>
      </c>
      <c r="M87" s="981" t="e">
        <f t="shared" si="10"/>
        <v>#REF!</v>
      </c>
      <c r="N87" s="928" t="e">
        <f t="shared" si="15"/>
        <v>#REF!</v>
      </c>
      <c r="O87" s="928" t="e">
        <f t="shared" si="16"/>
        <v>#REF!</v>
      </c>
      <c r="P87" s="911" t="s">
        <v>1071</v>
      </c>
      <c r="Q87" s="641"/>
      <c r="R87" s="641" t="s">
        <v>986</v>
      </c>
      <c r="S87" s="974" t="e">
        <f t="shared" si="17"/>
        <v>#REF!</v>
      </c>
    </row>
    <row r="88" spans="2:19" ht="11.25" customHeight="1">
      <c r="B88" s="568">
        <v>45647</v>
      </c>
      <c r="C88" s="965" t="s">
        <v>983</v>
      </c>
      <c r="D88" s="921"/>
      <c r="E88" s="917">
        <v>49</v>
      </c>
      <c r="F88" s="569" t="s">
        <v>107</v>
      </c>
      <c r="G88" s="569"/>
      <c r="H88" s="569"/>
      <c r="I88" s="569"/>
      <c r="J88" s="569"/>
      <c r="K88" s="918">
        <v>400</v>
      </c>
      <c r="L88" s="542" t="e">
        <f>'통장내역(환율표)'!#REF!</f>
        <v>#REF!</v>
      </c>
      <c r="M88" s="981" t="e">
        <f t="shared" si="10"/>
        <v>#REF!</v>
      </c>
      <c r="N88" s="928" t="e">
        <f t="shared" si="15"/>
        <v>#REF!</v>
      </c>
      <c r="O88" s="928" t="e">
        <f t="shared" si="16"/>
        <v>#REF!</v>
      </c>
      <c r="P88" s="911" t="s">
        <v>1071</v>
      </c>
      <c r="Q88" s="641"/>
      <c r="R88" s="641" t="s">
        <v>986</v>
      </c>
      <c r="S88" s="974" t="e">
        <f t="shared" si="17"/>
        <v>#REF!</v>
      </c>
    </row>
    <row r="89" spans="2:19" ht="11.25" customHeight="1">
      <c r="B89" s="568">
        <v>45647</v>
      </c>
      <c r="C89" s="965" t="s">
        <v>891</v>
      </c>
      <c r="D89" s="921"/>
      <c r="E89" s="917">
        <v>49</v>
      </c>
      <c r="F89" s="569" t="s">
        <v>107</v>
      </c>
      <c r="G89" s="569"/>
      <c r="H89" s="569"/>
      <c r="I89" s="569"/>
      <c r="J89" s="569"/>
      <c r="K89" s="918">
        <v>13390</v>
      </c>
      <c r="L89" s="542" t="e">
        <f>'통장내역(환율표)'!#REF!</f>
        <v>#REF!</v>
      </c>
      <c r="M89" s="981" t="e">
        <f t="shared" si="10"/>
        <v>#REF!</v>
      </c>
      <c r="N89" s="928" t="e">
        <f t="shared" si="15"/>
        <v>#REF!</v>
      </c>
      <c r="O89" s="928" t="e">
        <f t="shared" si="16"/>
        <v>#REF!</v>
      </c>
      <c r="P89" s="911" t="s">
        <v>1071</v>
      </c>
      <c r="Q89" s="641"/>
      <c r="R89" s="951" t="s">
        <v>1380</v>
      </c>
      <c r="S89" s="974" t="e">
        <f t="shared" si="17"/>
        <v>#REF!</v>
      </c>
    </row>
    <row r="90" spans="2:19" ht="11.25" customHeight="1">
      <c r="B90" s="568">
        <v>45647</v>
      </c>
      <c r="C90" s="965" t="s">
        <v>939</v>
      </c>
      <c r="D90" s="921"/>
      <c r="E90" s="917">
        <v>49</v>
      </c>
      <c r="F90" s="569" t="s">
        <v>107</v>
      </c>
      <c r="G90" s="569"/>
      <c r="H90" s="569"/>
      <c r="I90" s="569"/>
      <c r="J90" s="569"/>
      <c r="K90" s="918">
        <v>3147.67</v>
      </c>
      <c r="L90" s="542" t="e">
        <f>'통장내역(환율표)'!#REF!</f>
        <v>#REF!</v>
      </c>
      <c r="M90" s="981" t="e">
        <f t="shared" si="10"/>
        <v>#REF!</v>
      </c>
      <c r="N90" s="928" t="e">
        <f t="shared" si="15"/>
        <v>#REF!</v>
      </c>
      <c r="O90" s="928" t="e">
        <f t="shared" si="16"/>
        <v>#REF!</v>
      </c>
      <c r="P90" s="911" t="s">
        <v>1071</v>
      </c>
      <c r="Q90" s="641"/>
      <c r="R90" s="951" t="s">
        <v>1380</v>
      </c>
      <c r="S90" s="974" t="e">
        <f t="shared" si="17"/>
        <v>#REF!</v>
      </c>
    </row>
    <row r="91" spans="2:19" ht="11.25" customHeight="1">
      <c r="B91" s="568">
        <v>45647</v>
      </c>
      <c r="C91" s="965" t="s">
        <v>892</v>
      </c>
      <c r="D91" s="921"/>
      <c r="E91" s="917">
        <v>49</v>
      </c>
      <c r="F91" s="569" t="s">
        <v>107</v>
      </c>
      <c r="G91" s="569"/>
      <c r="H91" s="569"/>
      <c r="I91" s="569"/>
      <c r="J91" s="569"/>
      <c r="K91" s="918">
        <v>300</v>
      </c>
      <c r="L91" s="542" t="e">
        <f>'통장내역(환율표)'!#REF!</f>
        <v>#REF!</v>
      </c>
      <c r="M91" s="981" t="e">
        <f t="shared" si="10"/>
        <v>#REF!</v>
      </c>
      <c r="N91" s="928" t="e">
        <f t="shared" si="15"/>
        <v>#REF!</v>
      </c>
      <c r="O91" s="928" t="e">
        <f t="shared" si="16"/>
        <v>#REF!</v>
      </c>
      <c r="P91" s="911" t="s">
        <v>1071</v>
      </c>
      <c r="Q91" s="641"/>
      <c r="R91" s="951" t="s">
        <v>1380</v>
      </c>
      <c r="S91" s="974" t="e">
        <f t="shared" si="17"/>
        <v>#REF!</v>
      </c>
    </row>
    <row r="92" spans="2:19" ht="11.25" customHeight="1">
      <c r="B92" s="568">
        <v>45647</v>
      </c>
      <c r="C92" s="965" t="s">
        <v>983</v>
      </c>
      <c r="D92" s="921"/>
      <c r="E92" s="917">
        <v>49</v>
      </c>
      <c r="F92" s="569" t="s">
        <v>107</v>
      </c>
      <c r="G92" s="569"/>
      <c r="H92" s="569"/>
      <c r="I92" s="569"/>
      <c r="J92" s="569"/>
      <c r="K92" s="918">
        <v>2100</v>
      </c>
      <c r="L92" s="542" t="e">
        <f>'통장내역(환율표)'!#REF!</f>
        <v>#REF!</v>
      </c>
      <c r="M92" s="981" t="e">
        <f t="shared" si="10"/>
        <v>#REF!</v>
      </c>
      <c r="N92" s="928" t="e">
        <f t="shared" si="15"/>
        <v>#REF!</v>
      </c>
      <c r="O92" s="928" t="e">
        <f t="shared" si="16"/>
        <v>#REF!</v>
      </c>
      <c r="P92" s="911" t="s">
        <v>1071</v>
      </c>
      <c r="Q92" s="641"/>
      <c r="R92" s="951" t="s">
        <v>1380</v>
      </c>
      <c r="S92" s="974" t="e">
        <f t="shared" si="17"/>
        <v>#REF!</v>
      </c>
    </row>
    <row r="93" spans="2:19" ht="11.25" customHeight="1">
      <c r="B93" s="568">
        <v>45647</v>
      </c>
      <c r="C93" s="965" t="s">
        <v>891</v>
      </c>
      <c r="D93" s="921"/>
      <c r="E93" s="917">
        <v>49</v>
      </c>
      <c r="F93" s="569" t="s">
        <v>107</v>
      </c>
      <c r="G93" s="569"/>
      <c r="H93" s="569"/>
      <c r="I93" s="569"/>
      <c r="J93" s="569"/>
      <c r="K93" s="918">
        <v>25750</v>
      </c>
      <c r="L93" s="542" t="e">
        <f>'통장내역(환율표)'!#REF!</f>
        <v>#REF!</v>
      </c>
      <c r="M93" s="981" t="e">
        <f t="shared" si="10"/>
        <v>#REF!</v>
      </c>
      <c r="N93" s="928" t="e">
        <f t="shared" si="15"/>
        <v>#REF!</v>
      </c>
      <c r="O93" s="928" t="e">
        <f t="shared" si="16"/>
        <v>#REF!</v>
      </c>
      <c r="P93" s="911" t="s">
        <v>1071</v>
      </c>
      <c r="Q93" s="641"/>
      <c r="R93" s="641" t="s">
        <v>1381</v>
      </c>
      <c r="S93" s="974" t="e">
        <f t="shared" si="17"/>
        <v>#REF!</v>
      </c>
    </row>
    <row r="94" spans="2:19" ht="11.25" customHeight="1">
      <c r="B94" s="568">
        <v>45647</v>
      </c>
      <c r="C94" s="965" t="s">
        <v>939</v>
      </c>
      <c r="D94" s="921"/>
      <c r="E94" s="917">
        <v>49</v>
      </c>
      <c r="F94" s="569" t="s">
        <v>107</v>
      </c>
      <c r="G94" s="569"/>
      <c r="H94" s="569"/>
      <c r="I94" s="569"/>
      <c r="J94" s="569"/>
      <c r="K94" s="918">
        <v>7173.94</v>
      </c>
      <c r="L94" s="542" t="e">
        <f>'통장내역(환율표)'!#REF!</f>
        <v>#REF!</v>
      </c>
      <c r="M94" s="981" t="e">
        <f t="shared" ref="M94:M96" si="18">K94/L94</f>
        <v>#REF!</v>
      </c>
      <c r="N94" s="928" t="e">
        <f t="shared" si="15"/>
        <v>#REF!</v>
      </c>
      <c r="O94" s="928" t="e">
        <f t="shared" si="16"/>
        <v>#REF!</v>
      </c>
      <c r="P94" s="911" t="s">
        <v>1071</v>
      </c>
      <c r="Q94" s="641"/>
      <c r="R94" s="641" t="s">
        <v>1381</v>
      </c>
      <c r="S94" s="974" t="e">
        <f t="shared" si="17"/>
        <v>#REF!</v>
      </c>
    </row>
    <row r="95" spans="2:19" ht="11.25" customHeight="1">
      <c r="B95" s="568">
        <v>45647</v>
      </c>
      <c r="C95" s="965" t="s">
        <v>892</v>
      </c>
      <c r="D95" s="921"/>
      <c r="E95" s="917">
        <v>49</v>
      </c>
      <c r="F95" s="569" t="s">
        <v>107</v>
      </c>
      <c r="G95" s="569"/>
      <c r="H95" s="569"/>
      <c r="I95" s="569"/>
      <c r="J95" s="569"/>
      <c r="K95" s="918">
        <v>300</v>
      </c>
      <c r="L95" s="542" t="e">
        <f>'통장내역(환율표)'!#REF!</f>
        <v>#REF!</v>
      </c>
      <c r="M95" s="981" t="e">
        <f t="shared" si="18"/>
        <v>#REF!</v>
      </c>
      <c r="N95" s="928" t="e">
        <f t="shared" si="15"/>
        <v>#REF!</v>
      </c>
      <c r="O95" s="928" t="e">
        <f t="shared" si="16"/>
        <v>#REF!</v>
      </c>
      <c r="P95" s="911" t="s">
        <v>1071</v>
      </c>
      <c r="Q95" s="641"/>
      <c r="R95" s="641" t="s">
        <v>1381</v>
      </c>
      <c r="S95" s="974" t="e">
        <f t="shared" si="17"/>
        <v>#REF!</v>
      </c>
    </row>
    <row r="96" spans="2:19" ht="11.25" customHeight="1">
      <c r="B96" s="568">
        <v>45647</v>
      </c>
      <c r="C96" s="965" t="s">
        <v>445</v>
      </c>
      <c r="D96" s="921"/>
      <c r="E96" s="917">
        <v>50</v>
      </c>
      <c r="F96" s="569" t="s">
        <v>107</v>
      </c>
      <c r="G96" s="569"/>
      <c r="H96" s="569"/>
      <c r="I96" s="569"/>
      <c r="J96" s="569"/>
      <c r="K96" s="918">
        <v>12</v>
      </c>
      <c r="L96" s="542" t="e">
        <f>'통장내역(환율표)'!#REF!</f>
        <v>#REF!</v>
      </c>
      <c r="M96" s="981" t="e">
        <f t="shared" si="18"/>
        <v>#REF!</v>
      </c>
      <c r="N96" s="912" t="e">
        <f t="shared" si="15"/>
        <v>#REF!</v>
      </c>
      <c r="O96" s="912" t="e">
        <f t="shared" si="16"/>
        <v>#REF!</v>
      </c>
      <c r="P96" s="911" t="s">
        <v>1071</v>
      </c>
      <c r="Q96" s="641"/>
      <c r="R96" s="641"/>
      <c r="S96" s="974" t="e">
        <f t="shared" si="17"/>
        <v>#REF!</v>
      </c>
    </row>
    <row r="97" spans="19:19" ht="11.25" customHeight="1">
      <c r="S97" s="974"/>
    </row>
  </sheetData>
  <autoFilter ref="B18:R96" xr:uid="{00000000-0009-0000-0000-000001000000}">
    <filterColumn colId="14" showButton="0"/>
    <sortState xmlns:xlrd2="http://schemas.microsoft.com/office/spreadsheetml/2017/richdata2" ref="B20:R21">
      <sortCondition sortBy="cellColor" ref="M18:M20" dxfId="17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AF2E-853E-4D2B-A1F9-1A26974AA6FD}">
  <sheetPr>
    <tabColor rgb="FFFFC000"/>
  </sheetPr>
  <dimension ref="A1:AC105"/>
  <sheetViews>
    <sheetView showGridLines="0" zoomScaleNormal="100" workbookViewId="0">
      <pane ySplit="19" topLeftCell="A101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1000" customWidth="1"/>
    <col min="4" max="4" width="9.69921875" style="1000" customWidth="1"/>
    <col min="5" max="5" width="12.09765625" style="1000" customWidth="1"/>
    <col min="6" max="6" width="11.09765625" style="1000" customWidth="1"/>
    <col min="7" max="7" width="9.796875" style="489" customWidth="1"/>
    <col min="8" max="8" width="9.69921875" style="1000" customWidth="1"/>
    <col min="9" max="9" width="9.796875" style="1000" customWidth="1"/>
    <col min="10" max="10" width="10.5" style="489" customWidth="1"/>
    <col min="11" max="11" width="11" style="489" customWidth="1"/>
    <col min="12" max="12" width="11.09765625" style="1000" customWidth="1"/>
    <col min="13" max="13" width="9.69921875" style="1000" customWidth="1"/>
    <col min="14" max="14" width="12.296875" style="1000" customWidth="1"/>
    <col min="15" max="15" width="9.796875" style="1000" customWidth="1"/>
    <col min="16" max="16" width="10.69921875" style="1000" customWidth="1"/>
    <col min="17" max="17" width="9.59765625" style="1000" customWidth="1"/>
    <col min="18" max="18" width="31.5" style="489" customWidth="1"/>
    <col min="19" max="19" width="10.5" style="492" bestFit="1" customWidth="1"/>
    <col min="20" max="20" width="9" style="1000"/>
    <col min="21" max="21" width="9" style="1001"/>
    <col min="22" max="16384" width="9" style="1000"/>
  </cols>
  <sheetData>
    <row r="1" spans="1:29" ht="4.5" customHeight="1">
      <c r="A1" s="989"/>
      <c r="B1" s="990"/>
      <c r="C1" s="991"/>
      <c r="D1" s="991"/>
      <c r="E1" s="992"/>
      <c r="F1" s="992"/>
      <c r="G1" s="993"/>
      <c r="H1" s="992"/>
      <c r="I1" s="992"/>
      <c r="J1" s="994"/>
      <c r="K1" s="994"/>
      <c r="L1" s="995"/>
      <c r="M1" s="996"/>
      <c r="N1" s="996"/>
      <c r="O1" s="991"/>
      <c r="P1" s="997"/>
      <c r="Q1" s="997"/>
      <c r="R1" s="998"/>
      <c r="S1" s="999"/>
    </row>
    <row r="2" spans="1:29" s="461" customFormat="1" ht="15" customHeight="1">
      <c r="A2" s="1002"/>
      <c r="B2" s="1003" t="s">
        <v>1402</v>
      </c>
      <c r="C2" s="520"/>
      <c r="D2" s="520"/>
      <c r="F2" s="1004"/>
      <c r="G2" s="489" t="s">
        <v>1047</v>
      </c>
      <c r="H2" s="1005" t="s">
        <v>1398</v>
      </c>
      <c r="I2" s="525"/>
      <c r="J2" s="525"/>
      <c r="K2" s="526"/>
      <c r="L2" s="525"/>
      <c r="M2" s="525"/>
      <c r="N2" s="767"/>
      <c r="O2" s="1006"/>
      <c r="Q2" s="1007"/>
      <c r="R2" s="489"/>
      <c r="S2" s="492"/>
      <c r="T2" s="1000"/>
      <c r="U2" s="1001"/>
      <c r="V2" s="1000"/>
      <c r="W2" s="1000"/>
      <c r="X2" s="1000"/>
    </row>
    <row r="3" spans="1:29" s="483" customFormat="1" ht="11.25" customHeight="1">
      <c r="A3" s="475"/>
      <c r="B3" s="476" t="s">
        <v>1383</v>
      </c>
      <c r="C3" s="477"/>
      <c r="D3" s="477"/>
      <c r="E3" s="477"/>
      <c r="F3" s="983">
        <v>1433.2</v>
      </c>
      <c r="G3" s="480"/>
      <c r="H3" s="476" t="s">
        <v>1397</v>
      </c>
      <c r="I3" s="477"/>
      <c r="K3" s="478"/>
      <c r="L3" s="983">
        <v>1458.2</v>
      </c>
      <c r="N3" s="476" t="s">
        <v>1412</v>
      </c>
      <c r="O3" s="477"/>
      <c r="Q3" s="478"/>
      <c r="R3" s="983">
        <v>1434.3</v>
      </c>
      <c r="T3" s="476"/>
      <c r="U3" s="477"/>
      <c r="V3" s="478"/>
      <c r="W3" s="478"/>
      <c r="X3" s="715">
        <v>1327.2</v>
      </c>
    </row>
    <row r="4" spans="1:29" ht="11.25" customHeight="1">
      <c r="A4" s="98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484" t="s">
        <v>1</v>
      </c>
      <c r="O4" s="485" t="s">
        <v>2</v>
      </c>
      <c r="P4" s="486" t="s">
        <v>1049</v>
      </c>
      <c r="Q4" s="490" t="s">
        <v>1050</v>
      </c>
      <c r="R4" s="488" t="s">
        <v>1051</v>
      </c>
      <c r="T4" s="461"/>
      <c r="U4" s="461"/>
      <c r="V4" s="461"/>
      <c r="W4" s="461"/>
      <c r="X4" s="461"/>
      <c r="Y4" s="461"/>
      <c r="Z4" s="461"/>
      <c r="AA4" s="461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30124.080000000002</v>
      </c>
      <c r="K5" s="693">
        <v>4115.82</v>
      </c>
      <c r="L5" s="651">
        <f>ROUND(K5*$L$3,0)</f>
        <v>6001689</v>
      </c>
      <c r="M5" s="889">
        <f>L5+F5</f>
        <v>6001689</v>
      </c>
      <c r="N5" s="499" t="s">
        <v>11</v>
      </c>
      <c r="O5" s="499" t="s">
        <v>12</v>
      </c>
      <c r="P5" s="693"/>
      <c r="Q5" s="693"/>
      <c r="R5" s="651">
        <f>ROUND(Q5*$R$3,0)</f>
        <v>0</v>
      </c>
      <c r="S5" s="1036">
        <f>F5+L5+R5</f>
        <v>6001689</v>
      </c>
      <c r="T5" s="461"/>
      <c r="U5" s="461"/>
      <c r="V5" s="461"/>
      <c r="W5" s="461"/>
      <c r="X5" s="461"/>
      <c r="Y5" s="461"/>
      <c r="Z5" s="461"/>
      <c r="AA5" s="461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1600</v>
      </c>
      <c r="E6" s="500">
        <v>220.27</v>
      </c>
      <c r="F6" s="497">
        <f t="shared" ref="F6:F10" si="0">ROUND(E6*$F$3,0)</f>
        <v>315691</v>
      </c>
      <c r="G6" s="502"/>
      <c r="H6" s="499" t="s">
        <v>13</v>
      </c>
      <c r="I6" s="499" t="s">
        <v>14</v>
      </c>
      <c r="J6" s="693">
        <v>23408.080000000002</v>
      </c>
      <c r="K6" s="693">
        <v>3198.22</v>
      </c>
      <c r="L6" s="651">
        <f t="shared" ref="L6:L10" si="1">ROUND(K6*$L$3,0)</f>
        <v>4663644</v>
      </c>
      <c r="M6" s="889">
        <f t="shared" ref="M6:M13" si="2">L6+F6</f>
        <v>4979335</v>
      </c>
      <c r="N6" s="499" t="s">
        <v>13</v>
      </c>
      <c r="O6" s="499" t="s">
        <v>14</v>
      </c>
      <c r="P6" s="693"/>
      <c r="Q6" s="693"/>
      <c r="R6" s="651">
        <f t="shared" ref="R6:R10" si="3">ROUND(Q6*$R$3,0)</f>
        <v>0</v>
      </c>
      <c r="S6" s="1036">
        <f t="shared" ref="S6:S13" si="4">F6+L6+R6</f>
        <v>4979335</v>
      </c>
      <c r="T6" s="461"/>
      <c r="U6" s="461"/>
      <c r="V6" s="461"/>
      <c r="W6" s="461"/>
      <c r="X6" s="461"/>
      <c r="Y6" s="461"/>
      <c r="Z6" s="461"/>
      <c r="AA6" s="461"/>
      <c r="AB6" s="525"/>
      <c r="AC6" s="489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24455</v>
      </c>
      <c r="E7" s="500">
        <v>3366.74</v>
      </c>
      <c r="F7" s="497">
        <f t="shared" si="0"/>
        <v>4825212</v>
      </c>
      <c r="G7" s="503"/>
      <c r="H7" s="499" t="s">
        <v>15</v>
      </c>
      <c r="I7" s="499" t="s">
        <v>1055</v>
      </c>
      <c r="J7" s="694"/>
      <c r="K7" s="694"/>
      <c r="L7" s="651">
        <f t="shared" si="1"/>
        <v>0</v>
      </c>
      <c r="M7" s="889">
        <f t="shared" si="2"/>
        <v>4825212</v>
      </c>
      <c r="N7" s="499" t="s">
        <v>15</v>
      </c>
      <c r="O7" s="499" t="s">
        <v>1055</v>
      </c>
      <c r="P7" s="694"/>
      <c r="Q7" s="694"/>
      <c r="R7" s="651">
        <f t="shared" si="3"/>
        <v>0</v>
      </c>
      <c r="S7" s="1036">
        <f t="shared" si="4"/>
        <v>4825212</v>
      </c>
      <c r="T7" s="461"/>
      <c r="U7" s="461"/>
      <c r="V7" s="461"/>
      <c r="W7" s="461"/>
      <c r="X7" s="461"/>
      <c r="Y7" s="461"/>
      <c r="Z7" s="461"/>
      <c r="AA7" s="461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8307.64</v>
      </c>
      <c r="E8" s="500">
        <v>1143.72</v>
      </c>
      <c r="F8" s="497">
        <f t="shared" si="0"/>
        <v>1639180</v>
      </c>
      <c r="G8" s="503"/>
      <c r="H8" s="499" t="s">
        <v>15</v>
      </c>
      <c r="I8" s="494" t="s">
        <v>17</v>
      </c>
      <c r="J8" s="694">
        <v>9192.36</v>
      </c>
      <c r="K8" s="694">
        <v>1255.94</v>
      </c>
      <c r="L8" s="651">
        <f t="shared" si="1"/>
        <v>1831412</v>
      </c>
      <c r="M8" s="889">
        <f t="shared" si="2"/>
        <v>3470592</v>
      </c>
      <c r="N8" s="499" t="s">
        <v>15</v>
      </c>
      <c r="O8" s="494" t="s">
        <v>17</v>
      </c>
      <c r="P8" s="694"/>
      <c r="Q8" s="694"/>
      <c r="R8" s="651">
        <f t="shared" si="3"/>
        <v>0</v>
      </c>
      <c r="S8" s="1036">
        <f t="shared" si="4"/>
        <v>3470592</v>
      </c>
      <c r="T8" s="461"/>
      <c r="U8" s="461"/>
      <c r="V8" s="461"/>
      <c r="W8" s="461"/>
      <c r="X8" s="461"/>
      <c r="Y8" s="461"/>
      <c r="Z8" s="461"/>
      <c r="AA8" s="461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3">
        <v>1412.84</v>
      </c>
      <c r="K9" s="693">
        <v>193.03</v>
      </c>
      <c r="L9" s="651">
        <f t="shared" si="1"/>
        <v>281476</v>
      </c>
      <c r="M9" s="889">
        <f t="shared" si="2"/>
        <v>281476</v>
      </c>
      <c r="N9" s="499" t="s">
        <v>19</v>
      </c>
      <c r="O9" s="494" t="s">
        <v>20</v>
      </c>
      <c r="P9" s="693"/>
      <c r="Q9" s="693"/>
      <c r="R9" s="651">
        <f t="shared" si="3"/>
        <v>0</v>
      </c>
      <c r="S9" s="1036">
        <f t="shared" si="4"/>
        <v>281476</v>
      </c>
      <c r="T9" s="461"/>
      <c r="U9" s="461"/>
      <c r="V9" s="461"/>
      <c r="W9" s="461"/>
      <c r="X9" s="461"/>
      <c r="Y9" s="461"/>
      <c r="Z9" s="461"/>
      <c r="AA9" s="461"/>
    </row>
    <row r="10" spans="1:29" ht="11.25" customHeight="1">
      <c r="A10" s="492">
        <v>51321010</v>
      </c>
      <c r="B10" s="493" t="s">
        <v>21</v>
      </c>
      <c r="C10" s="494"/>
      <c r="D10" s="500">
        <v>43977.029999999992</v>
      </c>
      <c r="E10" s="500">
        <v>6054.36</v>
      </c>
      <c r="F10" s="497">
        <f t="shared" si="0"/>
        <v>8677109</v>
      </c>
      <c r="G10" s="505"/>
      <c r="H10" s="499" t="s">
        <v>21</v>
      </c>
      <c r="I10" s="499"/>
      <c r="J10" s="693">
        <v>331930.53999999998</v>
      </c>
      <c r="K10" s="693">
        <v>45402.28</v>
      </c>
      <c r="L10" s="651">
        <f t="shared" si="1"/>
        <v>66205605</v>
      </c>
      <c r="M10" s="889">
        <f t="shared" si="2"/>
        <v>74882714</v>
      </c>
      <c r="N10" s="499" t="s">
        <v>21</v>
      </c>
      <c r="O10" s="499"/>
      <c r="P10" s="693"/>
      <c r="Q10" s="693"/>
      <c r="R10" s="651">
        <f t="shared" si="3"/>
        <v>0</v>
      </c>
      <c r="S10" s="1036">
        <f t="shared" si="4"/>
        <v>74882714</v>
      </c>
      <c r="T10" s="461"/>
      <c r="U10" s="461"/>
      <c r="V10" s="461"/>
      <c r="W10" s="461"/>
      <c r="X10" s="461"/>
      <c r="Y10" s="461"/>
      <c r="Z10" s="461"/>
      <c r="AA10" s="461"/>
      <c r="AB10" s="525"/>
      <c r="AC10" s="489"/>
    </row>
    <row r="11" spans="1:29" ht="11.25" customHeight="1">
      <c r="A11" s="492">
        <v>51031020</v>
      </c>
      <c r="B11" s="507" t="s">
        <v>1057</v>
      </c>
      <c r="C11" s="507" t="s">
        <v>1058</v>
      </c>
      <c r="D11" s="507"/>
      <c r="E11" s="508"/>
      <c r="F11" s="509">
        <f t="shared" ref="F11:F12" si="5">ROUND(E11*$F$3,0)</f>
        <v>0</v>
      </c>
      <c r="G11" s="510">
        <f>G13/G12</f>
        <v>1433.2037715239408</v>
      </c>
      <c r="H11" s="507" t="s">
        <v>1057</v>
      </c>
      <c r="I11" s="507" t="s">
        <v>1279</v>
      </c>
      <c r="J11" s="511"/>
      <c r="K11" s="855"/>
      <c r="L11" s="854">
        <f t="shared" ref="L11:L12" si="6">ROUND(K11*$L$3,0)</f>
        <v>0</v>
      </c>
      <c r="M11" s="889">
        <f t="shared" si="2"/>
        <v>0</v>
      </c>
      <c r="N11" s="507" t="s">
        <v>1057</v>
      </c>
      <c r="O11" s="507" t="s">
        <v>1279</v>
      </c>
      <c r="P11" s="511"/>
      <c r="Q11" s="855">
        <v>36</v>
      </c>
      <c r="R11" s="854">
        <f>ROUND(Q11*$R$3,0)</f>
        <v>51635</v>
      </c>
      <c r="S11" s="1036">
        <f t="shared" si="4"/>
        <v>51635</v>
      </c>
      <c r="T11" s="461"/>
      <c r="U11" s="461"/>
      <c r="V11" s="461"/>
      <c r="W11" s="461"/>
      <c r="X11" s="461"/>
      <c r="Y11" s="461"/>
      <c r="Z11" s="461"/>
      <c r="AA11" s="461"/>
      <c r="AB11" s="525"/>
      <c r="AC11" s="489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926"/>
      <c r="E12" s="500"/>
      <c r="F12" s="497">
        <f t="shared" si="5"/>
        <v>0</v>
      </c>
      <c r="G12" s="512">
        <f>E13+Q13+AB13</f>
        <v>10821.09</v>
      </c>
      <c r="H12" s="499" t="s">
        <v>1059</v>
      </c>
      <c r="I12" s="499" t="s">
        <v>1060</v>
      </c>
      <c r="J12" s="495"/>
      <c r="K12" s="500"/>
      <c r="L12" s="651">
        <f t="shared" si="6"/>
        <v>0</v>
      </c>
      <c r="M12" s="889">
        <f t="shared" si="2"/>
        <v>0</v>
      </c>
      <c r="N12" s="499" t="s">
        <v>1059</v>
      </c>
      <c r="O12" s="499" t="s">
        <v>1060</v>
      </c>
      <c r="P12" s="495"/>
      <c r="Q12" s="500"/>
      <c r="R12" s="651">
        <f t="shared" ref="R12" si="7">ROUND(Q12*$R$3,0)</f>
        <v>0</v>
      </c>
      <c r="S12" s="1036">
        <f t="shared" si="4"/>
        <v>0</v>
      </c>
      <c r="T12" s="461"/>
      <c r="U12" s="461"/>
      <c r="V12" s="461"/>
      <c r="W12" s="461"/>
      <c r="X12" s="461"/>
      <c r="Y12" s="461"/>
      <c r="Z12" s="461"/>
      <c r="AA12" s="461"/>
      <c r="AB12" s="525"/>
      <c r="AC12" s="489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78339.669999999984</v>
      </c>
      <c r="E13" s="515">
        <f>SUM(E5:E11)-E12</f>
        <v>10785.09</v>
      </c>
      <c r="F13" s="870">
        <f>SUM(F5:F11)-F12</f>
        <v>15457192</v>
      </c>
      <c r="G13" s="518">
        <f>F13+R13+AC13</f>
        <v>15508827</v>
      </c>
      <c r="H13" s="868" t="s">
        <v>22</v>
      </c>
      <c r="I13" s="869"/>
      <c r="J13" s="515">
        <f>SUM(J5:J11)-J12</f>
        <v>396067.89999999997</v>
      </c>
      <c r="K13" s="515">
        <f>SUM(K5:K11)-K12</f>
        <v>54165.29</v>
      </c>
      <c r="L13" s="870">
        <f>SUM(L5:L11)-L12</f>
        <v>78983826</v>
      </c>
      <c r="M13" s="889">
        <f t="shared" si="2"/>
        <v>94441018</v>
      </c>
      <c r="N13" s="868" t="s">
        <v>22</v>
      </c>
      <c r="O13" s="869"/>
      <c r="P13" s="515">
        <f>SUM(P5:P11)-P12</f>
        <v>0</v>
      </c>
      <c r="Q13" s="515">
        <f>SUM(Q5:Q11)-Q12</f>
        <v>36</v>
      </c>
      <c r="R13" s="870">
        <f>SUM(R5:R11)-R12</f>
        <v>51635</v>
      </c>
      <c r="S13" s="1036">
        <f t="shared" si="4"/>
        <v>94492653</v>
      </c>
      <c r="U13" s="850"/>
      <c r="X13" s="844">
        <f>F13+R13</f>
        <v>15508827</v>
      </c>
      <c r="Y13" s="876"/>
      <c r="Z13" s="890"/>
      <c r="AB13" s="526"/>
    </row>
    <row r="14" spans="1:29" ht="14.25" customHeight="1">
      <c r="A14" s="989"/>
      <c r="C14" s="520"/>
      <c r="D14" s="739">
        <f t="shared" ref="D14:E14" si="8">SUM(D7:D10)</f>
        <v>76739.669999999984</v>
      </c>
      <c r="E14" s="739">
        <f t="shared" si="8"/>
        <v>10564.82</v>
      </c>
      <c r="F14" s="739">
        <f>SUM(F7:F10)</f>
        <v>15141501</v>
      </c>
      <c r="G14" s="524"/>
      <c r="J14" s="929">
        <f>J13+D13+P13</f>
        <v>474407.56999999995</v>
      </c>
      <c r="K14" s="929">
        <f>K13+E13+Q13</f>
        <v>64986.380000000005</v>
      </c>
      <c r="L14" s="904">
        <f>L13+F13+R13</f>
        <v>94492653</v>
      </c>
      <c r="M14" s="865" t="e">
        <f>M16-E12</f>
        <v>#REF!</v>
      </c>
      <c r="O14" s="525"/>
      <c r="P14" s="844">
        <f>P13+D13+J13</f>
        <v>474407.56999999995</v>
      </c>
      <c r="Q14" s="844">
        <f>Q13+E13+K13</f>
        <v>64986.380000000005</v>
      </c>
      <c r="R14" s="845">
        <f>R13+F13+L13</f>
        <v>94492653</v>
      </c>
      <c r="X14" s="525"/>
      <c r="Y14" s="525"/>
      <c r="AB14" s="525"/>
      <c r="AC14" s="489"/>
    </row>
    <row r="15" spans="1:29" ht="14.25" customHeight="1">
      <c r="A15" s="989"/>
      <c r="C15" s="520"/>
      <c r="D15" s="739"/>
      <c r="E15" s="739"/>
      <c r="F15" s="739"/>
      <c r="G15" s="524"/>
      <c r="K15" s="865" t="e">
        <f>K16-H85</f>
        <v>#REF!</v>
      </c>
      <c r="L15" s="865"/>
      <c r="M15" s="865" t="e">
        <f>M16-J85</f>
        <v>#REF!</v>
      </c>
      <c r="O15" s="525"/>
      <c r="P15" s="844"/>
      <c r="Q15" s="844"/>
      <c r="R15" s="845"/>
      <c r="X15" s="525"/>
      <c r="Y15" s="525"/>
      <c r="AB15" s="525"/>
      <c r="AC15" s="489"/>
    </row>
    <row r="16" spans="1:29" ht="18.75" customHeight="1" thickBot="1">
      <c r="A16" s="989"/>
      <c r="C16" s="520"/>
      <c r="D16" s="520"/>
      <c r="E16" s="523"/>
      <c r="F16" s="523"/>
      <c r="G16" s="524"/>
      <c r="I16" s="525"/>
      <c r="J16" s="526"/>
      <c r="K16" s="1008" t="e">
        <f>SUBTOTAL(9,K19:K103)</f>
        <v>#REF!</v>
      </c>
      <c r="L16" s="1009"/>
      <c r="M16" s="1008" t="e">
        <f>SUBTOTAL(9,M19:M103)</f>
        <v>#REF!</v>
      </c>
      <c r="N16" s="525"/>
      <c r="Q16" s="525"/>
    </row>
    <row r="17" spans="1:29" ht="11.25" customHeight="1">
      <c r="A17" s="989"/>
      <c r="B17" s="527" t="s">
        <v>24</v>
      </c>
      <c r="C17" s="528" t="s">
        <v>25</v>
      </c>
      <c r="D17" s="528" t="s">
        <v>1061</v>
      </c>
      <c r="E17" s="530" t="s">
        <v>26</v>
      </c>
      <c r="F17" s="531" t="s">
        <v>1</v>
      </c>
      <c r="G17" s="532" t="s">
        <v>2</v>
      </c>
      <c r="H17" s="2072" t="s">
        <v>29</v>
      </c>
      <c r="I17" s="2073"/>
      <c r="J17" s="2073"/>
      <c r="K17" s="2072" t="s">
        <v>30</v>
      </c>
      <c r="L17" s="2073"/>
      <c r="M17" s="2074"/>
      <c r="N17" s="2075" t="s">
        <v>31</v>
      </c>
      <c r="O17" s="2076"/>
      <c r="P17" s="2077"/>
      <c r="Q17" s="2077"/>
      <c r="R17" s="533" t="s">
        <v>1062</v>
      </c>
    </row>
    <row r="18" spans="1:29" ht="11.25" customHeight="1">
      <c r="A18" s="989"/>
      <c r="B18" s="534" t="s">
        <v>1063</v>
      </c>
      <c r="C18" s="535" t="s">
        <v>1064</v>
      </c>
      <c r="D18" s="535" t="s">
        <v>1065</v>
      </c>
      <c r="E18" s="537" t="s">
        <v>1066</v>
      </c>
      <c r="F18" s="538" t="s">
        <v>1067</v>
      </c>
      <c r="G18" s="539" t="s">
        <v>1068</v>
      </c>
      <c r="H18" s="540" t="s">
        <v>1069</v>
      </c>
      <c r="I18" s="540" t="s">
        <v>1070</v>
      </c>
      <c r="J18" s="541" t="s">
        <v>34</v>
      </c>
      <c r="K18" s="541" t="s">
        <v>1069</v>
      </c>
      <c r="L18" s="540" t="s">
        <v>1070</v>
      </c>
      <c r="M18" s="606" t="s">
        <v>34</v>
      </c>
      <c r="N18" s="609" t="s">
        <v>1069</v>
      </c>
      <c r="O18" s="610" t="s">
        <v>34</v>
      </c>
      <c r="P18" s="2081" t="s">
        <v>32</v>
      </c>
      <c r="Q18" s="2081"/>
      <c r="R18" s="905" t="s">
        <v>1062</v>
      </c>
    </row>
    <row r="19" spans="1:29" ht="11.25" customHeight="1">
      <c r="B19" s="952">
        <v>45657</v>
      </c>
      <c r="C19" s="953"/>
      <c r="D19" s="953"/>
      <c r="E19" s="954"/>
      <c r="F19" s="955"/>
      <c r="G19" s="956"/>
      <c r="H19" s="957"/>
      <c r="I19" s="953"/>
      <c r="J19" s="956"/>
      <c r="K19" s="958"/>
      <c r="L19" s="959"/>
      <c r="M19" s="960"/>
      <c r="N19" s="961">
        <v>78313.100000000137</v>
      </c>
      <c r="O19" s="961">
        <v>10785.092378179794</v>
      </c>
      <c r="P19" s="962"/>
      <c r="Q19" s="954"/>
      <c r="R19" s="963"/>
      <c r="S19" s="846">
        <v>10785.091315926813</v>
      </c>
    </row>
    <row r="20" spans="1:29" s="1001" customFormat="1" ht="12" customHeight="1">
      <c r="A20" s="544"/>
      <c r="B20" s="568">
        <v>45667</v>
      </c>
      <c r="C20" s="916" t="s">
        <v>1399</v>
      </c>
      <c r="D20" s="984"/>
      <c r="E20" s="985">
        <v>1</v>
      </c>
      <c r="F20" s="985" t="s">
        <v>107</v>
      </c>
      <c r="G20" s="569"/>
      <c r="H20" s="986"/>
      <c r="I20" s="968"/>
      <c r="J20" s="986"/>
      <c r="K20" s="918">
        <v>42812.63</v>
      </c>
      <c r="L20" s="542" t="e">
        <f>'통장내역(환율표)'!#REF!</f>
        <v>#REF!</v>
      </c>
      <c r="M20" s="909" t="e">
        <f>K20/L20</f>
        <v>#REF!</v>
      </c>
      <c r="N20" s="928">
        <f t="shared" ref="N20:N51" si="9">N19+H20-K20</f>
        <v>35500.470000000139</v>
      </c>
      <c r="O20" s="928" t="e">
        <f t="shared" ref="O20:O51" si="10">O19+J20-M20</f>
        <v>#REF!</v>
      </c>
      <c r="P20" s="911" t="s">
        <v>1382</v>
      </c>
      <c r="Q20" s="641"/>
      <c r="R20" s="641"/>
      <c r="S20" s="883" t="e">
        <f>S19-M20</f>
        <v>#REF!</v>
      </c>
      <c r="T20" s="1000"/>
      <c r="V20" s="1000"/>
      <c r="W20" s="1000"/>
      <c r="X20" s="1000"/>
      <c r="Y20" s="1000"/>
      <c r="Z20" s="1000"/>
      <c r="AA20" s="1000"/>
      <c r="AB20" s="1000"/>
      <c r="AC20" s="1000"/>
    </row>
    <row r="21" spans="1:29" s="1001" customFormat="1" ht="12" customHeight="1">
      <c r="A21" s="544"/>
      <c r="B21" s="1014">
        <v>45670</v>
      </c>
      <c r="C21" s="1015" t="s">
        <v>823</v>
      </c>
      <c r="D21" s="1016"/>
      <c r="E21" s="1017">
        <v>2</v>
      </c>
      <c r="F21" s="1017"/>
      <c r="G21" s="1018"/>
      <c r="H21" s="1019">
        <v>473948.32</v>
      </c>
      <c r="I21" s="1020"/>
      <c r="J21" s="1019">
        <v>64806</v>
      </c>
      <c r="K21" s="1021"/>
      <c r="L21" s="1022"/>
      <c r="M21" s="981"/>
      <c r="N21" s="981">
        <f t="shared" si="9"/>
        <v>509448.79000000015</v>
      </c>
      <c r="O21" s="981" t="e">
        <f t="shared" si="10"/>
        <v>#REF!</v>
      </c>
      <c r="P21" s="1023"/>
      <c r="Q21" s="1024"/>
      <c r="R21" s="1024"/>
      <c r="S21" s="883"/>
      <c r="T21" s="1000"/>
      <c r="V21" s="1000"/>
      <c r="W21" s="1000"/>
      <c r="X21" s="1000"/>
      <c r="Y21" s="1000"/>
      <c r="Z21" s="1000"/>
      <c r="AA21" s="1000"/>
      <c r="AB21" s="1000"/>
      <c r="AC21" s="1000"/>
    </row>
    <row r="22" spans="1:29" s="1001" customFormat="1" ht="12" customHeight="1">
      <c r="A22" s="544"/>
      <c r="B22" s="1014">
        <v>45670</v>
      </c>
      <c r="C22" s="1015" t="s">
        <v>250</v>
      </c>
      <c r="D22" s="1016"/>
      <c r="E22" s="1017">
        <v>2</v>
      </c>
      <c r="F22" s="1025" t="s">
        <v>107</v>
      </c>
      <c r="G22" s="1018"/>
      <c r="H22" s="1019"/>
      <c r="I22" s="1020"/>
      <c r="J22" s="1019"/>
      <c r="K22" s="1021"/>
      <c r="L22" s="1022"/>
      <c r="M22" s="981">
        <v>51</v>
      </c>
      <c r="N22" s="981">
        <f t="shared" si="9"/>
        <v>509448.79000000015</v>
      </c>
      <c r="O22" s="981" t="e">
        <f t="shared" si="10"/>
        <v>#REF!</v>
      </c>
      <c r="P22" s="1023"/>
      <c r="Q22" s="1024"/>
      <c r="R22" s="1024"/>
      <c r="S22" s="883"/>
      <c r="T22" s="1000"/>
      <c r="V22" s="1000"/>
      <c r="W22" s="1000"/>
      <c r="X22" s="1000"/>
      <c r="Y22" s="1000"/>
      <c r="Z22" s="1000"/>
      <c r="AA22" s="1000"/>
      <c r="AB22" s="1000"/>
      <c r="AC22" s="1000"/>
    </row>
    <row r="23" spans="1:29" s="489" customFormat="1" ht="11.25" customHeight="1">
      <c r="A23" s="544"/>
      <c r="B23" s="568">
        <v>45672</v>
      </c>
      <c r="C23" s="916" t="s">
        <v>1400</v>
      </c>
      <c r="D23" s="984"/>
      <c r="E23" s="987">
        <v>3</v>
      </c>
      <c r="F23" s="985" t="s">
        <v>107</v>
      </c>
      <c r="G23" s="569"/>
      <c r="H23" s="986"/>
      <c r="I23" s="968"/>
      <c r="J23" s="986"/>
      <c r="K23" s="918">
        <v>140</v>
      </c>
      <c r="L23" s="542" t="e">
        <f>'통장내역(환율표)'!#REF!</f>
        <v>#REF!</v>
      </c>
      <c r="M23" s="909" t="e">
        <f t="shared" ref="M23:M29" si="11">K23/L23</f>
        <v>#REF!</v>
      </c>
      <c r="N23" s="928">
        <f t="shared" si="9"/>
        <v>509308.79000000015</v>
      </c>
      <c r="O23" s="928" t="e">
        <f t="shared" si="10"/>
        <v>#REF!</v>
      </c>
      <c r="P23" s="911" t="s">
        <v>1382</v>
      </c>
      <c r="Q23" s="641"/>
      <c r="R23" s="641"/>
      <c r="S23" s="883" t="e">
        <f>S20-M23</f>
        <v>#REF!</v>
      </c>
      <c r="T23" s="1000"/>
      <c r="U23" s="1001"/>
      <c r="V23" s="1000"/>
      <c r="W23" s="1000"/>
      <c r="X23" s="1000"/>
      <c r="Y23" s="1000"/>
      <c r="Z23" s="1000"/>
      <c r="AA23" s="1000"/>
      <c r="AB23" s="1000"/>
      <c r="AC23" s="1000"/>
    </row>
    <row r="24" spans="1:29" s="489" customFormat="1" ht="11.25" customHeight="1">
      <c r="A24" s="544"/>
      <c r="B24" s="568">
        <v>45672</v>
      </c>
      <c r="C24" s="916" t="s">
        <v>1352</v>
      </c>
      <c r="D24" s="984"/>
      <c r="E24" s="987">
        <v>4</v>
      </c>
      <c r="F24" s="985" t="s">
        <v>105</v>
      </c>
      <c r="G24" s="569" t="s">
        <v>76</v>
      </c>
      <c r="H24" s="986"/>
      <c r="I24" s="968"/>
      <c r="J24" s="986"/>
      <c r="K24" s="918">
        <v>24455</v>
      </c>
      <c r="L24" s="542" t="e">
        <f>'통장내역(환율표)'!#REF!</f>
        <v>#REF!</v>
      </c>
      <c r="M24" s="909" t="e">
        <f t="shared" si="11"/>
        <v>#REF!</v>
      </c>
      <c r="N24" s="928">
        <f t="shared" si="9"/>
        <v>484853.79000000015</v>
      </c>
      <c r="O24" s="928" t="e">
        <f t="shared" si="10"/>
        <v>#REF!</v>
      </c>
      <c r="P24" s="911" t="s">
        <v>1382</v>
      </c>
      <c r="Q24" s="641"/>
      <c r="R24" s="641"/>
      <c r="S24" s="883" t="e">
        <f t="shared" ref="S24:S30" si="12">S23-M24</f>
        <v>#REF!</v>
      </c>
      <c r="T24" s="1000"/>
      <c r="U24" s="1001"/>
      <c r="V24" s="1000"/>
      <c r="W24" s="1000"/>
      <c r="X24" s="1000"/>
      <c r="Y24" s="1000"/>
      <c r="Z24" s="1000"/>
      <c r="AA24" s="1000"/>
      <c r="AB24" s="1000"/>
      <c r="AC24" s="1000"/>
    </row>
    <row r="25" spans="1:29" s="489" customFormat="1" ht="11.25" customHeight="1">
      <c r="A25" s="544"/>
      <c r="B25" s="568">
        <v>45672</v>
      </c>
      <c r="C25" s="916" t="s">
        <v>250</v>
      </c>
      <c r="D25" s="984"/>
      <c r="E25" s="987">
        <v>5</v>
      </c>
      <c r="F25" s="985" t="s">
        <v>107</v>
      </c>
      <c r="G25" s="569"/>
      <c r="H25" s="923"/>
      <c r="I25" s="988"/>
      <c r="J25" s="988"/>
      <c r="K25" s="918">
        <v>7.2</v>
      </c>
      <c r="L25" s="542" t="e">
        <f>'통장내역(환율표)'!#REF!</f>
        <v>#REF!</v>
      </c>
      <c r="M25" s="909" t="e">
        <f t="shared" si="11"/>
        <v>#REF!</v>
      </c>
      <c r="N25" s="928">
        <f t="shared" si="9"/>
        <v>484846.59000000014</v>
      </c>
      <c r="O25" s="928" t="e">
        <f t="shared" si="10"/>
        <v>#REF!</v>
      </c>
      <c r="P25" s="911" t="s">
        <v>1382</v>
      </c>
      <c r="Q25" s="641"/>
      <c r="R25" s="641"/>
      <c r="S25" s="883" t="e">
        <f t="shared" si="12"/>
        <v>#REF!</v>
      </c>
      <c r="T25" s="1000"/>
      <c r="U25" s="1001"/>
      <c r="V25" s="1000"/>
      <c r="W25" s="1000"/>
      <c r="X25" s="1000"/>
      <c r="Y25" s="1000"/>
      <c r="Z25" s="1000"/>
      <c r="AA25" s="1000"/>
      <c r="AB25" s="1000"/>
      <c r="AC25" s="1000"/>
    </row>
    <row r="26" spans="1:29" s="489" customFormat="1" ht="11.25" customHeight="1">
      <c r="A26" s="544"/>
      <c r="B26" s="568">
        <v>45672</v>
      </c>
      <c r="C26" s="916" t="s">
        <v>1276</v>
      </c>
      <c r="D26" s="984"/>
      <c r="E26" s="987">
        <v>6</v>
      </c>
      <c r="F26" s="987" t="s">
        <v>146</v>
      </c>
      <c r="G26" s="569" t="s">
        <v>147</v>
      </c>
      <c r="H26" s="923"/>
      <c r="I26" s="922"/>
      <c r="J26" s="922"/>
      <c r="K26" s="918">
        <v>1600</v>
      </c>
      <c r="L26" s="542" t="e">
        <f>'통장내역(환율표)'!#REF!</f>
        <v>#REF!</v>
      </c>
      <c r="M26" s="909" t="e">
        <f t="shared" si="11"/>
        <v>#REF!</v>
      </c>
      <c r="N26" s="928">
        <f t="shared" si="9"/>
        <v>483246.59000000014</v>
      </c>
      <c r="O26" s="928" t="e">
        <f t="shared" si="10"/>
        <v>#REF!</v>
      </c>
      <c r="P26" s="911" t="s">
        <v>1382</v>
      </c>
      <c r="Q26" s="641"/>
      <c r="R26" s="641"/>
      <c r="S26" s="883" t="e">
        <f t="shared" si="12"/>
        <v>#REF!</v>
      </c>
      <c r="T26" s="1000"/>
      <c r="U26" s="1001"/>
      <c r="V26" s="1000"/>
      <c r="W26" s="1000"/>
      <c r="X26" s="1000"/>
      <c r="Y26" s="1000"/>
      <c r="Z26" s="1000"/>
      <c r="AA26" s="1000"/>
      <c r="AB26" s="1000"/>
      <c r="AC26" s="1000"/>
    </row>
    <row r="27" spans="1:29" s="489" customFormat="1" ht="11.25" customHeight="1">
      <c r="A27" s="544"/>
      <c r="B27" s="568">
        <v>45672</v>
      </c>
      <c r="C27" s="916" t="s">
        <v>250</v>
      </c>
      <c r="D27" s="984"/>
      <c r="E27" s="987">
        <v>7</v>
      </c>
      <c r="F27" s="987" t="s">
        <v>107</v>
      </c>
      <c r="G27" s="569"/>
      <c r="H27" s="923"/>
      <c r="I27" s="922"/>
      <c r="J27" s="922"/>
      <c r="K27" s="918">
        <v>3.6</v>
      </c>
      <c r="L27" s="542" t="e">
        <f>'통장내역(환율표)'!#REF!</f>
        <v>#REF!</v>
      </c>
      <c r="M27" s="909" t="e">
        <f t="shared" si="11"/>
        <v>#REF!</v>
      </c>
      <c r="N27" s="928">
        <f t="shared" si="9"/>
        <v>483242.99000000017</v>
      </c>
      <c r="O27" s="928" t="e">
        <f t="shared" si="10"/>
        <v>#REF!</v>
      </c>
      <c r="P27" s="911" t="s">
        <v>1382</v>
      </c>
      <c r="Q27" s="641"/>
      <c r="R27" s="641"/>
      <c r="S27" s="883" t="e">
        <f t="shared" si="12"/>
        <v>#REF!</v>
      </c>
      <c r="T27" s="1000"/>
      <c r="U27" s="1001"/>
      <c r="V27" s="1000"/>
      <c r="W27" s="1000"/>
      <c r="X27" s="1000"/>
      <c r="Y27" s="1000"/>
      <c r="Z27" s="1000"/>
      <c r="AA27" s="1000"/>
      <c r="AB27" s="1000"/>
      <c r="AC27" s="1000"/>
    </row>
    <row r="28" spans="1:29" s="489" customFormat="1" ht="11.25" customHeight="1">
      <c r="A28" s="544"/>
      <c r="B28" s="568">
        <v>45674</v>
      </c>
      <c r="C28" s="916" t="s">
        <v>242</v>
      </c>
      <c r="D28" s="984"/>
      <c r="E28" s="987">
        <v>8</v>
      </c>
      <c r="F28" s="987" t="s">
        <v>107</v>
      </c>
      <c r="G28" s="569"/>
      <c r="H28" s="923"/>
      <c r="I28" s="922"/>
      <c r="J28" s="922"/>
      <c r="K28" s="918">
        <v>1010</v>
      </c>
      <c r="L28" s="542" t="e">
        <f>'통장내역(환율표)'!#REF!</f>
        <v>#REF!</v>
      </c>
      <c r="M28" s="909" t="e">
        <f t="shared" si="11"/>
        <v>#REF!</v>
      </c>
      <c r="N28" s="928">
        <f t="shared" si="9"/>
        <v>482232.99000000017</v>
      </c>
      <c r="O28" s="928" t="e">
        <f t="shared" si="10"/>
        <v>#REF!</v>
      </c>
      <c r="P28" s="911" t="s">
        <v>1382</v>
      </c>
      <c r="Q28" s="641"/>
      <c r="R28" s="641"/>
      <c r="S28" s="883" t="e">
        <f t="shared" si="12"/>
        <v>#REF!</v>
      </c>
      <c r="T28" s="1000"/>
      <c r="U28" s="1001"/>
      <c r="V28" s="1000"/>
      <c r="W28" s="1000"/>
      <c r="X28" s="1000"/>
      <c r="Y28" s="1000"/>
      <c r="Z28" s="1000"/>
      <c r="AA28" s="1000"/>
      <c r="AB28" s="1000"/>
      <c r="AC28" s="1000"/>
    </row>
    <row r="29" spans="1:29" s="489" customFormat="1" ht="11.25" customHeight="1">
      <c r="A29" s="544"/>
      <c r="B29" s="568">
        <v>45674</v>
      </c>
      <c r="C29" s="916" t="s">
        <v>250</v>
      </c>
      <c r="D29" s="984"/>
      <c r="E29" s="987">
        <v>9</v>
      </c>
      <c r="F29" s="987" t="s">
        <v>107</v>
      </c>
      <c r="G29" s="569"/>
      <c r="H29" s="923"/>
      <c r="I29" s="922"/>
      <c r="J29" s="922"/>
      <c r="K29" s="918">
        <v>3.6</v>
      </c>
      <c r="L29" s="542" t="e">
        <f>'통장내역(환율표)'!#REF!</f>
        <v>#REF!</v>
      </c>
      <c r="M29" s="909" t="e">
        <f t="shared" si="11"/>
        <v>#REF!</v>
      </c>
      <c r="N29" s="928">
        <f t="shared" si="9"/>
        <v>482229.39000000019</v>
      </c>
      <c r="O29" s="928" t="e">
        <f t="shared" si="10"/>
        <v>#REF!</v>
      </c>
      <c r="P29" s="911" t="s">
        <v>1382</v>
      </c>
      <c r="Q29" s="641"/>
      <c r="R29" s="641"/>
      <c r="S29" s="883" t="e">
        <f t="shared" si="12"/>
        <v>#REF!</v>
      </c>
      <c r="T29" s="1000"/>
      <c r="U29" s="1001"/>
      <c r="V29" s="1000"/>
      <c r="W29" s="1000"/>
      <c r="X29" s="1000"/>
      <c r="Y29" s="1000"/>
      <c r="Z29" s="1000"/>
      <c r="AA29" s="1000"/>
      <c r="AB29" s="1000"/>
      <c r="AC29" s="1000"/>
    </row>
    <row r="30" spans="1:29" s="489" customFormat="1" ht="11.25" customHeight="1">
      <c r="A30" s="544"/>
      <c r="B30" s="744">
        <v>45674</v>
      </c>
      <c r="C30" s="933" t="s">
        <v>305</v>
      </c>
      <c r="D30" s="1010"/>
      <c r="E30" s="1011">
        <v>10</v>
      </c>
      <c r="F30" s="1011" t="s">
        <v>105</v>
      </c>
      <c r="G30" s="747" t="s">
        <v>227</v>
      </c>
      <c r="H30" s="1012"/>
      <c r="I30" s="1013"/>
      <c r="J30" s="1013"/>
      <c r="K30" s="938" t="e">
        <f>L30*M30</f>
        <v>#REF!</v>
      </c>
      <c r="L30" s="751" t="e">
        <f>'통장내역(환율표)'!#REF!</f>
        <v>#REF!</v>
      </c>
      <c r="M30" s="909">
        <v>1143.7198472595492</v>
      </c>
      <c r="N30" s="939" t="e">
        <f t="shared" si="9"/>
        <v>#REF!</v>
      </c>
      <c r="O30" s="939" t="e">
        <f t="shared" si="10"/>
        <v>#REF!</v>
      </c>
      <c r="P30" s="940" t="s">
        <v>1382</v>
      </c>
      <c r="Q30" s="941"/>
      <c r="R30" s="941"/>
      <c r="S30" s="883" t="e">
        <f t="shared" si="12"/>
        <v>#REF!</v>
      </c>
      <c r="T30" s="1000"/>
      <c r="U30" s="1001"/>
      <c r="V30" s="1000"/>
      <c r="W30" s="1000"/>
      <c r="X30" s="1000"/>
      <c r="Y30" s="1000"/>
      <c r="Z30" s="1000"/>
      <c r="AA30" s="1000"/>
      <c r="AB30" s="1000"/>
      <c r="AC30" s="1000"/>
    </row>
    <row r="31" spans="1:29" s="489" customFormat="1" ht="11.25" customHeight="1">
      <c r="A31" s="544"/>
      <c r="B31" s="744">
        <v>45674</v>
      </c>
      <c r="C31" s="933" t="s">
        <v>305</v>
      </c>
      <c r="D31" s="1010"/>
      <c r="E31" s="1011">
        <v>10</v>
      </c>
      <c r="F31" s="1011" t="s">
        <v>105</v>
      </c>
      <c r="G31" s="747" t="s">
        <v>227</v>
      </c>
      <c r="H31" s="1012"/>
      <c r="I31" s="1013"/>
      <c r="J31" s="1013"/>
      <c r="K31" s="938" t="e">
        <f>10500-K30</f>
        <v>#REF!</v>
      </c>
      <c r="L31" s="751" t="e">
        <f>'통장내역(환율표)'!#REF!</f>
        <v>#REF!</v>
      </c>
      <c r="M31" s="981" t="e">
        <f t="shared" ref="M31:M62" si="13">K31/L31</f>
        <v>#REF!</v>
      </c>
      <c r="N31" s="939" t="e">
        <f t="shared" si="9"/>
        <v>#REF!</v>
      </c>
      <c r="O31" s="939" t="e">
        <f t="shared" si="10"/>
        <v>#REF!</v>
      </c>
      <c r="P31" s="940" t="s">
        <v>1120</v>
      </c>
      <c r="Q31" s="941"/>
      <c r="R31" s="941"/>
      <c r="S31" s="883" t="e">
        <f>64755-M31</f>
        <v>#REF!</v>
      </c>
      <c r="T31" s="1000"/>
      <c r="U31" s="1001"/>
      <c r="V31" s="1000"/>
      <c r="W31" s="1000"/>
      <c r="X31" s="1000"/>
      <c r="Y31" s="1000"/>
      <c r="Z31" s="1000"/>
      <c r="AA31" s="1000"/>
      <c r="AB31" s="1000"/>
      <c r="AC31" s="1000"/>
    </row>
    <row r="32" spans="1:29" s="489" customFormat="1" ht="11.25" customHeight="1">
      <c r="A32" s="544"/>
      <c r="B32" s="568">
        <v>45674</v>
      </c>
      <c r="C32" s="916" t="s">
        <v>1107</v>
      </c>
      <c r="D32" s="984"/>
      <c r="E32" s="987">
        <v>10</v>
      </c>
      <c r="F32" s="987" t="s">
        <v>107</v>
      </c>
      <c r="G32" s="569"/>
      <c r="H32" s="923"/>
      <c r="I32" s="922"/>
      <c r="J32" s="922"/>
      <c r="K32" s="918">
        <v>6000</v>
      </c>
      <c r="L32" s="542" t="e">
        <f>'통장내역(환율표)'!#REF!</f>
        <v>#REF!</v>
      </c>
      <c r="M32" s="981" t="e">
        <f t="shared" si="13"/>
        <v>#REF!</v>
      </c>
      <c r="N32" s="928" t="e">
        <f t="shared" si="9"/>
        <v>#REF!</v>
      </c>
      <c r="O32" s="928" t="e">
        <f t="shared" si="10"/>
        <v>#REF!</v>
      </c>
      <c r="P32" s="911" t="s">
        <v>1120</v>
      </c>
      <c r="Q32" s="641"/>
      <c r="R32" s="641"/>
      <c r="S32" s="883" t="e">
        <f>S31-M32</f>
        <v>#REF!</v>
      </c>
      <c r="T32" s="1000"/>
      <c r="U32" s="1001"/>
      <c r="V32" s="1000"/>
      <c r="W32" s="1000"/>
      <c r="X32" s="1000"/>
      <c r="Y32" s="1000"/>
      <c r="Z32" s="1000"/>
      <c r="AA32" s="1000"/>
      <c r="AB32" s="1000"/>
      <c r="AC32" s="1000"/>
    </row>
    <row r="33" spans="1:29" s="489" customFormat="1" ht="11.25" customHeight="1">
      <c r="A33" s="544"/>
      <c r="B33" s="568">
        <v>45674</v>
      </c>
      <c r="C33" s="916" t="s">
        <v>1108</v>
      </c>
      <c r="D33" s="984"/>
      <c r="E33" s="987">
        <v>10</v>
      </c>
      <c r="F33" s="987" t="s">
        <v>107</v>
      </c>
      <c r="G33" s="569"/>
      <c r="H33" s="923"/>
      <c r="I33" s="922"/>
      <c r="J33" s="922"/>
      <c r="K33" s="918">
        <v>610</v>
      </c>
      <c r="L33" s="542" t="e">
        <f>'통장내역(환율표)'!#REF!</f>
        <v>#REF!</v>
      </c>
      <c r="M33" s="981" t="e">
        <f t="shared" si="13"/>
        <v>#REF!</v>
      </c>
      <c r="N33" s="928" t="e">
        <f t="shared" si="9"/>
        <v>#REF!</v>
      </c>
      <c r="O33" s="928" t="e">
        <f t="shared" si="10"/>
        <v>#REF!</v>
      </c>
      <c r="P33" s="911" t="s">
        <v>1120</v>
      </c>
      <c r="Q33" s="641"/>
      <c r="R33" s="641"/>
      <c r="S33" s="883" t="e">
        <f t="shared" ref="S33:S96" si="14">S32-M33</f>
        <v>#REF!</v>
      </c>
      <c r="T33" s="1000"/>
      <c r="U33" s="1001"/>
      <c r="V33" s="1000"/>
      <c r="W33" s="1000"/>
      <c r="X33" s="1000"/>
      <c r="Y33" s="1000"/>
      <c r="Z33" s="1000"/>
      <c r="AA33" s="1000"/>
      <c r="AB33" s="1000"/>
      <c r="AC33" s="1000"/>
    </row>
    <row r="34" spans="1:29" s="489" customFormat="1" ht="11.25" customHeight="1">
      <c r="A34" s="544"/>
      <c r="B34" s="568">
        <v>45674</v>
      </c>
      <c r="C34" s="916" t="s">
        <v>305</v>
      </c>
      <c r="D34" s="984"/>
      <c r="E34" s="987">
        <v>10</v>
      </c>
      <c r="F34" s="987" t="s">
        <v>105</v>
      </c>
      <c r="G34" s="569" t="s">
        <v>227</v>
      </c>
      <c r="H34" s="923"/>
      <c r="I34" s="922"/>
      <c r="J34" s="922"/>
      <c r="K34" s="918">
        <v>7000</v>
      </c>
      <c r="L34" s="542" t="e">
        <f>'통장내역(환율표)'!#REF!</f>
        <v>#REF!</v>
      </c>
      <c r="M34" s="981" t="e">
        <f t="shared" si="13"/>
        <v>#REF!</v>
      </c>
      <c r="N34" s="928" t="e">
        <f t="shared" si="9"/>
        <v>#REF!</v>
      </c>
      <c r="O34" s="928" t="e">
        <f t="shared" si="10"/>
        <v>#REF!</v>
      </c>
      <c r="P34" s="911" t="s">
        <v>1120</v>
      </c>
      <c r="Q34" s="641"/>
      <c r="R34" s="641"/>
      <c r="S34" s="883" t="e">
        <f t="shared" si="14"/>
        <v>#REF!</v>
      </c>
      <c r="T34" s="1000"/>
      <c r="U34" s="1001"/>
      <c r="V34" s="1000"/>
      <c r="W34" s="1000"/>
      <c r="X34" s="1000"/>
      <c r="Y34" s="1000"/>
      <c r="Z34" s="1000"/>
      <c r="AA34" s="1000"/>
      <c r="AB34" s="1000"/>
      <c r="AC34" s="1000"/>
    </row>
    <row r="35" spans="1:29" s="489" customFormat="1" ht="11.25" customHeight="1">
      <c r="A35" s="544"/>
      <c r="B35" s="568">
        <v>45674</v>
      </c>
      <c r="C35" s="916" t="s">
        <v>1107</v>
      </c>
      <c r="D35" s="984"/>
      <c r="E35" s="987">
        <v>10</v>
      </c>
      <c r="F35" s="987" t="s">
        <v>107</v>
      </c>
      <c r="G35" s="569"/>
      <c r="H35" s="923"/>
      <c r="I35" s="922"/>
      <c r="J35" s="922"/>
      <c r="K35" s="918">
        <v>6000</v>
      </c>
      <c r="L35" s="542" t="e">
        <f>'통장내역(환율표)'!#REF!</f>
        <v>#REF!</v>
      </c>
      <c r="M35" s="981" t="e">
        <f t="shared" si="13"/>
        <v>#REF!</v>
      </c>
      <c r="N35" s="928" t="e">
        <f t="shared" si="9"/>
        <v>#REF!</v>
      </c>
      <c r="O35" s="928" t="e">
        <f t="shared" si="10"/>
        <v>#REF!</v>
      </c>
      <c r="P35" s="911" t="s">
        <v>1120</v>
      </c>
      <c r="Q35" s="641"/>
      <c r="R35" s="641"/>
      <c r="S35" s="883" t="e">
        <f t="shared" si="14"/>
        <v>#REF!</v>
      </c>
      <c r="T35" s="1000"/>
      <c r="U35" s="1001"/>
      <c r="V35" s="1000"/>
      <c r="W35" s="1000"/>
      <c r="X35" s="1000"/>
      <c r="Y35" s="1000"/>
      <c r="Z35" s="1000"/>
      <c r="AA35" s="1000"/>
      <c r="AB35" s="1000"/>
      <c r="AC35" s="1000"/>
    </row>
    <row r="36" spans="1:29" s="489" customFormat="1" ht="11.25" customHeight="1">
      <c r="A36" s="544"/>
      <c r="B36" s="568">
        <v>45674</v>
      </c>
      <c r="C36" s="916" t="s">
        <v>1108</v>
      </c>
      <c r="D36" s="984"/>
      <c r="E36" s="987">
        <v>10</v>
      </c>
      <c r="F36" s="987" t="s">
        <v>107</v>
      </c>
      <c r="G36" s="569"/>
      <c r="H36" s="923"/>
      <c r="I36" s="922"/>
      <c r="J36" s="922"/>
      <c r="K36" s="918">
        <v>510</v>
      </c>
      <c r="L36" s="542" t="e">
        <f>'통장내역(환율표)'!#REF!</f>
        <v>#REF!</v>
      </c>
      <c r="M36" s="981" t="e">
        <f t="shared" si="13"/>
        <v>#REF!</v>
      </c>
      <c r="N36" s="928" t="e">
        <f t="shared" si="9"/>
        <v>#REF!</v>
      </c>
      <c r="O36" s="928" t="e">
        <f t="shared" si="10"/>
        <v>#REF!</v>
      </c>
      <c r="P36" s="911" t="s">
        <v>1120</v>
      </c>
      <c r="Q36" s="641"/>
      <c r="R36" s="641"/>
      <c r="S36" s="883" t="e">
        <f t="shared" si="14"/>
        <v>#REF!</v>
      </c>
      <c r="T36" s="1000"/>
      <c r="U36" s="1001"/>
      <c r="V36" s="1000"/>
      <c r="W36" s="1000"/>
      <c r="X36" s="1000"/>
      <c r="Y36" s="1000"/>
      <c r="Z36" s="1000"/>
      <c r="AA36" s="1000"/>
      <c r="AB36" s="1000"/>
      <c r="AC36" s="1000"/>
    </row>
    <row r="37" spans="1:29" s="489" customFormat="1" ht="11.25" customHeight="1">
      <c r="A37" s="544"/>
      <c r="B37" s="568">
        <v>45674</v>
      </c>
      <c r="C37" s="916" t="s">
        <v>250</v>
      </c>
      <c r="D37" s="984"/>
      <c r="E37" s="987">
        <v>11</v>
      </c>
      <c r="F37" s="987" t="s">
        <v>107</v>
      </c>
      <c r="G37" s="569"/>
      <c r="H37" s="923"/>
      <c r="I37" s="922"/>
      <c r="J37" s="922"/>
      <c r="K37" s="918">
        <v>7.2</v>
      </c>
      <c r="L37" s="542" t="e">
        <f>'통장내역(환율표)'!#REF!</f>
        <v>#REF!</v>
      </c>
      <c r="M37" s="981" t="e">
        <f t="shared" si="13"/>
        <v>#REF!</v>
      </c>
      <c r="N37" s="928" t="e">
        <f t="shared" si="9"/>
        <v>#REF!</v>
      </c>
      <c r="O37" s="928" t="e">
        <f t="shared" si="10"/>
        <v>#REF!</v>
      </c>
      <c r="P37" s="911" t="s">
        <v>1120</v>
      </c>
      <c r="Q37" s="641"/>
      <c r="R37" s="641"/>
      <c r="S37" s="883" t="e">
        <f t="shared" si="14"/>
        <v>#REF!</v>
      </c>
      <c r="T37" s="1000"/>
      <c r="U37" s="1001"/>
      <c r="V37" s="1000"/>
      <c r="W37" s="1000"/>
      <c r="X37" s="1000"/>
      <c r="Y37" s="1000"/>
      <c r="Z37" s="1000"/>
      <c r="AA37" s="1000"/>
      <c r="AB37" s="1000"/>
      <c r="AC37" s="1000"/>
    </row>
    <row r="38" spans="1:29" s="489" customFormat="1" ht="11.25" customHeight="1">
      <c r="A38" s="544"/>
      <c r="B38" s="568">
        <v>45674</v>
      </c>
      <c r="C38" s="916" t="s">
        <v>1388</v>
      </c>
      <c r="D38" s="984"/>
      <c r="E38" s="987">
        <v>12</v>
      </c>
      <c r="F38" s="987" t="s">
        <v>116</v>
      </c>
      <c r="G38" s="569" t="s">
        <v>140</v>
      </c>
      <c r="H38" s="923"/>
      <c r="I38" s="922"/>
      <c r="J38" s="922"/>
      <c r="K38" s="918">
        <v>417.84</v>
      </c>
      <c r="L38" s="542" t="e">
        <f>'통장내역(환율표)'!#REF!</f>
        <v>#REF!</v>
      </c>
      <c r="M38" s="981" t="e">
        <f t="shared" si="13"/>
        <v>#REF!</v>
      </c>
      <c r="N38" s="928" t="e">
        <f t="shared" si="9"/>
        <v>#REF!</v>
      </c>
      <c r="O38" s="928" t="e">
        <f t="shared" si="10"/>
        <v>#REF!</v>
      </c>
      <c r="P38" s="911" t="s">
        <v>1120</v>
      </c>
      <c r="Q38" s="641"/>
      <c r="R38" s="641" t="s">
        <v>188</v>
      </c>
      <c r="S38" s="883" t="e">
        <f t="shared" si="14"/>
        <v>#REF!</v>
      </c>
      <c r="T38" s="1000"/>
      <c r="U38" s="1001"/>
      <c r="V38" s="1000"/>
      <c r="W38" s="1000"/>
      <c r="X38" s="1000"/>
      <c r="Y38" s="1000"/>
      <c r="Z38" s="1000"/>
      <c r="AA38" s="1000"/>
      <c r="AB38" s="1000"/>
      <c r="AC38" s="1000"/>
    </row>
    <row r="39" spans="1:29" s="489" customFormat="1" ht="11.25" customHeight="1">
      <c r="A39" s="544"/>
      <c r="B39" s="568">
        <v>45674</v>
      </c>
      <c r="C39" s="916" t="s">
        <v>250</v>
      </c>
      <c r="D39" s="984"/>
      <c r="E39" s="987">
        <v>13</v>
      </c>
      <c r="F39" s="987" t="s">
        <v>107</v>
      </c>
      <c r="G39" s="569"/>
      <c r="H39" s="923"/>
      <c r="I39" s="922"/>
      <c r="J39" s="922"/>
      <c r="K39" s="918">
        <v>3.6</v>
      </c>
      <c r="L39" s="542" t="e">
        <f>'통장내역(환율표)'!#REF!</f>
        <v>#REF!</v>
      </c>
      <c r="M39" s="981" t="e">
        <f t="shared" si="13"/>
        <v>#REF!</v>
      </c>
      <c r="N39" s="928" t="e">
        <f t="shared" si="9"/>
        <v>#REF!</v>
      </c>
      <c r="O39" s="928" t="e">
        <f t="shared" si="10"/>
        <v>#REF!</v>
      </c>
      <c r="P39" s="911" t="s">
        <v>1120</v>
      </c>
      <c r="Q39" s="641"/>
      <c r="R39" s="641" t="s">
        <v>188</v>
      </c>
      <c r="S39" s="883" t="e">
        <f t="shared" si="14"/>
        <v>#REF!</v>
      </c>
      <c r="T39" s="1000"/>
      <c r="U39" s="1001"/>
      <c r="V39" s="1000"/>
      <c r="W39" s="1000"/>
      <c r="X39" s="1000"/>
      <c r="Y39" s="1000"/>
      <c r="Z39" s="1000"/>
      <c r="AA39" s="1000"/>
      <c r="AB39" s="1000"/>
      <c r="AC39" s="1000"/>
    </row>
    <row r="40" spans="1:29" s="489" customFormat="1" ht="11.25" customHeight="1">
      <c r="A40" s="544"/>
      <c r="B40" s="568">
        <v>45674</v>
      </c>
      <c r="C40" s="916" t="s">
        <v>1403</v>
      </c>
      <c r="D40" s="984"/>
      <c r="E40" s="987">
        <v>14</v>
      </c>
      <c r="F40" s="987" t="s">
        <v>146</v>
      </c>
      <c r="G40" s="569" t="s">
        <v>147</v>
      </c>
      <c r="H40" s="923"/>
      <c r="I40" s="922"/>
      <c r="J40" s="922"/>
      <c r="K40" s="918">
        <v>2579.69</v>
      </c>
      <c r="L40" s="542" t="e">
        <f>'통장내역(환율표)'!#REF!</f>
        <v>#REF!</v>
      </c>
      <c r="M40" s="981" t="e">
        <f t="shared" si="13"/>
        <v>#REF!</v>
      </c>
      <c r="N40" s="928" t="e">
        <f t="shared" si="9"/>
        <v>#REF!</v>
      </c>
      <c r="O40" s="928" t="e">
        <f t="shared" si="10"/>
        <v>#REF!</v>
      </c>
      <c r="P40" s="911" t="s">
        <v>1120</v>
      </c>
      <c r="Q40" s="641"/>
      <c r="R40" s="641" t="s">
        <v>1389</v>
      </c>
      <c r="S40" s="883" t="e">
        <f t="shared" si="14"/>
        <v>#REF!</v>
      </c>
      <c r="T40" s="1000"/>
      <c r="U40" s="1001"/>
      <c r="V40" s="1000"/>
      <c r="W40" s="1000"/>
      <c r="X40" s="1000"/>
      <c r="Y40" s="1000"/>
      <c r="Z40" s="1000"/>
      <c r="AA40" s="1000"/>
      <c r="AB40" s="1000"/>
      <c r="AC40" s="1000"/>
    </row>
    <row r="41" spans="1:29" s="489" customFormat="1" ht="11.25" customHeight="1">
      <c r="A41" s="544"/>
      <c r="B41" s="568">
        <v>45674</v>
      </c>
      <c r="C41" s="916" t="s">
        <v>1404</v>
      </c>
      <c r="D41" s="984"/>
      <c r="E41" s="987">
        <v>15</v>
      </c>
      <c r="F41" s="987" t="s">
        <v>146</v>
      </c>
      <c r="G41" s="569" t="s">
        <v>147</v>
      </c>
      <c r="H41" s="923"/>
      <c r="I41" s="922"/>
      <c r="J41" s="922"/>
      <c r="K41" s="918">
        <v>178.26</v>
      </c>
      <c r="L41" s="542" t="e">
        <f>'통장내역(환율표)'!#REF!</f>
        <v>#REF!</v>
      </c>
      <c r="M41" s="981" t="e">
        <f t="shared" si="13"/>
        <v>#REF!</v>
      </c>
      <c r="N41" s="928" t="e">
        <f t="shared" si="9"/>
        <v>#REF!</v>
      </c>
      <c r="O41" s="928" t="e">
        <f t="shared" si="10"/>
        <v>#REF!</v>
      </c>
      <c r="P41" s="911" t="s">
        <v>1120</v>
      </c>
      <c r="Q41" s="641"/>
      <c r="R41" s="641" t="s">
        <v>1389</v>
      </c>
      <c r="S41" s="883" t="e">
        <f t="shared" si="14"/>
        <v>#REF!</v>
      </c>
      <c r="T41" s="1000"/>
      <c r="U41" s="1001"/>
      <c r="V41" s="1000"/>
      <c r="W41" s="1000"/>
      <c r="X41" s="1000"/>
      <c r="Y41" s="1000"/>
      <c r="Z41" s="1000"/>
      <c r="AA41" s="1000"/>
      <c r="AB41" s="1000"/>
      <c r="AC41" s="1000"/>
    </row>
    <row r="42" spans="1:29" s="489" customFormat="1" ht="11.25" customHeight="1">
      <c r="A42" s="544"/>
      <c r="B42" s="568">
        <v>45674</v>
      </c>
      <c r="C42" s="916" t="s">
        <v>1405</v>
      </c>
      <c r="D42" s="984"/>
      <c r="E42" s="917">
        <v>16</v>
      </c>
      <c r="F42" s="569" t="s">
        <v>107</v>
      </c>
      <c r="G42" s="569"/>
      <c r="H42" s="923"/>
      <c r="I42" s="922"/>
      <c r="J42" s="922"/>
      <c r="K42" s="918">
        <v>141.69999999999999</v>
      </c>
      <c r="L42" s="542" t="e">
        <f>'통장내역(환율표)'!#REF!</f>
        <v>#REF!</v>
      </c>
      <c r="M42" s="981" t="e">
        <f t="shared" si="13"/>
        <v>#REF!</v>
      </c>
      <c r="N42" s="928" t="e">
        <f t="shared" si="9"/>
        <v>#REF!</v>
      </c>
      <c r="O42" s="928" t="e">
        <f t="shared" si="10"/>
        <v>#REF!</v>
      </c>
      <c r="P42" s="911" t="s">
        <v>1120</v>
      </c>
      <c r="Q42" s="641"/>
      <c r="R42" s="641" t="s">
        <v>1389</v>
      </c>
      <c r="S42" s="883" t="e">
        <f t="shared" si="14"/>
        <v>#REF!</v>
      </c>
      <c r="T42" s="1000"/>
      <c r="U42" s="1001"/>
      <c r="V42" s="1000"/>
      <c r="W42" s="1000"/>
      <c r="X42" s="1000"/>
      <c r="Y42" s="1000"/>
      <c r="Z42" s="1000"/>
      <c r="AA42" s="1000"/>
      <c r="AB42" s="1000"/>
      <c r="AC42" s="1000"/>
    </row>
    <row r="43" spans="1:29" s="489" customFormat="1" ht="11.25" customHeight="1">
      <c r="A43" s="544"/>
      <c r="B43" s="568">
        <v>45674</v>
      </c>
      <c r="C43" s="916" t="s">
        <v>19</v>
      </c>
      <c r="D43" s="984"/>
      <c r="E43" s="917">
        <v>17</v>
      </c>
      <c r="F43" s="569" t="s">
        <v>116</v>
      </c>
      <c r="G43" s="569" t="s">
        <v>140</v>
      </c>
      <c r="H43" s="923"/>
      <c r="I43" s="922"/>
      <c r="J43" s="922"/>
      <c r="K43" s="918">
        <v>98.8</v>
      </c>
      <c r="L43" s="542" t="e">
        <f>'통장내역(환율표)'!#REF!</f>
        <v>#REF!</v>
      </c>
      <c r="M43" s="981" t="e">
        <f t="shared" si="13"/>
        <v>#REF!</v>
      </c>
      <c r="N43" s="928" t="e">
        <f t="shared" si="9"/>
        <v>#REF!</v>
      </c>
      <c r="O43" s="928" t="e">
        <f t="shared" si="10"/>
        <v>#REF!</v>
      </c>
      <c r="P43" s="911" t="s">
        <v>1120</v>
      </c>
      <c r="Q43" s="641"/>
      <c r="R43" s="641" t="s">
        <v>1389</v>
      </c>
      <c r="S43" s="883" t="e">
        <f t="shared" si="14"/>
        <v>#REF!</v>
      </c>
      <c r="T43" s="1000"/>
      <c r="U43" s="1001"/>
      <c r="V43" s="1000"/>
      <c r="W43" s="1000"/>
      <c r="X43" s="1000"/>
      <c r="Y43" s="1000"/>
      <c r="Z43" s="1000"/>
      <c r="AA43" s="1000"/>
      <c r="AB43" s="1000"/>
      <c r="AC43" s="1000"/>
    </row>
    <row r="44" spans="1:29" s="489" customFormat="1" ht="11.25" customHeight="1">
      <c r="A44" s="544"/>
      <c r="B44" s="568">
        <v>45674</v>
      </c>
      <c r="C44" s="916" t="s">
        <v>250</v>
      </c>
      <c r="D44" s="984"/>
      <c r="E44" s="917">
        <v>18</v>
      </c>
      <c r="F44" s="569" t="s">
        <v>107</v>
      </c>
      <c r="G44" s="569"/>
      <c r="H44" s="923"/>
      <c r="I44" s="922"/>
      <c r="J44" s="922"/>
      <c r="K44" s="918">
        <v>3.6</v>
      </c>
      <c r="L44" s="542" t="e">
        <f>'통장내역(환율표)'!#REF!</f>
        <v>#REF!</v>
      </c>
      <c r="M44" s="981" t="e">
        <f t="shared" si="13"/>
        <v>#REF!</v>
      </c>
      <c r="N44" s="928" t="e">
        <f t="shared" si="9"/>
        <v>#REF!</v>
      </c>
      <c r="O44" s="928" t="e">
        <f t="shared" si="10"/>
        <v>#REF!</v>
      </c>
      <c r="P44" s="911" t="s">
        <v>1120</v>
      </c>
      <c r="Q44" s="641"/>
      <c r="R44" s="641" t="s">
        <v>1389</v>
      </c>
      <c r="S44" s="883" t="e">
        <f t="shared" si="14"/>
        <v>#REF!</v>
      </c>
      <c r="T44" s="1000"/>
      <c r="U44" s="1001"/>
      <c r="V44" s="1000"/>
      <c r="W44" s="1000"/>
      <c r="X44" s="1000"/>
      <c r="Y44" s="1000"/>
      <c r="Z44" s="1000"/>
      <c r="AA44" s="1000"/>
      <c r="AB44" s="1000"/>
      <c r="AC44" s="1000"/>
    </row>
    <row r="45" spans="1:29" s="489" customFormat="1" ht="11.25" customHeight="1">
      <c r="A45" s="544"/>
      <c r="B45" s="568">
        <v>45674</v>
      </c>
      <c r="C45" s="916" t="s">
        <v>19</v>
      </c>
      <c r="D45" s="984"/>
      <c r="E45" s="917">
        <v>19</v>
      </c>
      <c r="F45" s="569" t="s">
        <v>116</v>
      </c>
      <c r="G45" s="569" t="s">
        <v>140</v>
      </c>
      <c r="H45" s="923"/>
      <c r="I45" s="922"/>
      <c r="J45" s="922"/>
      <c r="K45" s="918">
        <v>300</v>
      </c>
      <c r="L45" s="542" t="e">
        <f>'통장내역(환율표)'!#REF!</f>
        <v>#REF!</v>
      </c>
      <c r="M45" s="981" t="e">
        <f t="shared" si="13"/>
        <v>#REF!</v>
      </c>
      <c r="N45" s="928" t="e">
        <f t="shared" si="9"/>
        <v>#REF!</v>
      </c>
      <c r="O45" s="928" t="e">
        <f t="shared" si="10"/>
        <v>#REF!</v>
      </c>
      <c r="P45" s="911" t="s">
        <v>1120</v>
      </c>
      <c r="Q45" s="641"/>
      <c r="R45" s="641" t="s">
        <v>1390</v>
      </c>
      <c r="S45" s="883" t="e">
        <f t="shared" si="14"/>
        <v>#REF!</v>
      </c>
      <c r="T45" s="1000"/>
      <c r="U45" s="1001"/>
      <c r="V45" s="1000"/>
      <c r="W45" s="1000"/>
      <c r="X45" s="1000"/>
      <c r="Y45" s="1000"/>
      <c r="Z45" s="1000"/>
      <c r="AA45" s="1000"/>
      <c r="AB45" s="1000"/>
      <c r="AC45" s="1000"/>
    </row>
    <row r="46" spans="1:29" s="489" customFormat="1" ht="11.25" customHeight="1">
      <c r="A46" s="544"/>
      <c r="B46" s="568">
        <v>45674</v>
      </c>
      <c r="C46" s="916" t="s">
        <v>1385</v>
      </c>
      <c r="D46" s="984"/>
      <c r="E46" s="569">
        <v>20</v>
      </c>
      <c r="F46" s="569" t="s">
        <v>146</v>
      </c>
      <c r="G46" s="569" t="s">
        <v>147</v>
      </c>
      <c r="H46" s="569"/>
      <c r="I46" s="569"/>
      <c r="J46" s="569"/>
      <c r="K46" s="918">
        <v>133.68</v>
      </c>
      <c r="L46" s="542" t="e">
        <f>'통장내역(환율표)'!#REF!</f>
        <v>#REF!</v>
      </c>
      <c r="M46" s="981" t="e">
        <f t="shared" si="13"/>
        <v>#REF!</v>
      </c>
      <c r="N46" s="928" t="e">
        <f t="shared" si="9"/>
        <v>#REF!</v>
      </c>
      <c r="O46" s="928" t="e">
        <f t="shared" si="10"/>
        <v>#REF!</v>
      </c>
      <c r="P46" s="911" t="s">
        <v>1120</v>
      </c>
      <c r="Q46" s="641"/>
      <c r="R46" s="641" t="s">
        <v>1390</v>
      </c>
      <c r="S46" s="883" t="e">
        <f t="shared" si="14"/>
        <v>#REF!</v>
      </c>
      <c r="T46" s="1000"/>
      <c r="U46" s="1001"/>
      <c r="V46" s="1000"/>
      <c r="W46" s="1000"/>
      <c r="X46" s="1000"/>
      <c r="Y46" s="1000"/>
      <c r="Z46" s="1000"/>
      <c r="AA46" s="1000"/>
      <c r="AB46" s="1000"/>
      <c r="AC46" s="1000"/>
    </row>
    <row r="47" spans="1:29" s="489" customFormat="1" ht="11.25" customHeight="1">
      <c r="A47" s="544"/>
      <c r="B47" s="568">
        <v>45674</v>
      </c>
      <c r="C47" s="916" t="s">
        <v>1405</v>
      </c>
      <c r="D47" s="984"/>
      <c r="E47" s="569">
        <v>21</v>
      </c>
      <c r="F47" s="569" t="s">
        <v>107</v>
      </c>
      <c r="G47" s="569"/>
      <c r="H47" s="569"/>
      <c r="I47" s="569"/>
      <c r="J47" s="569"/>
      <c r="K47" s="918">
        <v>436.9</v>
      </c>
      <c r="L47" s="542" t="e">
        <f>'통장내역(환율표)'!#REF!</f>
        <v>#REF!</v>
      </c>
      <c r="M47" s="981" t="e">
        <f t="shared" si="13"/>
        <v>#REF!</v>
      </c>
      <c r="N47" s="928" t="e">
        <f t="shared" si="9"/>
        <v>#REF!</v>
      </c>
      <c r="O47" s="928" t="e">
        <f t="shared" si="10"/>
        <v>#REF!</v>
      </c>
      <c r="P47" s="911" t="s">
        <v>1120</v>
      </c>
      <c r="Q47" s="641"/>
      <c r="R47" s="641" t="s">
        <v>1390</v>
      </c>
      <c r="S47" s="883" t="e">
        <f t="shared" si="14"/>
        <v>#REF!</v>
      </c>
      <c r="T47" s="1000"/>
      <c r="U47" s="1001"/>
      <c r="V47" s="1000"/>
      <c r="W47" s="1000"/>
      <c r="X47" s="1000"/>
      <c r="Y47" s="1000"/>
      <c r="Z47" s="1000"/>
      <c r="AA47" s="1000"/>
      <c r="AB47" s="1000"/>
      <c r="AC47" s="1000"/>
    </row>
    <row r="48" spans="1:29" s="489" customFormat="1" ht="11.25" customHeight="1">
      <c r="A48" s="544"/>
      <c r="B48" s="568">
        <v>45674</v>
      </c>
      <c r="C48" s="916" t="s">
        <v>1386</v>
      </c>
      <c r="D48" s="984"/>
      <c r="E48" s="569">
        <v>22</v>
      </c>
      <c r="F48" s="569" t="s">
        <v>107</v>
      </c>
      <c r="G48" s="569"/>
      <c r="H48" s="569"/>
      <c r="I48" s="569"/>
      <c r="J48" s="569"/>
      <c r="K48" s="918">
        <v>265.7</v>
      </c>
      <c r="L48" s="542" t="e">
        <f>'통장내역(환율표)'!#REF!</f>
        <v>#REF!</v>
      </c>
      <c r="M48" s="981" t="e">
        <f t="shared" si="13"/>
        <v>#REF!</v>
      </c>
      <c r="N48" s="928" t="e">
        <f t="shared" si="9"/>
        <v>#REF!</v>
      </c>
      <c r="O48" s="928" t="e">
        <f t="shared" si="10"/>
        <v>#REF!</v>
      </c>
      <c r="P48" s="911" t="s">
        <v>1120</v>
      </c>
      <c r="Q48" s="641"/>
      <c r="R48" s="641" t="s">
        <v>1390</v>
      </c>
      <c r="S48" s="883" t="e">
        <f t="shared" si="14"/>
        <v>#REF!</v>
      </c>
      <c r="T48" s="1000"/>
      <c r="U48" s="1001"/>
      <c r="V48" s="1000"/>
      <c r="W48" s="1000"/>
      <c r="X48" s="1000"/>
      <c r="Y48" s="1000"/>
      <c r="Z48" s="1000"/>
      <c r="AA48" s="1000"/>
      <c r="AB48" s="1000"/>
      <c r="AC48" s="1000"/>
    </row>
    <row r="49" spans="1:29" s="489" customFormat="1" ht="11.25" customHeight="1">
      <c r="A49" s="544"/>
      <c r="B49" s="568">
        <v>45674</v>
      </c>
      <c r="C49" s="916" t="s">
        <v>250</v>
      </c>
      <c r="D49" s="984"/>
      <c r="E49" s="569">
        <v>23</v>
      </c>
      <c r="F49" s="569" t="s">
        <v>107</v>
      </c>
      <c r="G49" s="569"/>
      <c r="H49" s="569"/>
      <c r="I49" s="569"/>
      <c r="J49" s="569"/>
      <c r="K49" s="918">
        <v>3.6</v>
      </c>
      <c r="L49" s="542" t="e">
        <f>'통장내역(환율표)'!#REF!</f>
        <v>#REF!</v>
      </c>
      <c r="M49" s="981" t="e">
        <f t="shared" si="13"/>
        <v>#REF!</v>
      </c>
      <c r="N49" s="928" t="e">
        <f t="shared" si="9"/>
        <v>#REF!</v>
      </c>
      <c r="O49" s="928" t="e">
        <f t="shared" si="10"/>
        <v>#REF!</v>
      </c>
      <c r="P49" s="911" t="s">
        <v>1120</v>
      </c>
      <c r="Q49" s="641"/>
      <c r="R49" s="641" t="s">
        <v>1390</v>
      </c>
      <c r="S49" s="883" t="e">
        <f t="shared" si="14"/>
        <v>#REF!</v>
      </c>
      <c r="T49" s="1000"/>
      <c r="U49" s="1001"/>
      <c r="V49" s="1000"/>
      <c r="W49" s="1000"/>
      <c r="X49" s="1000"/>
      <c r="Y49" s="1000"/>
      <c r="Z49" s="1000"/>
      <c r="AA49" s="1000"/>
      <c r="AB49" s="1000"/>
      <c r="AC49" s="1000"/>
    </row>
    <row r="50" spans="1:29" s="489" customFormat="1" ht="11.25" customHeight="1">
      <c r="A50" s="544"/>
      <c r="B50" s="568">
        <v>45674</v>
      </c>
      <c r="C50" s="965" t="s">
        <v>1387</v>
      </c>
      <c r="D50" s="984"/>
      <c r="E50" s="569">
        <v>24</v>
      </c>
      <c r="F50" s="569" t="s">
        <v>146</v>
      </c>
      <c r="G50" s="569" t="s">
        <v>147</v>
      </c>
      <c r="H50" s="569"/>
      <c r="I50" s="569"/>
      <c r="J50" s="569"/>
      <c r="K50" s="918">
        <v>175.6</v>
      </c>
      <c r="L50" s="542" t="e">
        <f>'통장내역(환율표)'!#REF!</f>
        <v>#REF!</v>
      </c>
      <c r="M50" s="981" t="e">
        <f t="shared" si="13"/>
        <v>#REF!</v>
      </c>
      <c r="N50" s="928" t="e">
        <f t="shared" si="9"/>
        <v>#REF!</v>
      </c>
      <c r="O50" s="928" t="e">
        <f t="shared" si="10"/>
        <v>#REF!</v>
      </c>
      <c r="P50" s="911" t="s">
        <v>1120</v>
      </c>
      <c r="Q50" s="641"/>
      <c r="R50" s="641" t="s">
        <v>1391</v>
      </c>
      <c r="S50" s="883" t="e">
        <f t="shared" si="14"/>
        <v>#REF!</v>
      </c>
      <c r="T50" s="1000"/>
      <c r="U50" s="1001"/>
      <c r="V50" s="1000"/>
      <c r="W50" s="1000"/>
      <c r="X50" s="1000"/>
      <c r="Y50" s="1000"/>
      <c r="Z50" s="1000"/>
      <c r="AA50" s="1000"/>
      <c r="AB50" s="1000"/>
      <c r="AC50" s="1000"/>
    </row>
    <row r="51" spans="1:29" s="489" customFormat="1" ht="11.25" customHeight="1">
      <c r="A51" s="544"/>
      <c r="B51" s="568">
        <v>45674</v>
      </c>
      <c r="C51" s="965" t="s">
        <v>19</v>
      </c>
      <c r="D51" s="984"/>
      <c r="E51" s="569">
        <v>25</v>
      </c>
      <c r="F51" s="569" t="s">
        <v>116</v>
      </c>
      <c r="G51" s="569" t="s">
        <v>140</v>
      </c>
      <c r="H51" s="569"/>
      <c r="I51" s="569"/>
      <c r="J51" s="569"/>
      <c r="K51" s="918">
        <v>299.2</v>
      </c>
      <c r="L51" s="542" t="e">
        <f>'통장내역(환율표)'!#REF!</f>
        <v>#REF!</v>
      </c>
      <c r="M51" s="981" t="e">
        <f t="shared" si="13"/>
        <v>#REF!</v>
      </c>
      <c r="N51" s="928" t="e">
        <f t="shared" si="9"/>
        <v>#REF!</v>
      </c>
      <c r="O51" s="928" t="e">
        <f t="shared" si="10"/>
        <v>#REF!</v>
      </c>
      <c r="P51" s="911" t="s">
        <v>1120</v>
      </c>
      <c r="Q51" s="641"/>
      <c r="R51" s="641" t="s">
        <v>1391</v>
      </c>
      <c r="S51" s="883" t="e">
        <f t="shared" si="14"/>
        <v>#REF!</v>
      </c>
      <c r="T51" s="1000"/>
      <c r="U51" s="1001"/>
      <c r="V51" s="1000"/>
      <c r="W51" s="1000"/>
      <c r="X51" s="1000"/>
      <c r="Y51" s="1000"/>
      <c r="Z51" s="1000"/>
      <c r="AA51" s="1000"/>
      <c r="AB51" s="1000"/>
      <c r="AC51" s="1000"/>
    </row>
    <row r="52" spans="1:29" ht="11.25" customHeight="1">
      <c r="B52" s="568">
        <v>45674</v>
      </c>
      <c r="C52" s="965" t="s">
        <v>1405</v>
      </c>
      <c r="D52" s="984"/>
      <c r="E52" s="917">
        <v>26</v>
      </c>
      <c r="F52" s="569" t="s">
        <v>107</v>
      </c>
      <c r="G52" s="569"/>
      <c r="H52" s="569"/>
      <c r="I52" s="569"/>
      <c r="J52" s="569"/>
      <c r="K52" s="918">
        <v>36</v>
      </c>
      <c r="L52" s="542" t="e">
        <f>'통장내역(환율표)'!#REF!</f>
        <v>#REF!</v>
      </c>
      <c r="M52" s="981" t="e">
        <f t="shared" si="13"/>
        <v>#REF!</v>
      </c>
      <c r="N52" s="928" t="e">
        <f t="shared" ref="N52:N83" si="15">N51+H52-K52</f>
        <v>#REF!</v>
      </c>
      <c r="O52" s="928" t="e">
        <f t="shared" ref="O52:O83" si="16">O51+J52-M52</f>
        <v>#REF!</v>
      </c>
      <c r="P52" s="911" t="s">
        <v>1120</v>
      </c>
      <c r="Q52" s="641"/>
      <c r="R52" s="641" t="s">
        <v>1391</v>
      </c>
      <c r="S52" s="883" t="e">
        <f t="shared" si="14"/>
        <v>#REF!</v>
      </c>
    </row>
    <row r="53" spans="1:29" ht="11.25" customHeight="1">
      <c r="B53" s="568">
        <v>45674</v>
      </c>
      <c r="C53" s="965" t="s">
        <v>11</v>
      </c>
      <c r="D53" s="984"/>
      <c r="E53" s="917">
        <v>27</v>
      </c>
      <c r="F53" s="569" t="s">
        <v>125</v>
      </c>
      <c r="G53" s="569" t="s">
        <v>145</v>
      </c>
      <c r="H53" s="569"/>
      <c r="I53" s="569"/>
      <c r="J53" s="569"/>
      <c r="K53" s="918">
        <v>16527.080000000002</v>
      </c>
      <c r="L53" s="542" t="e">
        <f>'통장내역(환율표)'!#REF!</f>
        <v>#REF!</v>
      </c>
      <c r="M53" s="981" t="e">
        <f t="shared" si="13"/>
        <v>#REF!</v>
      </c>
      <c r="N53" s="928" t="e">
        <f t="shared" si="15"/>
        <v>#REF!</v>
      </c>
      <c r="O53" s="928" t="e">
        <f t="shared" si="16"/>
        <v>#REF!</v>
      </c>
      <c r="P53" s="911" t="s">
        <v>1120</v>
      </c>
      <c r="Q53" s="641"/>
      <c r="R53" s="641" t="s">
        <v>1391</v>
      </c>
      <c r="S53" s="883" t="e">
        <f t="shared" si="14"/>
        <v>#REF!</v>
      </c>
    </row>
    <row r="54" spans="1:29" ht="11.25" customHeight="1">
      <c r="B54" s="568">
        <v>45674</v>
      </c>
      <c r="C54" s="965" t="s">
        <v>1384</v>
      </c>
      <c r="D54" s="984"/>
      <c r="E54" s="917">
        <v>28</v>
      </c>
      <c r="F54" s="569" t="s">
        <v>107</v>
      </c>
      <c r="G54" s="972"/>
      <c r="H54" s="972"/>
      <c r="I54" s="972"/>
      <c r="J54" s="972"/>
      <c r="K54" s="918">
        <v>5746.98</v>
      </c>
      <c r="L54" s="542" t="e">
        <f>'통장내역(환율표)'!#REF!</f>
        <v>#REF!</v>
      </c>
      <c r="M54" s="981" t="e">
        <f t="shared" si="13"/>
        <v>#REF!</v>
      </c>
      <c r="N54" s="928" t="e">
        <f t="shared" si="15"/>
        <v>#REF!</v>
      </c>
      <c r="O54" s="928" t="e">
        <f t="shared" si="16"/>
        <v>#REF!</v>
      </c>
      <c r="P54" s="911" t="s">
        <v>1120</v>
      </c>
      <c r="Q54" s="641"/>
      <c r="R54" s="641" t="s">
        <v>1395</v>
      </c>
      <c r="S54" s="883" t="e">
        <f t="shared" si="14"/>
        <v>#REF!</v>
      </c>
    </row>
    <row r="55" spans="1:29" ht="11.25" customHeight="1">
      <c r="B55" s="568">
        <v>45674</v>
      </c>
      <c r="C55" s="916" t="s">
        <v>250</v>
      </c>
      <c r="D55" s="984"/>
      <c r="E55" s="917">
        <v>29</v>
      </c>
      <c r="F55" s="569" t="s">
        <v>107</v>
      </c>
      <c r="G55" s="972"/>
      <c r="H55" s="972"/>
      <c r="I55" s="972"/>
      <c r="J55" s="972"/>
      <c r="K55" s="918">
        <v>7.2</v>
      </c>
      <c r="L55" s="542" t="e">
        <f>'통장내역(환율표)'!#REF!</f>
        <v>#REF!</v>
      </c>
      <c r="M55" s="981" t="e">
        <f t="shared" si="13"/>
        <v>#REF!</v>
      </c>
      <c r="N55" s="928" t="e">
        <f t="shared" si="15"/>
        <v>#REF!</v>
      </c>
      <c r="O55" s="928" t="e">
        <f t="shared" si="16"/>
        <v>#REF!</v>
      </c>
      <c r="P55" s="911" t="s">
        <v>1120</v>
      </c>
      <c r="Q55" s="641"/>
      <c r="R55" s="641" t="s">
        <v>1391</v>
      </c>
      <c r="S55" s="883" t="e">
        <f t="shared" si="14"/>
        <v>#REF!</v>
      </c>
    </row>
    <row r="56" spans="1:29" ht="11.25" customHeight="1">
      <c r="B56" s="568">
        <v>45674</v>
      </c>
      <c r="C56" s="965" t="s">
        <v>1406</v>
      </c>
      <c r="D56" s="984"/>
      <c r="E56" s="917">
        <v>30</v>
      </c>
      <c r="F56" s="569" t="s">
        <v>146</v>
      </c>
      <c r="G56" s="972" t="s">
        <v>147</v>
      </c>
      <c r="H56" s="972"/>
      <c r="I56" s="972"/>
      <c r="J56" s="972"/>
      <c r="K56" s="918">
        <v>2151</v>
      </c>
      <c r="L56" s="542" t="e">
        <f>'통장내역(환율표)'!#REF!</f>
        <v>#REF!</v>
      </c>
      <c r="M56" s="981" t="e">
        <f t="shared" si="13"/>
        <v>#REF!</v>
      </c>
      <c r="N56" s="928" t="e">
        <f t="shared" si="15"/>
        <v>#REF!</v>
      </c>
      <c r="O56" s="928" t="e">
        <f t="shared" si="16"/>
        <v>#REF!</v>
      </c>
      <c r="P56" s="911" t="s">
        <v>1120</v>
      </c>
      <c r="Q56" s="641"/>
      <c r="R56" s="641" t="s">
        <v>1392</v>
      </c>
      <c r="S56" s="883" t="e">
        <f t="shared" si="14"/>
        <v>#REF!</v>
      </c>
    </row>
    <row r="57" spans="1:29" ht="11.25" customHeight="1">
      <c r="B57" s="568">
        <v>45674</v>
      </c>
      <c r="C57" s="965" t="s">
        <v>1407</v>
      </c>
      <c r="D57" s="984"/>
      <c r="E57" s="972">
        <v>31</v>
      </c>
      <c r="F57" s="972" t="s">
        <v>146</v>
      </c>
      <c r="G57" s="972" t="s">
        <v>147</v>
      </c>
      <c r="H57" s="972"/>
      <c r="I57" s="972"/>
      <c r="J57" s="972"/>
      <c r="K57" s="918">
        <v>177</v>
      </c>
      <c r="L57" s="542" t="e">
        <f>'통장내역(환율표)'!#REF!</f>
        <v>#REF!</v>
      </c>
      <c r="M57" s="981" t="e">
        <f t="shared" si="13"/>
        <v>#REF!</v>
      </c>
      <c r="N57" s="928" t="e">
        <f t="shared" si="15"/>
        <v>#REF!</v>
      </c>
      <c r="O57" s="928" t="e">
        <f t="shared" si="16"/>
        <v>#REF!</v>
      </c>
      <c r="P57" s="911" t="s">
        <v>1120</v>
      </c>
      <c r="Q57" s="641"/>
      <c r="R57" s="641" t="s">
        <v>1392</v>
      </c>
      <c r="S57" s="883" t="e">
        <f t="shared" si="14"/>
        <v>#REF!</v>
      </c>
    </row>
    <row r="58" spans="1:29" ht="11.25" customHeight="1">
      <c r="B58" s="568">
        <v>45674</v>
      </c>
      <c r="C58" s="965" t="s">
        <v>1408</v>
      </c>
      <c r="D58" s="984"/>
      <c r="E58" s="917">
        <v>32</v>
      </c>
      <c r="F58" s="972" t="s">
        <v>146</v>
      </c>
      <c r="G58" s="972" t="s">
        <v>147</v>
      </c>
      <c r="H58" s="972"/>
      <c r="I58" s="972"/>
      <c r="J58" s="972"/>
      <c r="K58" s="918">
        <v>308</v>
      </c>
      <c r="L58" s="542" t="e">
        <f>'통장내역(환율표)'!#REF!</f>
        <v>#REF!</v>
      </c>
      <c r="M58" s="981" t="e">
        <f t="shared" si="13"/>
        <v>#REF!</v>
      </c>
      <c r="N58" s="928" t="e">
        <f t="shared" si="15"/>
        <v>#REF!</v>
      </c>
      <c r="O58" s="928" t="e">
        <f t="shared" si="16"/>
        <v>#REF!</v>
      </c>
      <c r="P58" s="911" t="s">
        <v>1120</v>
      </c>
      <c r="Q58" s="641"/>
      <c r="R58" s="641" t="s">
        <v>1392</v>
      </c>
      <c r="S58" s="883" t="e">
        <f t="shared" si="14"/>
        <v>#REF!</v>
      </c>
    </row>
    <row r="59" spans="1:29" ht="11.25" customHeight="1">
      <c r="B59" s="568">
        <v>45674</v>
      </c>
      <c r="C59" s="916" t="s">
        <v>250</v>
      </c>
      <c r="D59" s="984"/>
      <c r="E59" s="917">
        <v>33</v>
      </c>
      <c r="F59" s="972" t="s">
        <v>107</v>
      </c>
      <c r="G59" s="972"/>
      <c r="H59" s="972"/>
      <c r="I59" s="972"/>
      <c r="J59" s="972"/>
      <c r="K59" s="918">
        <v>3.6</v>
      </c>
      <c r="L59" s="542" t="e">
        <f>'통장내역(환율표)'!#REF!</f>
        <v>#REF!</v>
      </c>
      <c r="M59" s="981" t="e">
        <f t="shared" si="13"/>
        <v>#REF!</v>
      </c>
      <c r="N59" s="928" t="e">
        <f t="shared" si="15"/>
        <v>#REF!</v>
      </c>
      <c r="O59" s="928" t="e">
        <f t="shared" si="16"/>
        <v>#REF!</v>
      </c>
      <c r="P59" s="911" t="s">
        <v>1120</v>
      </c>
      <c r="Q59" s="641"/>
      <c r="R59" s="641" t="s">
        <v>1392</v>
      </c>
      <c r="S59" s="883" t="e">
        <f t="shared" si="14"/>
        <v>#REF!</v>
      </c>
    </row>
    <row r="60" spans="1:29" ht="11.25" customHeight="1">
      <c r="B60" s="568">
        <v>45674</v>
      </c>
      <c r="C60" s="965" t="s">
        <v>1406</v>
      </c>
      <c r="D60" s="984"/>
      <c r="E60" s="917">
        <v>34</v>
      </c>
      <c r="F60" s="972" t="s">
        <v>146</v>
      </c>
      <c r="G60" s="972" t="s">
        <v>147</v>
      </c>
      <c r="H60" s="972"/>
      <c r="I60" s="972"/>
      <c r="J60" s="972"/>
      <c r="K60" s="918">
        <v>1050</v>
      </c>
      <c r="L60" s="542" t="e">
        <f>'통장내역(환율표)'!#REF!</f>
        <v>#REF!</v>
      </c>
      <c r="M60" s="981" t="e">
        <f t="shared" si="13"/>
        <v>#REF!</v>
      </c>
      <c r="N60" s="928" t="e">
        <f t="shared" si="15"/>
        <v>#REF!</v>
      </c>
      <c r="O60" s="928" t="e">
        <f t="shared" si="16"/>
        <v>#REF!</v>
      </c>
      <c r="P60" s="911" t="s">
        <v>1120</v>
      </c>
      <c r="Q60" s="641"/>
      <c r="R60" s="641" t="s">
        <v>1393</v>
      </c>
      <c r="S60" s="883" t="e">
        <f t="shared" si="14"/>
        <v>#REF!</v>
      </c>
    </row>
    <row r="61" spans="1:29" ht="11.25" customHeight="1">
      <c r="B61" s="568">
        <v>45674</v>
      </c>
      <c r="C61" s="965" t="s">
        <v>1408</v>
      </c>
      <c r="D61" s="984"/>
      <c r="E61" s="917">
        <v>35</v>
      </c>
      <c r="F61" s="972" t="s">
        <v>146</v>
      </c>
      <c r="G61" s="972" t="s">
        <v>147</v>
      </c>
      <c r="H61" s="972"/>
      <c r="I61" s="972"/>
      <c r="J61" s="972"/>
      <c r="K61" s="918">
        <v>212</v>
      </c>
      <c r="L61" s="542" t="e">
        <f>'통장내역(환율표)'!#REF!</f>
        <v>#REF!</v>
      </c>
      <c r="M61" s="981" t="e">
        <f t="shared" si="13"/>
        <v>#REF!</v>
      </c>
      <c r="N61" s="928" t="e">
        <f t="shared" si="15"/>
        <v>#REF!</v>
      </c>
      <c r="O61" s="928" t="e">
        <f t="shared" si="16"/>
        <v>#REF!</v>
      </c>
      <c r="P61" s="911" t="s">
        <v>1120</v>
      </c>
      <c r="Q61" s="641"/>
      <c r="R61" s="641" t="s">
        <v>1393</v>
      </c>
      <c r="S61" s="883" t="e">
        <f t="shared" si="14"/>
        <v>#REF!</v>
      </c>
    </row>
    <row r="62" spans="1:29" ht="11.25" customHeight="1">
      <c r="B62" s="568">
        <v>45674</v>
      </c>
      <c r="C62" s="965" t="s">
        <v>1407</v>
      </c>
      <c r="D62" s="984"/>
      <c r="E62" s="972">
        <v>36</v>
      </c>
      <c r="F62" s="972" t="s">
        <v>146</v>
      </c>
      <c r="G62" s="972" t="s">
        <v>147</v>
      </c>
      <c r="H62" s="972"/>
      <c r="I62" s="972"/>
      <c r="J62" s="972"/>
      <c r="K62" s="918">
        <v>103</v>
      </c>
      <c r="L62" s="542" t="e">
        <f>'통장내역(환율표)'!#REF!</f>
        <v>#REF!</v>
      </c>
      <c r="M62" s="981" t="e">
        <f t="shared" si="13"/>
        <v>#REF!</v>
      </c>
      <c r="N62" s="928" t="e">
        <f t="shared" si="15"/>
        <v>#REF!</v>
      </c>
      <c r="O62" s="928" t="e">
        <f t="shared" si="16"/>
        <v>#REF!</v>
      </c>
      <c r="P62" s="911" t="s">
        <v>1120</v>
      </c>
      <c r="Q62" s="641"/>
      <c r="R62" s="641" t="s">
        <v>1393</v>
      </c>
      <c r="S62" s="883" t="e">
        <f t="shared" si="14"/>
        <v>#REF!</v>
      </c>
    </row>
    <row r="63" spans="1:29" ht="11.25" customHeight="1">
      <c r="B63" s="568">
        <v>45674</v>
      </c>
      <c r="C63" s="916" t="s">
        <v>250</v>
      </c>
      <c r="D63" s="984"/>
      <c r="E63" s="917">
        <v>37</v>
      </c>
      <c r="F63" s="972" t="s">
        <v>107</v>
      </c>
      <c r="G63" s="972"/>
      <c r="H63" s="972"/>
      <c r="I63" s="972"/>
      <c r="J63" s="972"/>
      <c r="K63" s="918">
        <v>3.6</v>
      </c>
      <c r="L63" s="542" t="e">
        <f>'통장내역(환율표)'!#REF!</f>
        <v>#REF!</v>
      </c>
      <c r="M63" s="981" t="e">
        <f t="shared" ref="M63:M94" si="17">K63/L63</f>
        <v>#REF!</v>
      </c>
      <c r="N63" s="928" t="e">
        <f t="shared" si="15"/>
        <v>#REF!</v>
      </c>
      <c r="O63" s="928" t="e">
        <f t="shared" si="16"/>
        <v>#REF!</v>
      </c>
      <c r="P63" s="911" t="s">
        <v>1120</v>
      </c>
      <c r="Q63" s="641"/>
      <c r="R63" s="641" t="s">
        <v>1393</v>
      </c>
      <c r="S63" s="883" t="e">
        <f t="shared" si="14"/>
        <v>#REF!</v>
      </c>
    </row>
    <row r="64" spans="1:29" ht="11.25" customHeight="1">
      <c r="B64" s="568">
        <v>45677</v>
      </c>
      <c r="C64" s="965" t="s">
        <v>1403</v>
      </c>
      <c r="D64" s="984"/>
      <c r="E64" s="917">
        <v>38</v>
      </c>
      <c r="F64" s="972" t="s">
        <v>146</v>
      </c>
      <c r="G64" s="972" t="s">
        <v>147</v>
      </c>
      <c r="H64" s="972"/>
      <c r="I64" s="972"/>
      <c r="J64" s="972"/>
      <c r="K64" s="918">
        <v>5580.13</v>
      </c>
      <c r="L64" s="542" t="e">
        <f>'통장내역(환율표)'!#REF!</f>
        <v>#REF!</v>
      </c>
      <c r="M64" s="981" t="e">
        <f t="shared" si="17"/>
        <v>#REF!</v>
      </c>
      <c r="N64" s="928" t="e">
        <f t="shared" si="15"/>
        <v>#REF!</v>
      </c>
      <c r="O64" s="928" t="e">
        <f t="shared" si="16"/>
        <v>#REF!</v>
      </c>
      <c r="P64" s="911" t="s">
        <v>1120</v>
      </c>
      <c r="Q64" s="641"/>
      <c r="R64" s="641" t="s">
        <v>211</v>
      </c>
      <c r="S64" s="883" t="e">
        <f t="shared" si="14"/>
        <v>#REF!</v>
      </c>
    </row>
    <row r="65" spans="2:19" ht="11.25" customHeight="1">
      <c r="B65" s="568">
        <v>45677</v>
      </c>
      <c r="C65" s="965" t="s">
        <v>11</v>
      </c>
      <c r="D65" s="984"/>
      <c r="E65" s="917">
        <v>39</v>
      </c>
      <c r="F65" s="972" t="s">
        <v>125</v>
      </c>
      <c r="G65" s="972" t="s">
        <v>145</v>
      </c>
      <c r="H65" s="972"/>
      <c r="I65" s="972"/>
      <c r="J65" s="972"/>
      <c r="K65" s="918">
        <v>13597</v>
      </c>
      <c r="L65" s="542" t="e">
        <f>'통장내역(환율표)'!#REF!</f>
        <v>#REF!</v>
      </c>
      <c r="M65" s="981" t="e">
        <f t="shared" si="17"/>
        <v>#REF!</v>
      </c>
      <c r="N65" s="928" t="e">
        <f t="shared" si="15"/>
        <v>#REF!</v>
      </c>
      <c r="O65" s="928" t="e">
        <f t="shared" si="16"/>
        <v>#REF!</v>
      </c>
      <c r="P65" s="911" t="s">
        <v>1120</v>
      </c>
      <c r="Q65" s="641"/>
      <c r="R65" s="641" t="s">
        <v>211</v>
      </c>
      <c r="S65" s="883" t="e">
        <f t="shared" si="14"/>
        <v>#REF!</v>
      </c>
    </row>
    <row r="66" spans="2:19" ht="11.25" customHeight="1">
      <c r="B66" s="568">
        <v>45677</v>
      </c>
      <c r="C66" s="965" t="s">
        <v>19</v>
      </c>
      <c r="D66" s="984"/>
      <c r="E66" s="917">
        <v>40</v>
      </c>
      <c r="F66" s="972" t="s">
        <v>116</v>
      </c>
      <c r="G66" s="972" t="s">
        <v>140</v>
      </c>
      <c r="H66" s="972"/>
      <c r="I66" s="972"/>
      <c r="J66" s="972"/>
      <c r="K66" s="918">
        <v>297</v>
      </c>
      <c r="L66" s="542" t="e">
        <f>'통장내역(환율표)'!#REF!</f>
        <v>#REF!</v>
      </c>
      <c r="M66" s="981" t="e">
        <f t="shared" si="17"/>
        <v>#REF!</v>
      </c>
      <c r="N66" s="928" t="e">
        <f t="shared" si="15"/>
        <v>#REF!</v>
      </c>
      <c r="O66" s="928" t="e">
        <f t="shared" si="16"/>
        <v>#REF!</v>
      </c>
      <c r="P66" s="911" t="s">
        <v>1120</v>
      </c>
      <c r="Q66" s="641"/>
      <c r="R66" s="641" t="s">
        <v>211</v>
      </c>
      <c r="S66" s="883" t="e">
        <f t="shared" si="14"/>
        <v>#REF!</v>
      </c>
    </row>
    <row r="67" spans="2:19" ht="11.25" customHeight="1">
      <c r="B67" s="568">
        <v>45677</v>
      </c>
      <c r="C67" s="965" t="s">
        <v>250</v>
      </c>
      <c r="D67" s="984"/>
      <c r="E67" s="569">
        <v>41</v>
      </c>
      <c r="F67" s="569" t="s">
        <v>107</v>
      </c>
      <c r="G67" s="569"/>
      <c r="H67" s="569"/>
      <c r="I67" s="569"/>
      <c r="J67" s="569"/>
      <c r="K67" s="918">
        <v>7.2</v>
      </c>
      <c r="L67" s="542" t="e">
        <f>'통장내역(환율표)'!#REF!</f>
        <v>#REF!</v>
      </c>
      <c r="M67" s="981" t="e">
        <f t="shared" si="17"/>
        <v>#REF!</v>
      </c>
      <c r="N67" s="928" t="e">
        <f t="shared" si="15"/>
        <v>#REF!</v>
      </c>
      <c r="O67" s="928" t="e">
        <f t="shared" si="16"/>
        <v>#REF!</v>
      </c>
      <c r="P67" s="911" t="s">
        <v>1120</v>
      </c>
      <c r="Q67" s="641"/>
      <c r="R67" s="641" t="s">
        <v>211</v>
      </c>
      <c r="S67" s="883" t="e">
        <f t="shared" si="14"/>
        <v>#REF!</v>
      </c>
    </row>
    <row r="68" spans="2:19" ht="11.25" customHeight="1">
      <c r="B68" s="568">
        <v>45677</v>
      </c>
      <c r="C68" s="965" t="s">
        <v>1403</v>
      </c>
      <c r="D68" s="984"/>
      <c r="E68" s="917">
        <v>42</v>
      </c>
      <c r="F68" s="569" t="s">
        <v>146</v>
      </c>
      <c r="G68" s="569" t="s">
        <v>147</v>
      </c>
      <c r="H68" s="569"/>
      <c r="I68" s="569"/>
      <c r="J68" s="569"/>
      <c r="K68" s="918">
        <v>10595.86</v>
      </c>
      <c r="L68" s="542" t="e">
        <f>'통장내역(환율표)'!#REF!</f>
        <v>#REF!</v>
      </c>
      <c r="M68" s="981" t="e">
        <f t="shared" si="17"/>
        <v>#REF!</v>
      </c>
      <c r="N68" s="928" t="e">
        <f t="shared" si="15"/>
        <v>#REF!</v>
      </c>
      <c r="O68" s="928" t="e">
        <f t="shared" si="16"/>
        <v>#REF!</v>
      </c>
      <c r="P68" s="911" t="s">
        <v>1120</v>
      </c>
      <c r="Q68" s="641"/>
      <c r="R68" s="641" t="s">
        <v>1394</v>
      </c>
      <c r="S68" s="883" t="e">
        <f t="shared" si="14"/>
        <v>#REF!</v>
      </c>
    </row>
    <row r="69" spans="2:19" ht="11.25" customHeight="1">
      <c r="B69" s="568">
        <v>45677</v>
      </c>
      <c r="C69" s="965" t="s">
        <v>1404</v>
      </c>
      <c r="D69" s="984"/>
      <c r="E69" s="917">
        <v>43</v>
      </c>
      <c r="F69" s="569" t="s">
        <v>146</v>
      </c>
      <c r="G69" s="569" t="s">
        <v>147</v>
      </c>
      <c r="H69" s="569"/>
      <c r="I69" s="569"/>
      <c r="J69" s="569"/>
      <c r="K69" s="918">
        <v>163.86</v>
      </c>
      <c r="L69" s="542" t="e">
        <f>'통장내역(환율표)'!#REF!</f>
        <v>#REF!</v>
      </c>
      <c r="M69" s="981" t="e">
        <f t="shared" si="17"/>
        <v>#REF!</v>
      </c>
      <c r="N69" s="928" t="e">
        <f t="shared" si="15"/>
        <v>#REF!</v>
      </c>
      <c r="O69" s="928" t="e">
        <f t="shared" si="16"/>
        <v>#REF!</v>
      </c>
      <c r="P69" s="911" t="s">
        <v>1120</v>
      </c>
      <c r="Q69" s="641"/>
      <c r="R69" s="641" t="s">
        <v>1394</v>
      </c>
      <c r="S69" s="883" t="e">
        <f t="shared" si="14"/>
        <v>#REF!</v>
      </c>
    </row>
    <row r="70" spans="2:19" ht="11.25" customHeight="1">
      <c r="B70" s="568">
        <v>45677</v>
      </c>
      <c r="C70" s="965" t="s">
        <v>1409</v>
      </c>
      <c r="D70" s="984"/>
      <c r="E70" s="569">
        <v>44</v>
      </c>
      <c r="F70" s="569" t="s">
        <v>107</v>
      </c>
      <c r="G70" s="569"/>
      <c r="H70" s="569"/>
      <c r="I70" s="569"/>
      <c r="J70" s="569"/>
      <c r="K70" s="918">
        <v>59</v>
      </c>
      <c r="L70" s="542" t="e">
        <f>'통장내역(환율표)'!#REF!</f>
        <v>#REF!</v>
      </c>
      <c r="M70" s="981" t="e">
        <f t="shared" si="17"/>
        <v>#REF!</v>
      </c>
      <c r="N70" s="928" t="e">
        <f t="shared" si="15"/>
        <v>#REF!</v>
      </c>
      <c r="O70" s="928" t="e">
        <f t="shared" si="16"/>
        <v>#REF!</v>
      </c>
      <c r="P70" s="911" t="s">
        <v>1120</v>
      </c>
      <c r="Q70" s="641"/>
      <c r="R70" s="641" t="s">
        <v>1394</v>
      </c>
      <c r="S70" s="883" t="e">
        <f t="shared" si="14"/>
        <v>#REF!</v>
      </c>
    </row>
    <row r="71" spans="2:19" ht="11.25" customHeight="1">
      <c r="B71" s="568">
        <v>45677</v>
      </c>
      <c r="C71" s="965" t="s">
        <v>250</v>
      </c>
      <c r="D71" s="984"/>
      <c r="E71" s="917">
        <v>45</v>
      </c>
      <c r="F71" s="569" t="s">
        <v>107</v>
      </c>
      <c r="G71" s="569"/>
      <c r="H71" s="569"/>
      <c r="I71" s="569"/>
      <c r="J71" s="569"/>
      <c r="K71" s="918">
        <v>7.2</v>
      </c>
      <c r="L71" s="542" t="e">
        <f>'통장내역(환율표)'!#REF!</f>
        <v>#REF!</v>
      </c>
      <c r="M71" s="981" t="e">
        <f t="shared" si="17"/>
        <v>#REF!</v>
      </c>
      <c r="N71" s="928" t="e">
        <f t="shared" si="15"/>
        <v>#REF!</v>
      </c>
      <c r="O71" s="928" t="e">
        <f t="shared" si="16"/>
        <v>#REF!</v>
      </c>
      <c r="P71" s="911" t="s">
        <v>1120</v>
      </c>
      <c r="Q71" s="641"/>
      <c r="R71" s="641" t="s">
        <v>1394</v>
      </c>
      <c r="S71" s="883" t="e">
        <f t="shared" si="14"/>
        <v>#REF!</v>
      </c>
    </row>
    <row r="72" spans="2:19" ht="11.25" customHeight="1">
      <c r="B72" s="568">
        <v>45679</v>
      </c>
      <c r="C72" s="965" t="s">
        <v>1411</v>
      </c>
      <c r="D72" s="982"/>
      <c r="E72" s="917">
        <v>46</v>
      </c>
      <c r="F72" s="569" t="s">
        <v>107</v>
      </c>
      <c r="G72" s="569"/>
      <c r="H72" s="569"/>
      <c r="I72" s="569"/>
      <c r="J72" s="569"/>
      <c r="K72" s="918">
        <v>15000</v>
      </c>
      <c r="L72" s="542" t="e">
        <f>'통장내역(환율표)'!#REF!</f>
        <v>#REF!</v>
      </c>
      <c r="M72" s="981" t="e">
        <f t="shared" si="17"/>
        <v>#REF!</v>
      </c>
      <c r="N72" s="928" t="e">
        <f t="shared" si="15"/>
        <v>#REF!</v>
      </c>
      <c r="O72" s="928" t="e">
        <f t="shared" si="16"/>
        <v>#REF!</v>
      </c>
      <c r="P72" s="911" t="s">
        <v>1120</v>
      </c>
      <c r="Q72" s="641"/>
      <c r="R72" s="641"/>
      <c r="S72" s="883" t="e">
        <f t="shared" si="14"/>
        <v>#REF!</v>
      </c>
    </row>
    <row r="73" spans="2:19" ht="11.25" customHeight="1">
      <c r="B73" s="568">
        <v>45679</v>
      </c>
      <c r="C73" s="916" t="s">
        <v>250</v>
      </c>
      <c r="D73" s="982"/>
      <c r="E73" s="917">
        <v>47</v>
      </c>
      <c r="F73" s="569" t="s">
        <v>107</v>
      </c>
      <c r="G73" s="569"/>
      <c r="H73" s="569"/>
      <c r="I73" s="569"/>
      <c r="J73" s="569"/>
      <c r="K73" s="918">
        <v>7.2</v>
      </c>
      <c r="L73" s="542" t="e">
        <f>'통장내역(환율표)'!#REF!</f>
        <v>#REF!</v>
      </c>
      <c r="M73" s="981" t="e">
        <f t="shared" si="17"/>
        <v>#REF!</v>
      </c>
      <c r="N73" s="928" t="e">
        <f t="shared" si="15"/>
        <v>#REF!</v>
      </c>
      <c r="O73" s="928" t="e">
        <f t="shared" si="16"/>
        <v>#REF!</v>
      </c>
      <c r="P73" s="911" t="s">
        <v>1120</v>
      </c>
      <c r="Q73" s="641"/>
      <c r="R73" s="641"/>
      <c r="S73" s="883" t="e">
        <f t="shared" si="14"/>
        <v>#REF!</v>
      </c>
    </row>
    <row r="74" spans="2:19" ht="11.25" customHeight="1">
      <c r="B74" s="568">
        <v>45680</v>
      </c>
      <c r="C74" s="965" t="s">
        <v>885</v>
      </c>
      <c r="D74" s="982"/>
      <c r="E74" s="917">
        <v>48</v>
      </c>
      <c r="F74" s="569" t="s">
        <v>107</v>
      </c>
      <c r="G74" s="569"/>
      <c r="H74" s="569"/>
      <c r="I74" s="569"/>
      <c r="J74" s="569"/>
      <c r="K74" s="918">
        <v>16000</v>
      </c>
      <c r="L74" s="542" t="e">
        <f>'통장내역(환율표)'!#REF!</f>
        <v>#REF!</v>
      </c>
      <c r="M74" s="981" t="e">
        <f t="shared" si="17"/>
        <v>#REF!</v>
      </c>
      <c r="N74" s="928" t="e">
        <f t="shared" si="15"/>
        <v>#REF!</v>
      </c>
      <c r="O74" s="928" t="e">
        <f t="shared" si="16"/>
        <v>#REF!</v>
      </c>
      <c r="P74" s="911" t="s">
        <v>1120</v>
      </c>
      <c r="Q74" s="641"/>
      <c r="R74" s="641" t="s">
        <v>211</v>
      </c>
      <c r="S74" s="883" t="e">
        <f t="shared" si="14"/>
        <v>#REF!</v>
      </c>
    </row>
    <row r="75" spans="2:19" ht="11.25" customHeight="1">
      <c r="B75" s="568">
        <v>45680</v>
      </c>
      <c r="C75" s="965" t="s">
        <v>938</v>
      </c>
      <c r="D75" s="982"/>
      <c r="E75" s="917">
        <v>48</v>
      </c>
      <c r="F75" s="569" t="s">
        <v>107</v>
      </c>
      <c r="G75" s="569"/>
      <c r="H75" s="569"/>
      <c r="I75" s="569"/>
      <c r="J75" s="569"/>
      <c r="K75" s="918">
        <v>24000</v>
      </c>
      <c r="L75" s="542" t="e">
        <f>'통장내역(환율표)'!#REF!</f>
        <v>#REF!</v>
      </c>
      <c r="M75" s="981" t="e">
        <f t="shared" si="17"/>
        <v>#REF!</v>
      </c>
      <c r="N75" s="928" t="e">
        <f t="shared" si="15"/>
        <v>#REF!</v>
      </c>
      <c r="O75" s="928" t="e">
        <f t="shared" si="16"/>
        <v>#REF!</v>
      </c>
      <c r="P75" s="911" t="s">
        <v>1120</v>
      </c>
      <c r="Q75" s="641"/>
      <c r="R75" s="641" t="s">
        <v>211</v>
      </c>
      <c r="S75" s="883" t="e">
        <f t="shared" si="14"/>
        <v>#REF!</v>
      </c>
    </row>
    <row r="76" spans="2:19" ht="11.25" customHeight="1">
      <c r="B76" s="568">
        <v>45680</v>
      </c>
      <c r="C76" s="965" t="s">
        <v>887</v>
      </c>
      <c r="D76" s="921"/>
      <c r="E76" s="917">
        <v>48</v>
      </c>
      <c r="F76" s="569" t="s">
        <v>107</v>
      </c>
      <c r="G76" s="569"/>
      <c r="H76" s="569"/>
      <c r="I76" s="569"/>
      <c r="J76" s="569"/>
      <c r="K76" s="918">
        <v>5305.19</v>
      </c>
      <c r="L76" s="542" t="e">
        <f>'통장내역(환율표)'!#REF!</f>
        <v>#REF!</v>
      </c>
      <c r="M76" s="981" t="e">
        <f t="shared" si="17"/>
        <v>#REF!</v>
      </c>
      <c r="N76" s="928" t="e">
        <f t="shared" si="15"/>
        <v>#REF!</v>
      </c>
      <c r="O76" s="928" t="e">
        <f t="shared" si="16"/>
        <v>#REF!</v>
      </c>
      <c r="P76" s="911" t="s">
        <v>1120</v>
      </c>
      <c r="Q76" s="641"/>
      <c r="R76" s="641" t="s">
        <v>211</v>
      </c>
      <c r="S76" s="883" t="e">
        <f t="shared" si="14"/>
        <v>#REF!</v>
      </c>
    </row>
    <row r="77" spans="2:19" ht="11.25" customHeight="1">
      <c r="B77" s="568">
        <v>45680</v>
      </c>
      <c r="C77" s="965" t="s">
        <v>888</v>
      </c>
      <c r="D77" s="921"/>
      <c r="E77" s="917">
        <v>48</v>
      </c>
      <c r="F77" s="569" t="s">
        <v>107</v>
      </c>
      <c r="G77" s="569"/>
      <c r="H77" s="569"/>
      <c r="I77" s="569"/>
      <c r="J77" s="569"/>
      <c r="K77" s="918">
        <v>1001.04</v>
      </c>
      <c r="L77" s="542" t="e">
        <f>'통장내역(환율표)'!#REF!</f>
        <v>#REF!</v>
      </c>
      <c r="M77" s="981" t="e">
        <f t="shared" si="17"/>
        <v>#REF!</v>
      </c>
      <c r="N77" s="928" t="e">
        <f t="shared" si="15"/>
        <v>#REF!</v>
      </c>
      <c r="O77" s="928" t="e">
        <f t="shared" si="16"/>
        <v>#REF!</v>
      </c>
      <c r="P77" s="911" t="s">
        <v>1120</v>
      </c>
      <c r="Q77" s="641"/>
      <c r="R77" s="641" t="s">
        <v>211</v>
      </c>
      <c r="S77" s="883" t="e">
        <f t="shared" si="14"/>
        <v>#REF!</v>
      </c>
    </row>
    <row r="78" spans="2:19" ht="11.25" customHeight="1">
      <c r="B78" s="568">
        <v>45680</v>
      </c>
      <c r="C78" s="965" t="s">
        <v>892</v>
      </c>
      <c r="D78" s="921"/>
      <c r="E78" s="917">
        <v>48</v>
      </c>
      <c r="F78" s="569" t="s">
        <v>107</v>
      </c>
      <c r="G78" s="569"/>
      <c r="H78" s="569"/>
      <c r="I78" s="569"/>
      <c r="J78" s="569"/>
      <c r="K78" s="918">
        <v>300</v>
      </c>
      <c r="L78" s="542" t="e">
        <f>'통장내역(환율표)'!#REF!</f>
        <v>#REF!</v>
      </c>
      <c r="M78" s="981" t="e">
        <f t="shared" si="17"/>
        <v>#REF!</v>
      </c>
      <c r="N78" s="928" t="e">
        <f t="shared" si="15"/>
        <v>#REF!</v>
      </c>
      <c r="O78" s="928" t="e">
        <f t="shared" si="16"/>
        <v>#REF!</v>
      </c>
      <c r="P78" s="911" t="s">
        <v>1120</v>
      </c>
      <c r="Q78" s="641"/>
      <c r="R78" s="641" t="s">
        <v>211</v>
      </c>
      <c r="S78" s="883" t="e">
        <f t="shared" si="14"/>
        <v>#REF!</v>
      </c>
    </row>
    <row r="79" spans="2:19" ht="11.25" customHeight="1">
      <c r="B79" s="568">
        <v>45680</v>
      </c>
      <c r="C79" s="965" t="s">
        <v>885</v>
      </c>
      <c r="D79" s="921"/>
      <c r="E79" s="917">
        <v>48</v>
      </c>
      <c r="F79" s="569" t="s">
        <v>107</v>
      </c>
      <c r="G79" s="569"/>
      <c r="H79" s="569"/>
      <c r="I79" s="569"/>
      <c r="J79" s="569"/>
      <c r="K79" s="918">
        <v>16000</v>
      </c>
      <c r="L79" s="542" t="e">
        <f>'통장내역(환율표)'!#REF!</f>
        <v>#REF!</v>
      </c>
      <c r="M79" s="981" t="e">
        <f t="shared" si="17"/>
        <v>#REF!</v>
      </c>
      <c r="N79" s="928" t="e">
        <f t="shared" si="15"/>
        <v>#REF!</v>
      </c>
      <c r="O79" s="928" t="e">
        <f t="shared" si="16"/>
        <v>#REF!</v>
      </c>
      <c r="P79" s="911" t="s">
        <v>1120</v>
      </c>
      <c r="Q79" s="641"/>
      <c r="R79" s="641" t="s">
        <v>188</v>
      </c>
      <c r="S79" s="883" t="e">
        <f t="shared" si="14"/>
        <v>#REF!</v>
      </c>
    </row>
    <row r="80" spans="2:19" ht="11.25" customHeight="1">
      <c r="B80" s="568">
        <v>45680</v>
      </c>
      <c r="C80" s="965" t="s">
        <v>938</v>
      </c>
      <c r="D80" s="921"/>
      <c r="E80" s="917">
        <v>48</v>
      </c>
      <c r="F80" s="569" t="s">
        <v>107</v>
      </c>
      <c r="G80" s="569"/>
      <c r="H80" s="569"/>
      <c r="I80" s="569"/>
      <c r="J80" s="569"/>
      <c r="K80" s="918">
        <v>24000</v>
      </c>
      <c r="L80" s="542" t="e">
        <f>'통장내역(환율표)'!#REF!</f>
        <v>#REF!</v>
      </c>
      <c r="M80" s="981" t="e">
        <f t="shared" si="17"/>
        <v>#REF!</v>
      </c>
      <c r="N80" s="928" t="e">
        <f t="shared" si="15"/>
        <v>#REF!</v>
      </c>
      <c r="O80" s="928" t="e">
        <f t="shared" si="16"/>
        <v>#REF!</v>
      </c>
      <c r="P80" s="911" t="s">
        <v>1120</v>
      </c>
      <c r="Q80" s="641"/>
      <c r="R80" s="641" t="s">
        <v>188</v>
      </c>
      <c r="S80" s="883" t="e">
        <f t="shared" si="14"/>
        <v>#REF!</v>
      </c>
    </row>
    <row r="81" spans="2:19" ht="11.25" customHeight="1">
      <c r="B81" s="568">
        <v>45680</v>
      </c>
      <c r="C81" s="965" t="s">
        <v>887</v>
      </c>
      <c r="D81" s="921"/>
      <c r="E81" s="917">
        <v>48</v>
      </c>
      <c r="F81" s="569" t="s">
        <v>107</v>
      </c>
      <c r="G81" s="569"/>
      <c r="H81" s="569"/>
      <c r="I81" s="569"/>
      <c r="J81" s="569"/>
      <c r="K81" s="918">
        <v>8726.19</v>
      </c>
      <c r="L81" s="542" t="e">
        <f>'통장내역(환율표)'!#REF!</f>
        <v>#REF!</v>
      </c>
      <c r="M81" s="981" t="e">
        <f t="shared" si="17"/>
        <v>#REF!</v>
      </c>
      <c r="N81" s="928" t="e">
        <f t="shared" si="15"/>
        <v>#REF!</v>
      </c>
      <c r="O81" s="928" t="e">
        <f t="shared" si="16"/>
        <v>#REF!</v>
      </c>
      <c r="P81" s="911" t="s">
        <v>1120</v>
      </c>
      <c r="Q81" s="641"/>
      <c r="R81" s="641" t="s">
        <v>188</v>
      </c>
      <c r="S81" s="883" t="e">
        <f t="shared" si="14"/>
        <v>#REF!</v>
      </c>
    </row>
    <row r="82" spans="2:19" ht="11.25" customHeight="1">
      <c r="B82" s="568">
        <v>45680</v>
      </c>
      <c r="C82" s="965" t="s">
        <v>888</v>
      </c>
      <c r="D82" s="921"/>
      <c r="E82" s="917">
        <v>48</v>
      </c>
      <c r="F82" s="569" t="s">
        <v>107</v>
      </c>
      <c r="G82" s="569"/>
      <c r="H82" s="569"/>
      <c r="I82" s="569"/>
      <c r="J82" s="569"/>
      <c r="K82" s="918">
        <v>950.1</v>
      </c>
      <c r="L82" s="542" t="e">
        <f>'통장내역(환율표)'!#REF!</f>
        <v>#REF!</v>
      </c>
      <c r="M82" s="981" t="e">
        <f t="shared" si="17"/>
        <v>#REF!</v>
      </c>
      <c r="N82" s="928" t="e">
        <f t="shared" si="15"/>
        <v>#REF!</v>
      </c>
      <c r="O82" s="928" t="e">
        <f t="shared" si="16"/>
        <v>#REF!</v>
      </c>
      <c r="P82" s="911" t="s">
        <v>1120</v>
      </c>
      <c r="Q82" s="641"/>
      <c r="R82" s="641" t="s">
        <v>188</v>
      </c>
      <c r="S82" s="883" t="e">
        <f t="shared" si="14"/>
        <v>#REF!</v>
      </c>
    </row>
    <row r="83" spans="2:19" ht="11.25" customHeight="1">
      <c r="B83" s="568">
        <v>45680</v>
      </c>
      <c r="C83" s="965" t="s">
        <v>892</v>
      </c>
      <c r="D83" s="921"/>
      <c r="E83" s="917">
        <v>48</v>
      </c>
      <c r="F83" s="569" t="s">
        <v>107</v>
      </c>
      <c r="G83" s="569"/>
      <c r="H83" s="569"/>
      <c r="I83" s="569"/>
      <c r="J83" s="569"/>
      <c r="K83" s="918">
        <v>300</v>
      </c>
      <c r="L83" s="542" t="e">
        <f>'통장내역(환율표)'!#REF!</f>
        <v>#REF!</v>
      </c>
      <c r="M83" s="981" t="e">
        <f t="shared" si="17"/>
        <v>#REF!</v>
      </c>
      <c r="N83" s="928" t="e">
        <f t="shared" si="15"/>
        <v>#REF!</v>
      </c>
      <c r="O83" s="928" t="e">
        <f t="shared" si="16"/>
        <v>#REF!</v>
      </c>
      <c r="P83" s="911" t="s">
        <v>1120</v>
      </c>
      <c r="Q83" s="641"/>
      <c r="R83" s="641" t="s">
        <v>188</v>
      </c>
      <c r="S83" s="883" t="e">
        <f t="shared" si="14"/>
        <v>#REF!</v>
      </c>
    </row>
    <row r="84" spans="2:19" ht="11.25" customHeight="1">
      <c r="B84" s="568">
        <v>45680</v>
      </c>
      <c r="C84" s="965" t="s">
        <v>891</v>
      </c>
      <c r="D84" s="921"/>
      <c r="E84" s="917">
        <v>48</v>
      </c>
      <c r="F84" s="569" t="s">
        <v>107</v>
      </c>
      <c r="G84" s="569"/>
      <c r="H84" s="569"/>
      <c r="I84" s="569"/>
      <c r="J84" s="569"/>
      <c r="K84" s="918">
        <v>25750</v>
      </c>
      <c r="L84" s="542" t="e">
        <f>'통장내역(환율표)'!#REF!</f>
        <v>#REF!</v>
      </c>
      <c r="M84" s="981" t="e">
        <f t="shared" si="17"/>
        <v>#REF!</v>
      </c>
      <c r="N84" s="928" t="e">
        <f t="shared" ref="N84:N105" si="18">N83+H84-K84</f>
        <v>#REF!</v>
      </c>
      <c r="O84" s="928" t="e">
        <f t="shared" ref="O84:O105" si="19">O83+J84-M84</f>
        <v>#REF!</v>
      </c>
      <c r="P84" s="911" t="s">
        <v>1120</v>
      </c>
      <c r="Q84" s="641"/>
      <c r="R84" s="641" t="s">
        <v>986</v>
      </c>
      <c r="S84" s="883" t="e">
        <f t="shared" si="14"/>
        <v>#REF!</v>
      </c>
    </row>
    <row r="85" spans="2:19" ht="11.25" customHeight="1">
      <c r="B85" s="568">
        <v>45680</v>
      </c>
      <c r="C85" s="965" t="s">
        <v>1109</v>
      </c>
      <c r="D85" s="921"/>
      <c r="E85" s="917">
        <v>48</v>
      </c>
      <c r="F85" s="569" t="s">
        <v>107</v>
      </c>
      <c r="G85" s="569"/>
      <c r="H85" s="918"/>
      <c r="I85" s="542"/>
      <c r="J85" s="944"/>
      <c r="K85" s="913">
        <v>66500</v>
      </c>
      <c r="L85" s="542" t="e">
        <f>'통장내역(환율표)'!#REF!</f>
        <v>#REF!</v>
      </c>
      <c r="M85" s="981" t="e">
        <f t="shared" si="17"/>
        <v>#REF!</v>
      </c>
      <c r="N85" s="928" t="e">
        <f t="shared" si="18"/>
        <v>#REF!</v>
      </c>
      <c r="O85" s="928" t="e">
        <f t="shared" si="19"/>
        <v>#REF!</v>
      </c>
      <c r="P85" s="911" t="s">
        <v>1120</v>
      </c>
      <c r="Q85" s="641"/>
      <c r="R85" s="641" t="s">
        <v>986</v>
      </c>
      <c r="S85" s="883" t="e">
        <f t="shared" si="14"/>
        <v>#REF!</v>
      </c>
    </row>
    <row r="86" spans="2:19" ht="11.25" customHeight="1">
      <c r="B86" s="568">
        <v>45680</v>
      </c>
      <c r="C86" s="965" t="s">
        <v>939</v>
      </c>
      <c r="D86" s="921"/>
      <c r="E86" s="917">
        <v>48</v>
      </c>
      <c r="F86" s="569" t="s">
        <v>107</v>
      </c>
      <c r="G86" s="569"/>
      <c r="H86" s="569"/>
      <c r="I86" s="569"/>
      <c r="J86" s="569"/>
      <c r="K86" s="918">
        <v>7431.44</v>
      </c>
      <c r="L86" s="542" t="e">
        <f>'통장내역(환율표)'!#REF!</f>
        <v>#REF!</v>
      </c>
      <c r="M86" s="981" t="e">
        <f t="shared" si="17"/>
        <v>#REF!</v>
      </c>
      <c r="N86" s="928" t="e">
        <f t="shared" si="18"/>
        <v>#REF!</v>
      </c>
      <c r="O86" s="928" t="e">
        <f t="shared" si="19"/>
        <v>#REF!</v>
      </c>
      <c r="P86" s="911" t="s">
        <v>1120</v>
      </c>
      <c r="Q86" s="641"/>
      <c r="R86" s="641" t="s">
        <v>986</v>
      </c>
      <c r="S86" s="883" t="e">
        <f t="shared" si="14"/>
        <v>#REF!</v>
      </c>
    </row>
    <row r="87" spans="2:19" ht="11.25" customHeight="1">
      <c r="B87" s="568">
        <v>45680</v>
      </c>
      <c r="C87" s="965" t="s">
        <v>892</v>
      </c>
      <c r="D87" s="921"/>
      <c r="E87" s="917">
        <v>48</v>
      </c>
      <c r="F87" s="569" t="s">
        <v>107</v>
      </c>
      <c r="G87" s="569"/>
      <c r="H87" s="569"/>
      <c r="I87" s="569"/>
      <c r="J87" s="569"/>
      <c r="K87" s="918">
        <v>300</v>
      </c>
      <c r="L87" s="542" t="e">
        <f>'통장내역(환율표)'!#REF!</f>
        <v>#REF!</v>
      </c>
      <c r="M87" s="981" t="e">
        <f t="shared" si="17"/>
        <v>#REF!</v>
      </c>
      <c r="N87" s="928" t="e">
        <f t="shared" si="18"/>
        <v>#REF!</v>
      </c>
      <c r="O87" s="928" t="e">
        <f t="shared" si="19"/>
        <v>#REF!</v>
      </c>
      <c r="P87" s="911" t="s">
        <v>1120</v>
      </c>
      <c r="Q87" s="641"/>
      <c r="R87" s="641" t="s">
        <v>986</v>
      </c>
      <c r="S87" s="883" t="e">
        <f t="shared" si="14"/>
        <v>#REF!</v>
      </c>
    </row>
    <row r="88" spans="2:19" ht="11.25" customHeight="1">
      <c r="B88" s="568">
        <v>45680</v>
      </c>
      <c r="C88" s="965" t="s">
        <v>983</v>
      </c>
      <c r="D88" s="921"/>
      <c r="E88" s="917">
        <v>48</v>
      </c>
      <c r="F88" s="569" t="s">
        <v>107</v>
      </c>
      <c r="G88" s="569"/>
      <c r="H88" s="569"/>
      <c r="I88" s="569"/>
      <c r="J88" s="569"/>
      <c r="K88" s="918">
        <v>200</v>
      </c>
      <c r="L88" s="542" t="e">
        <f>'통장내역(환율표)'!#REF!</f>
        <v>#REF!</v>
      </c>
      <c r="M88" s="981" t="e">
        <f t="shared" si="17"/>
        <v>#REF!</v>
      </c>
      <c r="N88" s="928" t="e">
        <f t="shared" si="18"/>
        <v>#REF!</v>
      </c>
      <c r="O88" s="928" t="e">
        <f t="shared" si="19"/>
        <v>#REF!</v>
      </c>
      <c r="P88" s="911" t="s">
        <v>1120</v>
      </c>
      <c r="Q88" s="641"/>
      <c r="R88" s="641" t="s">
        <v>986</v>
      </c>
      <c r="S88" s="883" t="e">
        <f t="shared" si="14"/>
        <v>#REF!</v>
      </c>
    </row>
    <row r="89" spans="2:19" ht="11.25" customHeight="1">
      <c r="B89" s="568">
        <v>45680</v>
      </c>
      <c r="C89" s="965" t="s">
        <v>891</v>
      </c>
      <c r="D89" s="921"/>
      <c r="E89" s="917">
        <v>48</v>
      </c>
      <c r="F89" s="569" t="s">
        <v>107</v>
      </c>
      <c r="G89" s="569"/>
      <c r="H89" s="569"/>
      <c r="I89" s="569"/>
      <c r="J89" s="569"/>
      <c r="K89" s="918">
        <v>13390</v>
      </c>
      <c r="L89" s="542" t="e">
        <f>'통장내역(환율표)'!#REF!</f>
        <v>#REF!</v>
      </c>
      <c r="M89" s="981" t="e">
        <f t="shared" si="17"/>
        <v>#REF!</v>
      </c>
      <c r="N89" s="928" t="e">
        <f t="shared" si="18"/>
        <v>#REF!</v>
      </c>
      <c r="O89" s="928" t="e">
        <f t="shared" si="19"/>
        <v>#REF!</v>
      </c>
      <c r="P89" s="911" t="s">
        <v>1120</v>
      </c>
      <c r="Q89" s="641"/>
      <c r="R89" s="641" t="s">
        <v>1401</v>
      </c>
      <c r="S89" s="883" t="e">
        <f t="shared" si="14"/>
        <v>#REF!</v>
      </c>
    </row>
    <row r="90" spans="2:19" ht="11.25" customHeight="1">
      <c r="B90" s="568">
        <v>45680</v>
      </c>
      <c r="C90" s="965" t="s">
        <v>1109</v>
      </c>
      <c r="D90" s="921"/>
      <c r="E90" s="917">
        <v>48</v>
      </c>
      <c r="F90" s="569" t="s">
        <v>107</v>
      </c>
      <c r="G90" s="569"/>
      <c r="H90" s="569"/>
      <c r="I90" s="569"/>
      <c r="J90" s="569"/>
      <c r="K90" s="918">
        <v>6500</v>
      </c>
      <c r="L90" s="542" t="e">
        <f>'통장내역(환율표)'!#REF!</f>
        <v>#REF!</v>
      </c>
      <c r="M90" s="981" t="e">
        <f t="shared" si="17"/>
        <v>#REF!</v>
      </c>
      <c r="N90" s="928" t="e">
        <f t="shared" si="18"/>
        <v>#REF!</v>
      </c>
      <c r="O90" s="928" t="e">
        <f t="shared" si="19"/>
        <v>#REF!</v>
      </c>
      <c r="P90" s="911" t="s">
        <v>1120</v>
      </c>
      <c r="Q90" s="641"/>
      <c r="R90" s="641" t="s">
        <v>1401</v>
      </c>
      <c r="S90" s="883" t="e">
        <f t="shared" si="14"/>
        <v>#REF!</v>
      </c>
    </row>
    <row r="91" spans="2:19" ht="11.25" customHeight="1">
      <c r="B91" s="568">
        <v>45680</v>
      </c>
      <c r="C91" s="965" t="s">
        <v>939</v>
      </c>
      <c r="D91" s="921"/>
      <c r="E91" s="917">
        <v>48</v>
      </c>
      <c r="F91" s="569" t="s">
        <v>107</v>
      </c>
      <c r="G91" s="569"/>
      <c r="H91" s="569"/>
      <c r="I91" s="569"/>
      <c r="J91" s="569"/>
      <c r="K91" s="918">
        <v>3281.57</v>
      </c>
      <c r="L91" s="542" t="e">
        <f>'통장내역(환율표)'!#REF!</f>
        <v>#REF!</v>
      </c>
      <c r="M91" s="981" t="e">
        <f t="shared" si="17"/>
        <v>#REF!</v>
      </c>
      <c r="N91" s="928" t="e">
        <f t="shared" si="18"/>
        <v>#REF!</v>
      </c>
      <c r="O91" s="928" t="e">
        <f t="shared" si="19"/>
        <v>#REF!</v>
      </c>
      <c r="P91" s="911" t="s">
        <v>1120</v>
      </c>
      <c r="Q91" s="641"/>
      <c r="R91" s="641" t="s">
        <v>1401</v>
      </c>
      <c r="S91" s="883" t="e">
        <f t="shared" si="14"/>
        <v>#REF!</v>
      </c>
    </row>
    <row r="92" spans="2:19" ht="11.25" customHeight="1">
      <c r="B92" s="568">
        <v>45680</v>
      </c>
      <c r="C92" s="965" t="s">
        <v>892</v>
      </c>
      <c r="D92" s="921"/>
      <c r="E92" s="917">
        <v>48</v>
      </c>
      <c r="F92" s="569" t="s">
        <v>107</v>
      </c>
      <c r="G92" s="569"/>
      <c r="H92" s="569"/>
      <c r="I92" s="569"/>
      <c r="J92" s="569"/>
      <c r="K92" s="918">
        <v>300</v>
      </c>
      <c r="L92" s="542" t="e">
        <f>'통장내역(환율표)'!#REF!</f>
        <v>#REF!</v>
      </c>
      <c r="M92" s="981" t="e">
        <f t="shared" si="17"/>
        <v>#REF!</v>
      </c>
      <c r="N92" s="928" t="e">
        <f t="shared" si="18"/>
        <v>#REF!</v>
      </c>
      <c r="O92" s="928" t="e">
        <f t="shared" si="19"/>
        <v>#REF!</v>
      </c>
      <c r="P92" s="911" t="s">
        <v>1120</v>
      </c>
      <c r="Q92" s="641"/>
      <c r="R92" s="641" t="s">
        <v>1401</v>
      </c>
      <c r="S92" s="883" t="e">
        <f t="shared" si="14"/>
        <v>#REF!</v>
      </c>
    </row>
    <row r="93" spans="2:19" ht="11.25" customHeight="1">
      <c r="B93" s="568">
        <v>45680</v>
      </c>
      <c r="C93" s="965" t="s">
        <v>983</v>
      </c>
      <c r="D93" s="921"/>
      <c r="E93" s="917">
        <v>48</v>
      </c>
      <c r="F93" s="569" t="s">
        <v>107</v>
      </c>
      <c r="G93" s="569"/>
      <c r="H93" s="569"/>
      <c r="I93" s="569"/>
      <c r="J93" s="569"/>
      <c r="K93" s="918">
        <v>200</v>
      </c>
      <c r="L93" s="542" t="e">
        <f>'통장내역(환율표)'!#REF!</f>
        <v>#REF!</v>
      </c>
      <c r="M93" s="981" t="e">
        <f t="shared" si="17"/>
        <v>#REF!</v>
      </c>
      <c r="N93" s="928" t="e">
        <f t="shared" si="18"/>
        <v>#REF!</v>
      </c>
      <c r="O93" s="928" t="e">
        <f t="shared" si="19"/>
        <v>#REF!</v>
      </c>
      <c r="P93" s="911" t="s">
        <v>1120</v>
      </c>
      <c r="Q93" s="641"/>
      <c r="R93" s="641" t="s">
        <v>1401</v>
      </c>
      <c r="S93" s="883" t="e">
        <f t="shared" si="14"/>
        <v>#REF!</v>
      </c>
    </row>
    <row r="94" spans="2:19" ht="11.25" customHeight="1">
      <c r="B94" s="568">
        <v>45680</v>
      </c>
      <c r="C94" s="965" t="s">
        <v>891</v>
      </c>
      <c r="D94" s="921"/>
      <c r="E94" s="917">
        <v>48</v>
      </c>
      <c r="F94" s="569" t="s">
        <v>107</v>
      </c>
      <c r="G94" s="569"/>
      <c r="H94" s="569"/>
      <c r="I94" s="569"/>
      <c r="J94" s="569"/>
      <c r="K94" s="918">
        <v>25750</v>
      </c>
      <c r="L94" s="542" t="e">
        <f>'통장내역(환율표)'!#REF!</f>
        <v>#REF!</v>
      </c>
      <c r="M94" s="981" t="e">
        <f t="shared" si="17"/>
        <v>#REF!</v>
      </c>
      <c r="N94" s="928" t="e">
        <f t="shared" si="18"/>
        <v>#REF!</v>
      </c>
      <c r="O94" s="928" t="e">
        <f t="shared" si="19"/>
        <v>#REF!</v>
      </c>
      <c r="P94" s="911" t="s">
        <v>1120</v>
      </c>
      <c r="Q94" s="641"/>
      <c r="R94" s="641" t="s">
        <v>895</v>
      </c>
      <c r="S94" s="883" t="e">
        <f t="shared" si="14"/>
        <v>#REF!</v>
      </c>
    </row>
    <row r="95" spans="2:19" ht="11.25" customHeight="1">
      <c r="B95" s="568">
        <v>45680</v>
      </c>
      <c r="C95" s="965" t="s">
        <v>1109</v>
      </c>
      <c r="D95" s="921"/>
      <c r="E95" s="917">
        <v>48</v>
      </c>
      <c r="F95" s="569" t="s">
        <v>107</v>
      </c>
      <c r="G95" s="569"/>
      <c r="H95" s="569"/>
      <c r="I95" s="569"/>
      <c r="J95" s="569"/>
      <c r="K95" s="918">
        <v>12500</v>
      </c>
      <c r="L95" s="542" t="e">
        <f>'통장내역(환율표)'!#REF!</f>
        <v>#REF!</v>
      </c>
      <c r="M95" s="981" t="e">
        <f t="shared" ref="M95:M103" si="20">K95/L95</f>
        <v>#REF!</v>
      </c>
      <c r="N95" s="928" t="e">
        <f t="shared" si="18"/>
        <v>#REF!</v>
      </c>
      <c r="O95" s="928" t="e">
        <f t="shared" si="19"/>
        <v>#REF!</v>
      </c>
      <c r="P95" s="911" t="s">
        <v>1120</v>
      </c>
      <c r="Q95" s="641"/>
      <c r="R95" s="641" t="s">
        <v>895</v>
      </c>
      <c r="S95" s="883" t="e">
        <f t="shared" si="14"/>
        <v>#REF!</v>
      </c>
    </row>
    <row r="96" spans="2:19" ht="11.25" customHeight="1">
      <c r="B96" s="568">
        <v>45680</v>
      </c>
      <c r="C96" s="965" t="s">
        <v>939</v>
      </c>
      <c r="D96" s="921"/>
      <c r="E96" s="917">
        <v>48</v>
      </c>
      <c r="F96" s="569" t="s">
        <v>107</v>
      </c>
      <c r="G96" s="569"/>
      <c r="H96" s="569"/>
      <c r="I96" s="569"/>
      <c r="J96" s="569"/>
      <c r="K96" s="918">
        <v>7431.44</v>
      </c>
      <c r="L96" s="542" t="e">
        <f>'통장내역(환율표)'!#REF!</f>
        <v>#REF!</v>
      </c>
      <c r="M96" s="981" t="e">
        <f t="shared" si="20"/>
        <v>#REF!</v>
      </c>
      <c r="N96" s="928" t="e">
        <f t="shared" si="18"/>
        <v>#REF!</v>
      </c>
      <c r="O96" s="928" t="e">
        <f t="shared" si="19"/>
        <v>#REF!</v>
      </c>
      <c r="P96" s="911" t="s">
        <v>1120</v>
      </c>
      <c r="Q96" s="641"/>
      <c r="R96" s="641" t="s">
        <v>895</v>
      </c>
      <c r="S96" s="883" t="e">
        <f t="shared" si="14"/>
        <v>#REF!</v>
      </c>
    </row>
    <row r="97" spans="2:19" ht="11.25" customHeight="1">
      <c r="B97" s="568">
        <v>45680</v>
      </c>
      <c r="C97" s="965" t="s">
        <v>892</v>
      </c>
      <c r="D97" s="921"/>
      <c r="E97" s="917">
        <v>48</v>
      </c>
      <c r="F97" s="569" t="s">
        <v>107</v>
      </c>
      <c r="G97" s="569"/>
      <c r="H97" s="569"/>
      <c r="I97" s="569"/>
      <c r="J97" s="569"/>
      <c r="K97" s="918">
        <v>300</v>
      </c>
      <c r="L97" s="542" t="e">
        <f>'통장내역(환율표)'!#REF!</f>
        <v>#REF!</v>
      </c>
      <c r="M97" s="981" t="e">
        <f t="shared" si="20"/>
        <v>#REF!</v>
      </c>
      <c r="N97" s="928" t="e">
        <f t="shared" si="18"/>
        <v>#REF!</v>
      </c>
      <c r="O97" s="928" t="e">
        <f t="shared" si="19"/>
        <v>#REF!</v>
      </c>
      <c r="P97" s="911" t="s">
        <v>1120</v>
      </c>
      <c r="Q97" s="641"/>
      <c r="R97" s="641" t="s">
        <v>895</v>
      </c>
      <c r="S97" s="883" t="e">
        <f t="shared" ref="S97:S103" si="21">S96-M97</f>
        <v>#REF!</v>
      </c>
    </row>
    <row r="98" spans="2:19" ht="11.25" customHeight="1">
      <c r="B98" s="568">
        <v>45680</v>
      </c>
      <c r="C98" s="965" t="s">
        <v>891</v>
      </c>
      <c r="D98" s="921"/>
      <c r="E98" s="917">
        <v>48</v>
      </c>
      <c r="F98" s="569" t="s">
        <v>107</v>
      </c>
      <c r="G98" s="569"/>
      <c r="H98" s="569"/>
      <c r="I98" s="569"/>
      <c r="J98" s="569"/>
      <c r="K98" s="918">
        <v>21300</v>
      </c>
      <c r="L98" s="542" t="e">
        <f>'통장내역(환율표)'!#REF!</f>
        <v>#REF!</v>
      </c>
      <c r="M98" s="981" t="e">
        <f t="shared" si="20"/>
        <v>#REF!</v>
      </c>
      <c r="N98" s="928" t="e">
        <f t="shared" si="18"/>
        <v>#REF!</v>
      </c>
      <c r="O98" s="928" t="e">
        <f t="shared" si="19"/>
        <v>#REF!</v>
      </c>
      <c r="P98" s="911" t="s">
        <v>1120</v>
      </c>
      <c r="Q98" s="641"/>
      <c r="R98" s="641" t="s">
        <v>1396</v>
      </c>
      <c r="S98" s="883" t="e">
        <f t="shared" si="21"/>
        <v>#REF!</v>
      </c>
    </row>
    <row r="99" spans="2:19" ht="11.25" customHeight="1">
      <c r="B99" s="568">
        <v>45680</v>
      </c>
      <c r="C99" s="965" t="s">
        <v>1109</v>
      </c>
      <c r="D99" s="921"/>
      <c r="E99" s="917">
        <v>48</v>
      </c>
      <c r="F99" s="569" t="s">
        <v>107</v>
      </c>
      <c r="G99" s="569"/>
      <c r="H99" s="569"/>
      <c r="I99" s="569"/>
      <c r="J99" s="569"/>
      <c r="K99" s="918">
        <v>2500</v>
      </c>
      <c r="L99" s="542" t="e">
        <f>'통장내역(환율표)'!#REF!</f>
        <v>#REF!</v>
      </c>
      <c r="M99" s="981" t="e">
        <f t="shared" si="20"/>
        <v>#REF!</v>
      </c>
      <c r="N99" s="928" t="e">
        <f t="shared" si="18"/>
        <v>#REF!</v>
      </c>
      <c r="O99" s="928" t="e">
        <f t="shared" si="19"/>
        <v>#REF!</v>
      </c>
      <c r="P99" s="911" t="s">
        <v>1120</v>
      </c>
      <c r="Q99" s="641"/>
      <c r="R99" s="641" t="s">
        <v>1396</v>
      </c>
      <c r="S99" s="883" t="e">
        <f t="shared" si="21"/>
        <v>#REF!</v>
      </c>
    </row>
    <row r="100" spans="2:19" ht="11.25" customHeight="1">
      <c r="B100" s="568">
        <v>45680</v>
      </c>
      <c r="C100" s="965" t="s">
        <v>939</v>
      </c>
      <c r="D100" s="921"/>
      <c r="E100" s="917">
        <v>48</v>
      </c>
      <c r="F100" s="569" t="s">
        <v>107</v>
      </c>
      <c r="G100" s="569"/>
      <c r="H100" s="569"/>
      <c r="I100" s="569"/>
      <c r="J100" s="569"/>
      <c r="K100" s="918">
        <v>5941.29</v>
      </c>
      <c r="L100" s="542" t="e">
        <f>'통장내역(환율표)'!#REF!</f>
        <v>#REF!</v>
      </c>
      <c r="M100" s="981" t="e">
        <f t="shared" si="20"/>
        <v>#REF!</v>
      </c>
      <c r="N100" s="928" t="e">
        <f t="shared" si="18"/>
        <v>#REF!</v>
      </c>
      <c r="O100" s="928" t="e">
        <f t="shared" si="19"/>
        <v>#REF!</v>
      </c>
      <c r="P100" s="911" t="s">
        <v>1120</v>
      </c>
      <c r="Q100" s="641"/>
      <c r="R100" s="641" t="s">
        <v>1396</v>
      </c>
      <c r="S100" s="883" t="e">
        <f t="shared" si="21"/>
        <v>#REF!</v>
      </c>
    </row>
    <row r="101" spans="2:19" ht="11.25" customHeight="1">
      <c r="B101" s="568">
        <v>45680</v>
      </c>
      <c r="C101" s="965" t="s">
        <v>892</v>
      </c>
      <c r="D101" s="921"/>
      <c r="E101" s="917">
        <v>48</v>
      </c>
      <c r="F101" s="569" t="s">
        <v>107</v>
      </c>
      <c r="G101" s="569"/>
      <c r="H101" s="569"/>
      <c r="I101" s="569"/>
      <c r="J101" s="569"/>
      <c r="K101" s="918">
        <v>300</v>
      </c>
      <c r="L101" s="542" t="e">
        <f>'통장내역(환율표)'!#REF!</f>
        <v>#REF!</v>
      </c>
      <c r="M101" s="981" t="e">
        <f t="shared" si="20"/>
        <v>#REF!</v>
      </c>
      <c r="N101" s="928" t="e">
        <f t="shared" si="18"/>
        <v>#REF!</v>
      </c>
      <c r="O101" s="928" t="e">
        <f t="shared" si="19"/>
        <v>#REF!</v>
      </c>
      <c r="P101" s="911" t="s">
        <v>1120</v>
      </c>
      <c r="Q101" s="641"/>
      <c r="R101" s="641" t="s">
        <v>1396</v>
      </c>
      <c r="S101" s="883" t="e">
        <f t="shared" si="21"/>
        <v>#REF!</v>
      </c>
    </row>
    <row r="102" spans="2:19" ht="11.25" customHeight="1">
      <c r="B102" s="568">
        <v>45680</v>
      </c>
      <c r="C102" s="965" t="s">
        <v>983</v>
      </c>
      <c r="D102" s="921"/>
      <c r="E102" s="917">
        <v>48</v>
      </c>
      <c r="F102" s="569" t="s">
        <v>107</v>
      </c>
      <c r="G102" s="569"/>
      <c r="H102" s="569"/>
      <c r="I102" s="569"/>
      <c r="J102" s="569"/>
      <c r="K102" s="918">
        <v>600</v>
      </c>
      <c r="L102" s="542" t="e">
        <f>'통장내역(환율표)'!#REF!</f>
        <v>#REF!</v>
      </c>
      <c r="M102" s="981" t="e">
        <f t="shared" si="20"/>
        <v>#REF!</v>
      </c>
      <c r="N102" s="928" t="e">
        <f t="shared" si="18"/>
        <v>#REF!</v>
      </c>
      <c r="O102" s="928" t="e">
        <f t="shared" si="19"/>
        <v>#REF!</v>
      </c>
      <c r="P102" s="911" t="s">
        <v>1120</v>
      </c>
      <c r="Q102" s="641"/>
      <c r="R102" s="641" t="s">
        <v>1396</v>
      </c>
      <c r="S102" s="883" t="e">
        <f t="shared" si="21"/>
        <v>#REF!</v>
      </c>
    </row>
    <row r="103" spans="2:19" ht="11.25" customHeight="1">
      <c r="B103" s="568">
        <v>45680</v>
      </c>
      <c r="C103" s="916" t="s">
        <v>250</v>
      </c>
      <c r="D103" s="921"/>
      <c r="E103" s="917">
        <v>49</v>
      </c>
      <c r="F103" s="569" t="s">
        <v>107</v>
      </c>
      <c r="G103" s="569"/>
      <c r="H103" s="569"/>
      <c r="I103" s="569"/>
      <c r="J103" s="569"/>
      <c r="K103" s="918">
        <v>12</v>
      </c>
      <c r="L103" s="542" t="e">
        <f>'통장내역(환율표)'!#REF!</f>
        <v>#REF!</v>
      </c>
      <c r="M103" s="981" t="e">
        <f t="shared" si="20"/>
        <v>#REF!</v>
      </c>
      <c r="N103" s="928" t="e">
        <f t="shared" si="18"/>
        <v>#REF!</v>
      </c>
      <c r="O103" s="928" t="e">
        <f t="shared" si="19"/>
        <v>#REF!</v>
      </c>
      <c r="P103" s="911" t="s">
        <v>1120</v>
      </c>
      <c r="Q103" s="641"/>
      <c r="R103" s="641"/>
      <c r="S103" s="883" t="e">
        <f t="shared" si="21"/>
        <v>#REF!</v>
      </c>
    </row>
    <row r="104" spans="2:19" ht="11.25" customHeight="1">
      <c r="B104" s="1026">
        <v>45682</v>
      </c>
      <c r="C104" s="1027" t="s">
        <v>834</v>
      </c>
      <c r="D104" s="1028"/>
      <c r="E104" s="1029">
        <v>50</v>
      </c>
      <c r="F104" s="1030" t="s">
        <v>107</v>
      </c>
      <c r="G104" s="1030"/>
      <c r="H104" s="1030">
        <v>56133.42</v>
      </c>
      <c r="I104" s="1030"/>
      <c r="J104" s="1037">
        <v>7802</v>
      </c>
      <c r="K104" s="1031"/>
      <c r="L104" s="1032"/>
      <c r="M104" s="1033"/>
      <c r="N104" s="1033" t="e">
        <f t="shared" si="18"/>
        <v>#REF!</v>
      </c>
      <c r="O104" s="1033" t="e">
        <f t="shared" si="19"/>
        <v>#REF!</v>
      </c>
      <c r="P104" s="1034" t="s">
        <v>1410</v>
      </c>
      <c r="Q104" s="1035"/>
      <c r="R104" s="1035"/>
      <c r="S104" s="883"/>
    </row>
    <row r="105" spans="2:19" ht="11.25" customHeight="1">
      <c r="B105" s="1026">
        <v>45682</v>
      </c>
      <c r="C105" s="1027" t="s">
        <v>834</v>
      </c>
      <c r="D105" s="1028"/>
      <c r="E105" s="1029">
        <v>50</v>
      </c>
      <c r="F105" s="1030" t="s">
        <v>107</v>
      </c>
      <c r="G105" s="1030"/>
      <c r="H105" s="1030"/>
      <c r="I105" s="1030"/>
      <c r="J105" s="1030"/>
      <c r="K105" s="1031"/>
      <c r="L105" s="1032"/>
      <c r="M105" s="1033">
        <v>36</v>
      </c>
      <c r="N105" s="1033" t="e">
        <f t="shared" si="18"/>
        <v>#REF!</v>
      </c>
      <c r="O105" s="1033" t="e">
        <f t="shared" si="19"/>
        <v>#REF!</v>
      </c>
      <c r="P105" s="1034" t="s">
        <v>1410</v>
      </c>
      <c r="Q105" s="1035"/>
      <c r="R105" s="1035"/>
      <c r="S105" s="883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16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C7C-2793-4454-B1D6-E1650947FDFB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N87" sqref="N87"/>
      <selection pane="bottomLeft" activeCell="N87" sqref="N87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461" customWidth="1"/>
    <col min="4" max="4" width="9.69921875" style="461" customWidth="1"/>
    <col min="5" max="5" width="12.09765625" style="461" customWidth="1"/>
    <col min="6" max="6" width="11.0976562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489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451"/>
      <c r="D1" s="451"/>
      <c r="E1" s="453"/>
      <c r="F1" s="453"/>
      <c r="G1" s="454"/>
      <c r="H1" s="453"/>
      <c r="I1" s="453"/>
      <c r="J1" s="455"/>
      <c r="K1" s="455"/>
      <c r="L1" s="456"/>
      <c r="M1" s="457"/>
      <c r="N1" s="457"/>
      <c r="O1" s="451"/>
      <c r="P1" s="458"/>
      <c r="Q1" s="458"/>
      <c r="R1" s="459"/>
      <c r="S1" s="460"/>
    </row>
    <row r="2" spans="1:29" ht="15" customHeight="1">
      <c r="B2" s="1053" t="s">
        <v>1422</v>
      </c>
      <c r="C2" s="520"/>
      <c r="D2" s="520"/>
      <c r="F2" s="1004"/>
      <c r="G2" s="489" t="s">
        <v>1047</v>
      </c>
      <c r="H2" s="1005" t="s">
        <v>1398</v>
      </c>
      <c r="I2" s="525"/>
      <c r="J2" s="525"/>
      <c r="K2" s="526"/>
      <c r="L2" s="525"/>
      <c r="M2" s="525"/>
      <c r="N2" s="767"/>
      <c r="O2" s="1006"/>
      <c r="Q2" s="1007"/>
    </row>
    <row r="3" spans="1:29" s="483" customFormat="1" ht="11.25" customHeight="1">
      <c r="A3" s="475"/>
      <c r="B3" s="476" t="s">
        <v>1397</v>
      </c>
      <c r="C3" s="477"/>
      <c r="D3" s="477"/>
      <c r="E3" s="477"/>
      <c r="F3" s="983">
        <v>1458.2</v>
      </c>
      <c r="G3" s="480"/>
      <c r="H3" s="476" t="s">
        <v>1412</v>
      </c>
      <c r="I3" s="477"/>
      <c r="K3" s="478"/>
      <c r="L3" s="983">
        <v>1434.3</v>
      </c>
      <c r="N3" s="476" t="s">
        <v>1421</v>
      </c>
      <c r="O3" s="477"/>
      <c r="Q3" s="478"/>
      <c r="R3" s="983">
        <v>1447.4</v>
      </c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485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484" t="s">
        <v>1</v>
      </c>
      <c r="O4" s="485" t="s">
        <v>2</v>
      </c>
      <c r="P4" s="486" t="s">
        <v>1049</v>
      </c>
      <c r="Q4" s="490" t="s">
        <v>1050</v>
      </c>
      <c r="R4" s="488" t="s">
        <v>1051</v>
      </c>
      <c r="U4" s="461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13162.8</v>
      </c>
      <c r="E5" s="496">
        <v>1798.42</v>
      </c>
      <c r="F5" s="497">
        <f>ROUND(E5*$F$3,0)</f>
        <v>2622456</v>
      </c>
      <c r="G5" s="498"/>
      <c r="H5" s="499" t="s">
        <v>11</v>
      </c>
      <c r="I5" s="499" t="s">
        <v>12</v>
      </c>
      <c r="J5" s="693">
        <v>3415.36</v>
      </c>
      <c r="K5" s="693">
        <v>472.51</v>
      </c>
      <c r="L5" s="651">
        <f>ROUND(K5*$L$3,0)</f>
        <v>677721</v>
      </c>
      <c r="M5" s="889">
        <f>L5+F5</f>
        <v>3300177</v>
      </c>
      <c r="N5" s="499" t="s">
        <v>11</v>
      </c>
      <c r="O5" s="499" t="s">
        <v>12</v>
      </c>
      <c r="P5" s="693"/>
      <c r="Q5" s="693"/>
      <c r="R5" s="651">
        <f>ROUND(Q5*$R$3,0)</f>
        <v>0</v>
      </c>
      <c r="S5" s="1036">
        <f>F5+L5+R5</f>
        <v>3300177</v>
      </c>
      <c r="U5" s="461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7210.07</v>
      </c>
      <c r="E6" s="500">
        <v>985.1</v>
      </c>
      <c r="F6" s="497">
        <f t="shared" ref="F6:F12" si="0">ROUND(E6*$F$3,0)</f>
        <v>1436473</v>
      </c>
      <c r="G6" s="502"/>
      <c r="H6" s="499" t="s">
        <v>13</v>
      </c>
      <c r="I6" s="499" t="s">
        <v>14</v>
      </c>
      <c r="J6" s="693">
        <v>7124.78</v>
      </c>
      <c r="K6" s="693">
        <v>985.71</v>
      </c>
      <c r="L6" s="651">
        <f t="shared" ref="L6:L12" si="1">ROUND(K6*$L$3,0)</f>
        <v>1413804</v>
      </c>
      <c r="M6" s="889">
        <f t="shared" ref="M6:M13" si="2">L6+F6</f>
        <v>2850277</v>
      </c>
      <c r="N6" s="499" t="s">
        <v>13</v>
      </c>
      <c r="O6" s="499" t="s">
        <v>14</v>
      </c>
      <c r="P6" s="693"/>
      <c r="Q6" s="693"/>
      <c r="R6" s="651">
        <f t="shared" ref="R6:R10" si="3">ROUND(Q6*$R$3,0)</f>
        <v>0</v>
      </c>
      <c r="S6" s="1036">
        <f t="shared" ref="S6:S12" si="4">F6+L6+R6</f>
        <v>2850277</v>
      </c>
      <c r="U6" s="461"/>
      <c r="AB6" s="525"/>
      <c r="AC6" s="489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24224</v>
      </c>
      <c r="E7" s="500">
        <v>3309.7</v>
      </c>
      <c r="F7" s="497">
        <f t="shared" si="0"/>
        <v>4826205</v>
      </c>
      <c r="G7" s="503"/>
      <c r="H7" s="499" t="s">
        <v>15</v>
      </c>
      <c r="I7" s="499" t="s">
        <v>1055</v>
      </c>
      <c r="J7" s="694"/>
      <c r="K7" s="694"/>
      <c r="L7" s="651">
        <f t="shared" si="1"/>
        <v>0</v>
      </c>
      <c r="M7" s="889">
        <f t="shared" si="2"/>
        <v>4826205</v>
      </c>
      <c r="N7" s="499" t="s">
        <v>15</v>
      </c>
      <c r="O7" s="499" t="s">
        <v>1055</v>
      </c>
      <c r="P7" s="694"/>
      <c r="Q7" s="694"/>
      <c r="R7" s="651">
        <f t="shared" si="3"/>
        <v>0</v>
      </c>
      <c r="S7" s="1036">
        <f t="shared" si="4"/>
        <v>4826205</v>
      </c>
      <c r="U7" s="461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17500</v>
      </c>
      <c r="E8" s="500">
        <v>2391</v>
      </c>
      <c r="F8" s="497">
        <f t="shared" si="0"/>
        <v>3486556</v>
      </c>
      <c r="G8" s="503"/>
      <c r="H8" s="499" t="s">
        <v>15</v>
      </c>
      <c r="I8" s="494" t="s">
        <v>17</v>
      </c>
      <c r="J8" s="694"/>
      <c r="K8" s="694"/>
      <c r="L8" s="651">
        <f t="shared" si="1"/>
        <v>0</v>
      </c>
      <c r="M8" s="889">
        <f t="shared" si="2"/>
        <v>3486556</v>
      </c>
      <c r="N8" s="499" t="s">
        <v>15</v>
      </c>
      <c r="O8" s="1059" t="s">
        <v>17</v>
      </c>
      <c r="P8" s="694"/>
      <c r="Q8" s="694"/>
      <c r="R8" s="1060">
        <f t="shared" si="3"/>
        <v>0</v>
      </c>
      <c r="S8" s="1036">
        <f t="shared" si="4"/>
        <v>3486556</v>
      </c>
      <c r="U8" s="461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1155.8000000000002</v>
      </c>
      <c r="E9" s="500">
        <v>157.91999999999999</v>
      </c>
      <c r="F9" s="497">
        <f t="shared" si="0"/>
        <v>230279</v>
      </c>
      <c r="G9" s="504"/>
      <c r="H9" s="499" t="s">
        <v>19</v>
      </c>
      <c r="I9" s="494" t="s">
        <v>20</v>
      </c>
      <c r="J9" s="693">
        <v>93.06</v>
      </c>
      <c r="K9" s="693">
        <v>12.87</v>
      </c>
      <c r="L9" s="651">
        <f t="shared" si="1"/>
        <v>18459</v>
      </c>
      <c r="M9" s="889">
        <f t="shared" si="2"/>
        <v>248738</v>
      </c>
      <c r="N9" s="499" t="s">
        <v>19</v>
      </c>
      <c r="O9" s="1059" t="s">
        <v>20</v>
      </c>
      <c r="P9" s="693"/>
      <c r="Q9" s="693"/>
      <c r="R9" s="1060">
        <f t="shared" si="3"/>
        <v>0</v>
      </c>
      <c r="S9" s="1036">
        <f t="shared" si="4"/>
        <v>248738</v>
      </c>
      <c r="U9" s="461"/>
    </row>
    <row r="10" spans="1:29" ht="11.25" customHeight="1">
      <c r="A10" s="492">
        <v>51321010</v>
      </c>
      <c r="B10" s="493" t="s">
        <v>21</v>
      </c>
      <c r="C10" s="494"/>
      <c r="D10" s="500">
        <v>14627.750000000002</v>
      </c>
      <c r="E10" s="500">
        <v>1998.57</v>
      </c>
      <c r="F10" s="497">
        <f t="shared" si="0"/>
        <v>2914315</v>
      </c>
      <c r="G10" s="505"/>
      <c r="H10" s="499" t="s">
        <v>21</v>
      </c>
      <c r="I10" s="499"/>
      <c r="J10" s="693">
        <v>45500.22</v>
      </c>
      <c r="K10" s="693">
        <v>6294.91</v>
      </c>
      <c r="L10" s="651">
        <f t="shared" si="1"/>
        <v>9028789</v>
      </c>
      <c r="M10" s="889">
        <f t="shared" si="2"/>
        <v>11943104</v>
      </c>
      <c r="N10" s="499" t="s">
        <v>21</v>
      </c>
      <c r="O10" s="1061"/>
      <c r="P10" s="693">
        <v>167290.76</v>
      </c>
      <c r="Q10" s="693">
        <v>22984.82</v>
      </c>
      <c r="R10" s="1060">
        <f t="shared" si="3"/>
        <v>33268228</v>
      </c>
      <c r="S10" s="1036">
        <f t="shared" si="4"/>
        <v>45211332</v>
      </c>
      <c r="U10" s="461"/>
      <c r="AB10" s="525"/>
      <c r="AC10" s="489"/>
    </row>
    <row r="11" spans="1:29" ht="11.25" customHeight="1">
      <c r="A11" s="492">
        <v>51031020</v>
      </c>
      <c r="B11" s="507" t="s">
        <v>1057</v>
      </c>
      <c r="C11" s="507" t="s">
        <v>1058</v>
      </c>
      <c r="D11" s="507"/>
      <c r="E11" s="508"/>
      <c r="F11" s="509">
        <f t="shared" si="0"/>
        <v>0</v>
      </c>
      <c r="G11" s="510">
        <f>G13/G12</f>
        <v>1450.1752261687823</v>
      </c>
      <c r="H11" s="507" t="s">
        <v>1057</v>
      </c>
      <c r="I11" s="507" t="s">
        <v>1279</v>
      </c>
      <c r="J11" s="511"/>
      <c r="K11" s="855"/>
      <c r="L11" s="854">
        <f t="shared" si="1"/>
        <v>0</v>
      </c>
      <c r="M11" s="889">
        <f t="shared" si="2"/>
        <v>0</v>
      </c>
      <c r="N11" s="507" t="s">
        <v>1057</v>
      </c>
      <c r="O11" s="1062" t="s">
        <v>1279</v>
      </c>
      <c r="P11" s="1063">
        <v>56779</v>
      </c>
      <c r="Q11" s="1063">
        <v>7783.81</v>
      </c>
      <c r="R11" s="1064">
        <f>ROUND(Q11*$R$3,0)</f>
        <v>11266287</v>
      </c>
      <c r="S11" s="1036">
        <f t="shared" si="4"/>
        <v>11266287</v>
      </c>
      <c r="U11" s="461"/>
      <c r="AB11" s="525"/>
      <c r="AC11" s="489"/>
    </row>
    <row r="12" spans="1:29" ht="11.25" customHeight="1">
      <c r="A12" s="492">
        <v>52981010</v>
      </c>
      <c r="B12" s="499" t="s">
        <v>1059</v>
      </c>
      <c r="C12" s="499" t="s">
        <v>1060</v>
      </c>
      <c r="D12" s="926"/>
      <c r="E12" s="500"/>
      <c r="F12" s="497">
        <f t="shared" si="0"/>
        <v>0</v>
      </c>
      <c r="G12" s="512">
        <f>E13+Q13+AB13</f>
        <v>41409.339999999997</v>
      </c>
      <c r="H12" s="499" t="s">
        <v>1059</v>
      </c>
      <c r="I12" s="499" t="s">
        <v>1060</v>
      </c>
      <c r="J12" s="495"/>
      <c r="K12" s="500"/>
      <c r="L12" s="651">
        <f t="shared" si="1"/>
        <v>0</v>
      </c>
      <c r="M12" s="889">
        <f t="shared" si="2"/>
        <v>0</v>
      </c>
      <c r="N12" s="499" t="s">
        <v>1059</v>
      </c>
      <c r="O12" s="1061" t="s">
        <v>1060</v>
      </c>
      <c r="P12" s="1065"/>
      <c r="Q12" s="693"/>
      <c r="R12" s="1060">
        <f t="shared" ref="R12" si="5">ROUND(Q12*$R$3,0)</f>
        <v>0</v>
      </c>
      <c r="S12" s="1036">
        <f t="shared" si="4"/>
        <v>0</v>
      </c>
      <c r="U12" s="461"/>
      <c r="AB12" s="525"/>
      <c r="AC12" s="489"/>
    </row>
    <row r="13" spans="1:29" s="489" customFormat="1" ht="11.25" customHeight="1">
      <c r="A13" s="867"/>
      <c r="B13" s="868" t="s">
        <v>22</v>
      </c>
      <c r="C13" s="869"/>
      <c r="D13" s="515">
        <f>SUM(D5:D11)-D12</f>
        <v>77880.42</v>
      </c>
      <c r="E13" s="515">
        <f>SUM(E5:E11)-E12</f>
        <v>10640.71</v>
      </c>
      <c r="F13" s="870">
        <f>SUM(F5:F11)-F12</f>
        <v>15516284</v>
      </c>
      <c r="G13" s="518">
        <f>F13+R13+AC13</f>
        <v>60050799</v>
      </c>
      <c r="H13" s="868" t="s">
        <v>22</v>
      </c>
      <c r="I13" s="869"/>
      <c r="J13" s="515">
        <f>SUM(J5:J11)-J12</f>
        <v>56133.42</v>
      </c>
      <c r="K13" s="515">
        <f>SUM(K5:K11)-K12</f>
        <v>7766</v>
      </c>
      <c r="L13" s="870">
        <f>SUM(L5:L11)-L12</f>
        <v>11138773</v>
      </c>
      <c r="M13" s="889">
        <f t="shared" si="2"/>
        <v>26655057</v>
      </c>
      <c r="N13" s="868" t="s">
        <v>22</v>
      </c>
      <c r="O13" s="869"/>
      <c r="P13" s="515">
        <f>SUM(P5:P11)-P12</f>
        <v>224069.76000000001</v>
      </c>
      <c r="Q13" s="515">
        <f>SUM(Q5:Q11)-Q12</f>
        <v>30768.63</v>
      </c>
      <c r="R13" s="870">
        <f>SUM(R5:R11)-R12</f>
        <v>44534515</v>
      </c>
      <c r="S13" s="1036">
        <f t="shared" ref="S13" si="6">F13+L13+R13</f>
        <v>71189572</v>
      </c>
      <c r="U13" s="850"/>
      <c r="X13" s="844">
        <f>F13+R13</f>
        <v>60050799</v>
      </c>
      <c r="Y13" s="876"/>
      <c r="Z13" s="890"/>
      <c r="AB13" s="526"/>
    </row>
    <row r="14" spans="1:29" ht="14.25" customHeight="1">
      <c r="A14" s="449"/>
      <c r="C14" s="520"/>
      <c r="D14" s="739">
        <f t="shared" ref="D14:E14" si="7">SUM(D7:D10)</f>
        <v>57507.55</v>
      </c>
      <c r="E14" s="739">
        <f t="shared" si="7"/>
        <v>7857.19</v>
      </c>
      <c r="F14" s="739">
        <f>SUM(F7:F10)</f>
        <v>11457355</v>
      </c>
      <c r="G14" s="524"/>
      <c r="J14" s="929">
        <f>J13+D13+P13</f>
        <v>358083.6</v>
      </c>
      <c r="K14" s="929">
        <f>K13+E13+Q13</f>
        <v>49175.34</v>
      </c>
      <c r="L14" s="904">
        <f>L13+F13+R13</f>
        <v>71189572</v>
      </c>
      <c r="M14" s="865" t="e">
        <f>M16-E12</f>
        <v>#REF!</v>
      </c>
      <c r="O14" s="525"/>
      <c r="P14" s="844">
        <f>P13+D13+J13</f>
        <v>358083.6</v>
      </c>
      <c r="Q14" s="844">
        <f>Q13+E13+K13</f>
        <v>49175.34</v>
      </c>
      <c r="R14" s="845">
        <f>R13+F13+L13</f>
        <v>71189572</v>
      </c>
      <c r="X14" s="525"/>
      <c r="Y14" s="525"/>
      <c r="AB14" s="525"/>
      <c r="AC14" s="489"/>
    </row>
    <row r="15" spans="1:29" ht="14.25" customHeight="1">
      <c r="A15" s="449"/>
      <c r="C15" s="520"/>
      <c r="D15" s="739"/>
      <c r="E15" s="739"/>
      <c r="F15" s="739"/>
      <c r="G15" s="524"/>
      <c r="K15" s="865" t="e">
        <f>K16-H95</f>
        <v>#REF!</v>
      </c>
      <c r="L15" s="865"/>
      <c r="M15" s="865" t="e">
        <f>M16-J95</f>
        <v>#REF!</v>
      </c>
      <c r="O15" s="525"/>
      <c r="P15" s="844"/>
      <c r="Q15" s="844"/>
      <c r="R15" s="845"/>
      <c r="X15" s="525"/>
      <c r="Y15" s="525"/>
      <c r="AB15" s="525"/>
      <c r="AC15" s="489"/>
    </row>
    <row r="16" spans="1:29" ht="18.75" customHeight="1">
      <c r="A16" s="449"/>
      <c r="C16" s="520"/>
      <c r="D16" s="520"/>
      <c r="E16" s="523"/>
      <c r="F16" s="523"/>
      <c r="G16" s="524"/>
      <c r="I16" s="525"/>
      <c r="J16" s="526"/>
      <c r="K16" s="1008" t="e">
        <f>SUBTOTAL(9,K19:K97)</f>
        <v>#REF!</v>
      </c>
      <c r="L16" s="1009"/>
      <c r="M16" s="1008" t="e">
        <f>SUBTOTAL(9,M19:M97)</f>
        <v>#REF!</v>
      </c>
      <c r="N16" s="525"/>
      <c r="Q16" s="525"/>
    </row>
    <row r="17" spans="1:29" ht="11.25" customHeight="1">
      <c r="A17" s="449"/>
      <c r="B17" s="1038" t="s">
        <v>24</v>
      </c>
      <c r="C17" s="1039" t="s">
        <v>25</v>
      </c>
      <c r="D17" s="1039" t="s">
        <v>1061</v>
      </c>
      <c r="E17" s="1040" t="s">
        <v>26</v>
      </c>
      <c r="F17" s="1039" t="s">
        <v>1</v>
      </c>
      <c r="G17" s="1041" t="s">
        <v>2</v>
      </c>
      <c r="H17" s="2083" t="s">
        <v>29</v>
      </c>
      <c r="I17" s="2083"/>
      <c r="J17" s="2083"/>
      <c r="K17" s="2083" t="s">
        <v>30</v>
      </c>
      <c r="L17" s="2083"/>
      <c r="M17" s="2084"/>
      <c r="N17" s="2085" t="s">
        <v>31</v>
      </c>
      <c r="O17" s="2085"/>
      <c r="P17" s="2086"/>
      <c r="Q17" s="2086"/>
      <c r="R17" s="1041" t="s">
        <v>1062</v>
      </c>
    </row>
    <row r="18" spans="1:29" ht="11.25" customHeight="1">
      <c r="A18" s="449"/>
      <c r="B18" s="1042" t="s">
        <v>1063</v>
      </c>
      <c r="C18" s="1043" t="s">
        <v>1064</v>
      </c>
      <c r="D18" s="1043" t="s">
        <v>1065</v>
      </c>
      <c r="E18" s="1044" t="s">
        <v>1066</v>
      </c>
      <c r="F18" s="1043" t="s">
        <v>1067</v>
      </c>
      <c r="G18" s="1045" t="s">
        <v>1068</v>
      </c>
      <c r="H18" s="1046" t="s">
        <v>1069</v>
      </c>
      <c r="I18" s="1046" t="s">
        <v>1070</v>
      </c>
      <c r="J18" s="1047" t="s">
        <v>34</v>
      </c>
      <c r="K18" s="1047" t="s">
        <v>1069</v>
      </c>
      <c r="L18" s="1046" t="s">
        <v>1070</v>
      </c>
      <c r="M18" s="1046" t="s">
        <v>34</v>
      </c>
      <c r="N18" s="1048" t="s">
        <v>1069</v>
      </c>
      <c r="O18" s="1048" t="s">
        <v>34</v>
      </c>
      <c r="P18" s="2087" t="s">
        <v>32</v>
      </c>
      <c r="Q18" s="2087"/>
      <c r="R18" s="1045" t="s">
        <v>1062</v>
      </c>
    </row>
    <row r="19" spans="1:29" ht="11.25" customHeight="1">
      <c r="B19" s="657">
        <v>45688</v>
      </c>
      <c r="C19" s="658"/>
      <c r="D19" s="658"/>
      <c r="E19" s="660"/>
      <c r="F19" s="863"/>
      <c r="G19" s="661"/>
      <c r="H19" s="662"/>
      <c r="I19" s="658"/>
      <c r="J19" s="661"/>
      <c r="K19" s="664"/>
      <c r="L19" s="663"/>
      <c r="M19" s="906"/>
      <c r="N19" s="907">
        <v>133987.27000000025</v>
      </c>
      <c r="O19" s="907">
        <v>18406.710704719779</v>
      </c>
      <c r="P19" s="908"/>
      <c r="Q19" s="660"/>
      <c r="R19" s="665"/>
      <c r="S19" s="846">
        <v>10640.709642466814</v>
      </c>
    </row>
    <row r="20" spans="1:29" s="574" customFormat="1" ht="12" customHeight="1">
      <c r="A20" s="544"/>
      <c r="B20" s="1054">
        <v>45699</v>
      </c>
      <c r="C20" s="1049" t="s">
        <v>823</v>
      </c>
      <c r="D20" s="1049"/>
      <c r="E20" s="1050">
        <v>1</v>
      </c>
      <c r="F20" s="1050"/>
      <c r="G20" s="1018"/>
      <c r="H20" s="1019">
        <v>324926.21000000002</v>
      </c>
      <c r="I20" s="1020"/>
      <c r="J20" s="1019">
        <v>44595</v>
      </c>
      <c r="K20" s="1021"/>
      <c r="L20" s="1022"/>
      <c r="M20" s="981"/>
      <c r="N20" s="981">
        <f t="shared" ref="N20" si="8">N19+H20-K20</f>
        <v>458913.48000000027</v>
      </c>
      <c r="O20" s="981">
        <f t="shared" ref="O20" si="9">O19+J20-M20</f>
        <v>63001.710704719779</v>
      </c>
      <c r="P20" s="1023"/>
      <c r="Q20" s="1024"/>
      <c r="R20" s="1024"/>
      <c r="S20" s="883">
        <f>S19-M20</f>
        <v>10640.709642466814</v>
      </c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1014"/>
      <c r="C21" s="1015" t="s">
        <v>250</v>
      </c>
      <c r="D21" s="1049"/>
      <c r="E21" s="1051"/>
      <c r="F21" s="1051" t="s">
        <v>107</v>
      </c>
      <c r="G21" s="1018"/>
      <c r="H21" s="1019"/>
      <c r="I21" s="1020"/>
      <c r="J21" s="1019"/>
      <c r="K21" s="1021"/>
      <c r="L21" s="1022"/>
      <c r="M21" s="931">
        <v>51</v>
      </c>
      <c r="N21" s="981">
        <f t="shared" ref="N21:N84" si="10">N20+H21-K21</f>
        <v>458913.48000000027</v>
      </c>
      <c r="O21" s="981">
        <f t="shared" ref="O21:O84" si="11">O20+J21-M21</f>
        <v>62950.710704719779</v>
      </c>
      <c r="P21" s="1023" t="s">
        <v>1134</v>
      </c>
      <c r="Q21" s="1024"/>
      <c r="R21" s="1024"/>
      <c r="S21" s="883"/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customHeight="1">
      <c r="A22" s="544"/>
      <c r="B22" s="1055">
        <v>45702</v>
      </c>
      <c r="C22" s="916" t="s">
        <v>1352</v>
      </c>
      <c r="D22" s="922"/>
      <c r="E22" s="917">
        <v>2</v>
      </c>
      <c r="F22" s="1052" t="s">
        <v>105</v>
      </c>
      <c r="G22" s="569" t="s">
        <v>1122</v>
      </c>
      <c r="H22" s="986"/>
      <c r="I22" s="968"/>
      <c r="J22" s="986"/>
      <c r="K22" s="918">
        <v>24224</v>
      </c>
      <c r="L22" s="542" t="e">
        <f>'통장내역(환율표)'!#REF!</f>
        <v>#REF!</v>
      </c>
      <c r="M22" s="910" t="e">
        <f t="shared" ref="M22:M23" si="12">K22/L22</f>
        <v>#REF!</v>
      </c>
      <c r="N22" s="928">
        <f t="shared" si="10"/>
        <v>434689.48000000027</v>
      </c>
      <c r="O22" s="928" t="e">
        <f t="shared" si="11"/>
        <v>#REF!</v>
      </c>
      <c r="P22" s="911" t="s">
        <v>1120</v>
      </c>
      <c r="Q22" s="641"/>
      <c r="R22" s="641"/>
      <c r="S22" s="883" t="e">
        <f>S20-M22</f>
        <v>#REF!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customHeight="1">
      <c r="A23" s="544"/>
      <c r="B23" s="1055">
        <v>45702</v>
      </c>
      <c r="C23" s="916" t="s">
        <v>250</v>
      </c>
      <c r="D23" s="922"/>
      <c r="E23" s="917">
        <v>3</v>
      </c>
      <c r="F23" s="1052" t="s">
        <v>107</v>
      </c>
      <c r="G23" s="569"/>
      <c r="H23" s="986"/>
      <c r="I23" s="968"/>
      <c r="J23" s="986"/>
      <c r="K23" s="918">
        <v>7.2</v>
      </c>
      <c r="L23" s="542" t="e">
        <f>'통장내역(환율표)'!#REF!</f>
        <v>#REF!</v>
      </c>
      <c r="M23" s="910" t="e">
        <f t="shared" si="12"/>
        <v>#REF!</v>
      </c>
      <c r="N23" s="928">
        <f t="shared" si="10"/>
        <v>434682.28000000026</v>
      </c>
      <c r="O23" s="928" t="e">
        <f t="shared" si="11"/>
        <v>#REF!</v>
      </c>
      <c r="P23" s="911" t="s">
        <v>1120</v>
      </c>
      <c r="Q23" s="641"/>
      <c r="R23" s="641"/>
      <c r="S23" s="883" t="e">
        <f>S22-M23</f>
        <v>#REF!</v>
      </c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489" customFormat="1" ht="11.25" customHeight="1">
      <c r="A24" s="544"/>
      <c r="B24" s="1055">
        <v>45702</v>
      </c>
      <c r="C24" s="916" t="s">
        <v>1276</v>
      </c>
      <c r="D24" s="922"/>
      <c r="E24" s="917">
        <v>4</v>
      </c>
      <c r="F24" s="1052" t="s">
        <v>146</v>
      </c>
      <c r="G24" s="569" t="s">
        <v>147</v>
      </c>
      <c r="H24" s="986"/>
      <c r="I24" s="968"/>
      <c r="J24" s="986"/>
      <c r="K24" s="918">
        <v>1600</v>
      </c>
      <c r="L24" s="542" t="e">
        <f>'통장내역(환율표)'!#REF!</f>
        <v>#REF!</v>
      </c>
      <c r="M24" s="910" t="e">
        <f t="shared" ref="M24:M25" si="13">K24/L24</f>
        <v>#REF!</v>
      </c>
      <c r="N24" s="928">
        <f t="shared" si="10"/>
        <v>433082.28000000026</v>
      </c>
      <c r="O24" s="928" t="e">
        <f t="shared" si="11"/>
        <v>#REF!</v>
      </c>
      <c r="P24" s="911" t="s">
        <v>1120</v>
      </c>
      <c r="Q24" s="641"/>
      <c r="R24" s="641"/>
      <c r="S24" s="883" t="e">
        <f t="shared" ref="S24:S43" si="14">S23-M24</f>
        <v>#REF!</v>
      </c>
      <c r="T24" s="461"/>
      <c r="U24" s="574"/>
      <c r="V24" s="461"/>
      <c r="W24" s="461"/>
      <c r="X24" s="461"/>
      <c r="Y24" s="461"/>
      <c r="Z24" s="461"/>
      <c r="AA24" s="461"/>
      <c r="AB24" s="461"/>
      <c r="AC24" s="461"/>
    </row>
    <row r="25" spans="1:29" s="489" customFormat="1" ht="11.25" customHeight="1">
      <c r="A25" s="544"/>
      <c r="B25" s="1055">
        <v>45702</v>
      </c>
      <c r="C25" s="916" t="s">
        <v>250</v>
      </c>
      <c r="D25" s="922"/>
      <c r="E25" s="917">
        <v>5</v>
      </c>
      <c r="F25" s="1052" t="s">
        <v>107</v>
      </c>
      <c r="G25" s="569"/>
      <c r="H25" s="986"/>
      <c r="I25" s="968"/>
      <c r="J25" s="986"/>
      <c r="K25" s="918">
        <v>3.6</v>
      </c>
      <c r="L25" s="542" t="e">
        <f>'통장내역(환율표)'!#REF!</f>
        <v>#REF!</v>
      </c>
      <c r="M25" s="910" t="e">
        <f t="shared" si="13"/>
        <v>#REF!</v>
      </c>
      <c r="N25" s="928">
        <f t="shared" si="10"/>
        <v>433078.68000000028</v>
      </c>
      <c r="O25" s="928" t="e">
        <f t="shared" si="11"/>
        <v>#REF!</v>
      </c>
      <c r="P25" s="911" t="s">
        <v>1120</v>
      </c>
      <c r="Q25" s="641"/>
      <c r="R25" s="641"/>
      <c r="S25" s="883" t="e">
        <f t="shared" si="14"/>
        <v>#REF!</v>
      </c>
      <c r="T25" s="461"/>
      <c r="U25" s="574"/>
      <c r="V25" s="461"/>
      <c r="W25" s="461"/>
      <c r="X25" s="461"/>
      <c r="Y25" s="461"/>
      <c r="Z25" s="461"/>
      <c r="AA25" s="461"/>
      <c r="AB25" s="461"/>
      <c r="AC25" s="461"/>
    </row>
    <row r="26" spans="1:29" s="489" customFormat="1" ht="11.25" customHeight="1">
      <c r="A26" s="544"/>
      <c r="B26" s="1055">
        <v>45708</v>
      </c>
      <c r="C26" s="916" t="s">
        <v>242</v>
      </c>
      <c r="D26" s="922"/>
      <c r="E26" s="917">
        <v>6</v>
      </c>
      <c r="F26" s="1052" t="s">
        <v>107</v>
      </c>
      <c r="G26" s="569"/>
      <c r="H26" s="986"/>
      <c r="I26" s="968"/>
      <c r="J26" s="986"/>
      <c r="K26" s="918">
        <v>1010</v>
      </c>
      <c r="L26" s="542" t="e">
        <f>'통장내역(환율표)'!#REF!</f>
        <v>#REF!</v>
      </c>
      <c r="M26" s="910" t="e">
        <f t="shared" ref="M26:M32" si="15">K26/L26</f>
        <v>#REF!</v>
      </c>
      <c r="N26" s="928">
        <f t="shared" si="10"/>
        <v>432068.68000000028</v>
      </c>
      <c r="O26" s="928" t="e">
        <f t="shared" si="11"/>
        <v>#REF!</v>
      </c>
      <c r="P26" s="911" t="s">
        <v>1120</v>
      </c>
      <c r="Q26" s="641"/>
      <c r="R26" s="641"/>
      <c r="S26" s="883" t="e">
        <f t="shared" si="14"/>
        <v>#REF!</v>
      </c>
      <c r="T26" s="461"/>
      <c r="U26" s="574"/>
      <c r="V26" s="461"/>
      <c r="W26" s="461"/>
      <c r="X26" s="461"/>
      <c r="Y26" s="461"/>
      <c r="Z26" s="461"/>
      <c r="AA26" s="461"/>
      <c r="AB26" s="461"/>
      <c r="AC26" s="461"/>
    </row>
    <row r="27" spans="1:29" s="489" customFormat="1" ht="11.25" customHeight="1">
      <c r="A27" s="544"/>
      <c r="B27" s="1055">
        <v>45708</v>
      </c>
      <c r="C27" s="916" t="s">
        <v>250</v>
      </c>
      <c r="D27" s="922"/>
      <c r="E27" s="917">
        <v>7</v>
      </c>
      <c r="F27" s="1052" t="s">
        <v>107</v>
      </c>
      <c r="G27" s="569"/>
      <c r="H27" s="986"/>
      <c r="I27" s="968"/>
      <c r="J27" s="986"/>
      <c r="K27" s="918">
        <v>3.6</v>
      </c>
      <c r="L27" s="542" t="e">
        <f>'통장내역(환율표)'!#REF!</f>
        <v>#REF!</v>
      </c>
      <c r="M27" s="910" t="e">
        <f t="shared" si="15"/>
        <v>#REF!</v>
      </c>
      <c r="N27" s="928">
        <f t="shared" si="10"/>
        <v>432065.08000000031</v>
      </c>
      <c r="O27" s="928" t="e">
        <f t="shared" si="11"/>
        <v>#REF!</v>
      </c>
      <c r="P27" s="911" t="s">
        <v>1120</v>
      </c>
      <c r="Q27" s="641"/>
      <c r="R27" s="641"/>
      <c r="S27" s="883" t="e">
        <f t="shared" si="14"/>
        <v>#REF!</v>
      </c>
      <c r="T27" s="461"/>
      <c r="U27" s="574"/>
      <c r="V27" s="461"/>
      <c r="W27" s="461"/>
      <c r="X27" s="461"/>
      <c r="Y27" s="461"/>
      <c r="Z27" s="461"/>
      <c r="AA27" s="461"/>
      <c r="AB27" s="461"/>
      <c r="AC27" s="461"/>
    </row>
    <row r="28" spans="1:29" s="489" customFormat="1" ht="11.25" customHeight="1">
      <c r="A28" s="544"/>
      <c r="B28" s="1055">
        <v>45708</v>
      </c>
      <c r="C28" s="916" t="s">
        <v>305</v>
      </c>
      <c r="D28" s="922"/>
      <c r="E28" s="922">
        <v>8</v>
      </c>
      <c r="F28" s="1052" t="s">
        <v>105</v>
      </c>
      <c r="G28" s="569" t="s">
        <v>227</v>
      </c>
      <c r="H28" s="923"/>
      <c r="I28" s="988"/>
      <c r="J28" s="988"/>
      <c r="K28" s="918">
        <v>10500</v>
      </c>
      <c r="L28" s="542" t="e">
        <f>'통장내역(환율표)'!#REF!</f>
        <v>#REF!</v>
      </c>
      <c r="M28" s="910" t="e">
        <f t="shared" si="15"/>
        <v>#REF!</v>
      </c>
      <c r="N28" s="928">
        <f t="shared" si="10"/>
        <v>421565.08000000031</v>
      </c>
      <c r="O28" s="928" t="e">
        <f t="shared" si="11"/>
        <v>#REF!</v>
      </c>
      <c r="P28" s="911" t="s">
        <v>1120</v>
      </c>
      <c r="Q28" s="641"/>
      <c r="R28" s="641"/>
      <c r="S28" s="883" t="e">
        <f t="shared" si="14"/>
        <v>#REF!</v>
      </c>
      <c r="T28" s="461"/>
      <c r="U28" s="574"/>
      <c r="V28" s="461"/>
      <c r="W28" s="461"/>
      <c r="X28" s="461"/>
      <c r="Y28" s="461"/>
      <c r="Z28" s="461"/>
      <c r="AA28" s="461"/>
      <c r="AB28" s="461"/>
      <c r="AC28" s="461"/>
    </row>
    <row r="29" spans="1:29" s="489" customFormat="1" ht="11.25" customHeight="1">
      <c r="A29" s="544"/>
      <c r="B29" s="1055">
        <v>45708</v>
      </c>
      <c r="C29" s="916" t="s">
        <v>1107</v>
      </c>
      <c r="D29" s="922"/>
      <c r="E29" s="922">
        <v>8</v>
      </c>
      <c r="F29" s="1052" t="s">
        <v>107</v>
      </c>
      <c r="G29" s="569"/>
      <c r="H29" s="923"/>
      <c r="I29" s="988"/>
      <c r="J29" s="988"/>
      <c r="K29" s="918">
        <v>6000</v>
      </c>
      <c r="L29" s="542" t="e">
        <f>'통장내역(환율표)'!#REF!</f>
        <v>#REF!</v>
      </c>
      <c r="M29" s="910" t="e">
        <f t="shared" si="15"/>
        <v>#REF!</v>
      </c>
      <c r="N29" s="928">
        <f t="shared" si="10"/>
        <v>415565.08000000031</v>
      </c>
      <c r="O29" s="928" t="e">
        <f t="shared" si="11"/>
        <v>#REF!</v>
      </c>
      <c r="P29" s="911" t="s">
        <v>1120</v>
      </c>
      <c r="Q29" s="641"/>
      <c r="R29" s="641"/>
      <c r="S29" s="883" t="e">
        <f t="shared" si="14"/>
        <v>#REF!</v>
      </c>
      <c r="T29" s="461"/>
      <c r="U29" s="574"/>
      <c r="V29" s="461"/>
      <c r="W29" s="461"/>
      <c r="X29" s="461"/>
      <c r="Y29" s="461"/>
      <c r="Z29" s="461"/>
      <c r="AA29" s="461"/>
      <c r="AB29" s="461"/>
      <c r="AC29" s="461"/>
    </row>
    <row r="30" spans="1:29" s="489" customFormat="1" ht="11.25" customHeight="1">
      <c r="A30" s="544"/>
      <c r="B30" s="1055">
        <v>45708</v>
      </c>
      <c r="C30" s="916" t="s">
        <v>1108</v>
      </c>
      <c r="D30" s="922"/>
      <c r="E30" s="922">
        <v>8</v>
      </c>
      <c r="F30" s="1052" t="s">
        <v>107</v>
      </c>
      <c r="G30" s="569"/>
      <c r="H30" s="923"/>
      <c r="I30" s="988"/>
      <c r="J30" s="988"/>
      <c r="K30" s="918">
        <v>680</v>
      </c>
      <c r="L30" s="542" t="e">
        <f>'통장내역(환율표)'!#REF!</f>
        <v>#REF!</v>
      </c>
      <c r="M30" s="910" t="e">
        <f t="shared" si="15"/>
        <v>#REF!</v>
      </c>
      <c r="N30" s="928">
        <f t="shared" si="10"/>
        <v>414885.08000000031</v>
      </c>
      <c r="O30" s="928" t="e">
        <f t="shared" si="11"/>
        <v>#REF!</v>
      </c>
      <c r="P30" s="911" t="s">
        <v>1120</v>
      </c>
      <c r="Q30" s="641"/>
      <c r="R30" s="641"/>
      <c r="S30" s="883" t="e">
        <f t="shared" si="14"/>
        <v>#REF!</v>
      </c>
      <c r="T30" s="461"/>
      <c r="U30" s="574"/>
      <c r="V30" s="461"/>
      <c r="W30" s="461"/>
      <c r="X30" s="461"/>
      <c r="Y30" s="461"/>
      <c r="Z30" s="461"/>
      <c r="AA30" s="461"/>
      <c r="AB30" s="461"/>
      <c r="AC30" s="461"/>
    </row>
    <row r="31" spans="1:29" s="489" customFormat="1" ht="11.25" customHeight="1">
      <c r="A31" s="544"/>
      <c r="B31" s="1055">
        <v>45708</v>
      </c>
      <c r="C31" s="916" t="s">
        <v>305</v>
      </c>
      <c r="D31" s="922"/>
      <c r="E31" s="922">
        <v>8</v>
      </c>
      <c r="F31" s="1052" t="s">
        <v>105</v>
      </c>
      <c r="G31" s="569" t="s">
        <v>227</v>
      </c>
      <c r="H31" s="923"/>
      <c r="I31" s="988"/>
      <c r="J31" s="988"/>
      <c r="K31" s="918">
        <v>7000</v>
      </c>
      <c r="L31" s="542" t="e">
        <f>'통장내역(환율표)'!#REF!</f>
        <v>#REF!</v>
      </c>
      <c r="M31" s="910" t="e">
        <f t="shared" si="15"/>
        <v>#REF!</v>
      </c>
      <c r="N31" s="928">
        <f t="shared" si="10"/>
        <v>407885.08000000031</v>
      </c>
      <c r="O31" s="928" t="e">
        <f t="shared" si="11"/>
        <v>#REF!</v>
      </c>
      <c r="P31" s="911" t="s">
        <v>1120</v>
      </c>
      <c r="Q31" s="641"/>
      <c r="R31" s="641"/>
      <c r="S31" s="883" t="e">
        <f t="shared" si="14"/>
        <v>#REF!</v>
      </c>
      <c r="T31" s="461"/>
      <c r="U31" s="574"/>
      <c r="V31" s="461"/>
      <c r="W31" s="461"/>
      <c r="X31" s="461"/>
      <c r="Y31" s="461"/>
      <c r="Z31" s="461"/>
      <c r="AA31" s="461"/>
      <c r="AB31" s="461"/>
      <c r="AC31" s="461"/>
    </row>
    <row r="32" spans="1:29" s="489" customFormat="1" ht="11.25" customHeight="1">
      <c r="A32" s="544"/>
      <c r="B32" s="1055">
        <v>45708</v>
      </c>
      <c r="C32" s="916" t="s">
        <v>1107</v>
      </c>
      <c r="D32" s="922"/>
      <c r="E32" s="922">
        <v>8</v>
      </c>
      <c r="F32" s="1052" t="s">
        <v>107</v>
      </c>
      <c r="G32" s="569"/>
      <c r="H32" s="923"/>
      <c r="I32" s="988"/>
      <c r="J32" s="988"/>
      <c r="K32" s="918">
        <v>6000</v>
      </c>
      <c r="L32" s="542" t="e">
        <f>'통장내역(환율표)'!#REF!</f>
        <v>#REF!</v>
      </c>
      <c r="M32" s="910" t="e">
        <f t="shared" si="15"/>
        <v>#REF!</v>
      </c>
      <c r="N32" s="928">
        <f t="shared" si="10"/>
        <v>401885.08000000031</v>
      </c>
      <c r="O32" s="928" t="e">
        <f t="shared" si="11"/>
        <v>#REF!</v>
      </c>
      <c r="P32" s="911" t="s">
        <v>1120</v>
      </c>
      <c r="Q32" s="641"/>
      <c r="R32" s="641"/>
      <c r="S32" s="883" t="e">
        <f t="shared" si="14"/>
        <v>#REF!</v>
      </c>
      <c r="T32" s="461"/>
      <c r="U32" s="574"/>
      <c r="V32" s="461"/>
      <c r="W32" s="461"/>
      <c r="X32" s="461"/>
      <c r="Y32" s="461"/>
      <c r="Z32" s="461"/>
      <c r="AA32" s="461"/>
      <c r="AB32" s="461"/>
      <c r="AC32" s="461"/>
    </row>
    <row r="33" spans="1:29" s="489" customFormat="1" ht="11.25" customHeight="1">
      <c r="A33" s="544"/>
      <c r="B33" s="1055">
        <v>45708</v>
      </c>
      <c r="C33" s="916" t="s">
        <v>1108</v>
      </c>
      <c r="D33" s="922"/>
      <c r="E33" s="922">
        <v>8</v>
      </c>
      <c r="F33" s="1052" t="s">
        <v>107</v>
      </c>
      <c r="G33" s="569"/>
      <c r="H33" s="923"/>
      <c r="I33" s="988"/>
      <c r="J33" s="988"/>
      <c r="K33" s="918">
        <v>230</v>
      </c>
      <c r="L33" s="542" t="e">
        <f>'통장내역(환율표)'!#REF!</f>
        <v>#REF!</v>
      </c>
      <c r="M33" s="910" t="e">
        <f t="shared" ref="M33:M36" si="16">K33/L33</f>
        <v>#REF!</v>
      </c>
      <c r="N33" s="928">
        <f t="shared" si="10"/>
        <v>401655.08000000031</v>
      </c>
      <c r="O33" s="928" t="e">
        <f t="shared" si="11"/>
        <v>#REF!</v>
      </c>
      <c r="P33" s="911" t="s">
        <v>1120</v>
      </c>
      <c r="Q33" s="641"/>
      <c r="R33" s="641"/>
      <c r="S33" s="883" t="e">
        <f t="shared" si="14"/>
        <v>#REF!</v>
      </c>
      <c r="T33" s="461"/>
      <c r="U33" s="574"/>
      <c r="V33" s="461"/>
      <c r="W33" s="461"/>
      <c r="X33" s="461"/>
      <c r="Y33" s="461"/>
      <c r="Z33" s="461"/>
      <c r="AA33" s="461"/>
      <c r="AB33" s="461"/>
      <c r="AC33" s="461"/>
    </row>
    <row r="34" spans="1:29" s="489" customFormat="1" ht="11.25" customHeight="1">
      <c r="A34" s="544"/>
      <c r="B34" s="1055">
        <v>45708</v>
      </c>
      <c r="C34" s="916" t="s">
        <v>250</v>
      </c>
      <c r="D34" s="922"/>
      <c r="E34" s="922">
        <v>9</v>
      </c>
      <c r="F34" s="1052" t="s">
        <v>107</v>
      </c>
      <c r="G34" s="569"/>
      <c r="H34" s="923"/>
      <c r="I34" s="988"/>
      <c r="J34" s="988"/>
      <c r="K34" s="918">
        <v>7.2</v>
      </c>
      <c r="L34" s="542" t="e">
        <f>'통장내역(환율표)'!#REF!</f>
        <v>#REF!</v>
      </c>
      <c r="M34" s="910" t="e">
        <f t="shared" si="16"/>
        <v>#REF!</v>
      </c>
      <c r="N34" s="928">
        <f t="shared" si="10"/>
        <v>401647.8800000003</v>
      </c>
      <c r="O34" s="928" t="e">
        <f t="shared" si="11"/>
        <v>#REF!</v>
      </c>
      <c r="P34" s="911" t="s">
        <v>1120</v>
      </c>
      <c r="Q34" s="641"/>
      <c r="R34" s="641"/>
      <c r="S34" s="883" t="e">
        <f t="shared" si="14"/>
        <v>#REF!</v>
      </c>
      <c r="T34" s="461"/>
      <c r="U34" s="574"/>
      <c r="V34" s="461"/>
      <c r="W34" s="461"/>
      <c r="X34" s="461"/>
      <c r="Y34" s="461"/>
      <c r="Z34" s="461"/>
      <c r="AA34" s="461"/>
      <c r="AB34" s="461"/>
      <c r="AC34" s="461"/>
    </row>
    <row r="35" spans="1:29" s="489" customFormat="1" ht="11.25" customHeight="1">
      <c r="A35" s="544"/>
      <c r="B35" s="1055">
        <v>45708</v>
      </c>
      <c r="C35" s="916" t="s">
        <v>1414</v>
      </c>
      <c r="D35" s="1056"/>
      <c r="E35" s="922">
        <v>10</v>
      </c>
      <c r="F35" s="917" t="s">
        <v>116</v>
      </c>
      <c r="G35" s="569" t="s">
        <v>140</v>
      </c>
      <c r="H35" s="923"/>
      <c r="I35" s="922"/>
      <c r="J35" s="922"/>
      <c r="K35" s="918">
        <v>397.8</v>
      </c>
      <c r="L35" s="542" t="e">
        <f>'통장내역(환율표)'!#REF!</f>
        <v>#REF!</v>
      </c>
      <c r="M35" s="910" t="e">
        <f t="shared" si="16"/>
        <v>#REF!</v>
      </c>
      <c r="N35" s="928">
        <f t="shared" si="10"/>
        <v>401250.08000000031</v>
      </c>
      <c r="O35" s="928" t="e">
        <f t="shared" si="11"/>
        <v>#REF!</v>
      </c>
      <c r="P35" s="911" t="s">
        <v>1120</v>
      </c>
      <c r="Q35" s="641"/>
      <c r="R35" s="641"/>
      <c r="S35" s="883" t="e">
        <f t="shared" si="14"/>
        <v>#REF!</v>
      </c>
      <c r="T35" s="461"/>
      <c r="U35" s="574"/>
      <c r="V35" s="461"/>
      <c r="W35" s="461"/>
      <c r="X35" s="461"/>
      <c r="Y35" s="461"/>
      <c r="Z35" s="461"/>
      <c r="AA35" s="461"/>
      <c r="AB35" s="461"/>
      <c r="AC35" s="461"/>
    </row>
    <row r="36" spans="1:29" s="489" customFormat="1" ht="11.25" customHeight="1">
      <c r="A36" s="544"/>
      <c r="B36" s="1055">
        <v>45708</v>
      </c>
      <c r="C36" s="916" t="s">
        <v>250</v>
      </c>
      <c r="D36" s="1056"/>
      <c r="E36" s="922">
        <v>11</v>
      </c>
      <c r="F36" s="917" t="s">
        <v>107</v>
      </c>
      <c r="G36" s="569"/>
      <c r="H36" s="923"/>
      <c r="I36" s="922"/>
      <c r="J36" s="922"/>
      <c r="K36" s="918">
        <v>3.6</v>
      </c>
      <c r="L36" s="542" t="e">
        <f>'통장내역(환율표)'!#REF!</f>
        <v>#REF!</v>
      </c>
      <c r="M36" s="910" t="e">
        <f t="shared" si="16"/>
        <v>#REF!</v>
      </c>
      <c r="N36" s="928">
        <f t="shared" si="10"/>
        <v>401246.48000000033</v>
      </c>
      <c r="O36" s="928" t="e">
        <f t="shared" si="11"/>
        <v>#REF!</v>
      </c>
      <c r="P36" s="911" t="s">
        <v>1120</v>
      </c>
      <c r="Q36" s="641"/>
      <c r="R36" s="641"/>
      <c r="S36" s="883" t="e">
        <f t="shared" si="14"/>
        <v>#REF!</v>
      </c>
      <c r="T36" s="461"/>
      <c r="U36" s="574"/>
      <c r="V36" s="461"/>
      <c r="W36" s="461"/>
      <c r="X36" s="461"/>
      <c r="Y36" s="461"/>
      <c r="Z36" s="461"/>
      <c r="AA36" s="461"/>
      <c r="AB36" s="461"/>
      <c r="AC36" s="461"/>
    </row>
    <row r="37" spans="1:29" s="489" customFormat="1" ht="11.25" customHeight="1">
      <c r="A37" s="544"/>
      <c r="B37" s="1055">
        <v>45708</v>
      </c>
      <c r="C37" s="916" t="s">
        <v>1153</v>
      </c>
      <c r="D37" s="922"/>
      <c r="E37" s="917">
        <v>12</v>
      </c>
      <c r="F37" s="917" t="s">
        <v>146</v>
      </c>
      <c r="G37" s="569" t="s">
        <v>147</v>
      </c>
      <c r="H37" s="923"/>
      <c r="I37" s="922"/>
      <c r="J37" s="922"/>
      <c r="K37" s="918">
        <v>1231.33</v>
      </c>
      <c r="L37" s="542" t="e">
        <f>'통장내역(환율표)'!#REF!</f>
        <v>#REF!</v>
      </c>
      <c r="M37" s="910" t="e">
        <f t="shared" ref="M37:M42" si="17">K37/L37</f>
        <v>#REF!</v>
      </c>
      <c r="N37" s="928">
        <f t="shared" si="10"/>
        <v>400015.15000000031</v>
      </c>
      <c r="O37" s="928" t="e">
        <f t="shared" si="11"/>
        <v>#REF!</v>
      </c>
      <c r="P37" s="911" t="s">
        <v>1120</v>
      </c>
      <c r="Q37" s="641"/>
      <c r="R37" s="641"/>
      <c r="S37" s="883" t="e">
        <f t="shared" si="14"/>
        <v>#REF!</v>
      </c>
      <c r="T37" s="461"/>
      <c r="U37" s="574"/>
      <c r="V37" s="461"/>
      <c r="W37" s="461"/>
      <c r="X37" s="461"/>
      <c r="Y37" s="461"/>
      <c r="Z37" s="461"/>
      <c r="AA37" s="461"/>
      <c r="AB37" s="461"/>
      <c r="AC37" s="461"/>
    </row>
    <row r="38" spans="1:29" s="489" customFormat="1" ht="11.25" customHeight="1">
      <c r="A38" s="544"/>
      <c r="B38" s="1055">
        <v>45708</v>
      </c>
      <c r="C38" s="916" t="s">
        <v>851</v>
      </c>
      <c r="D38" s="922"/>
      <c r="E38" s="917">
        <v>13</v>
      </c>
      <c r="F38" s="917" t="s">
        <v>116</v>
      </c>
      <c r="G38" s="569" t="s">
        <v>140</v>
      </c>
      <c r="H38" s="923"/>
      <c r="I38" s="922"/>
      <c r="J38" s="922"/>
      <c r="K38" s="918">
        <v>108.9</v>
      </c>
      <c r="L38" s="542" t="e">
        <f>'통장내역(환율표)'!#REF!</f>
        <v>#REF!</v>
      </c>
      <c r="M38" s="910" t="e">
        <f t="shared" si="17"/>
        <v>#REF!</v>
      </c>
      <c r="N38" s="928">
        <f t="shared" si="10"/>
        <v>399906.25000000029</v>
      </c>
      <c r="O38" s="928" t="e">
        <f t="shared" si="11"/>
        <v>#REF!</v>
      </c>
      <c r="P38" s="911" t="s">
        <v>1120</v>
      </c>
      <c r="Q38" s="641"/>
      <c r="R38" s="641"/>
      <c r="S38" s="883" t="e">
        <f t="shared" si="14"/>
        <v>#REF!</v>
      </c>
      <c r="T38" s="461"/>
      <c r="U38" s="574"/>
      <c r="V38" s="461"/>
      <c r="W38" s="461"/>
      <c r="X38" s="461"/>
      <c r="Y38" s="461"/>
      <c r="Z38" s="461"/>
      <c r="AA38" s="461"/>
      <c r="AB38" s="461"/>
      <c r="AC38" s="461"/>
    </row>
    <row r="39" spans="1:29" s="489" customFormat="1" ht="11.25" customHeight="1">
      <c r="A39" s="544"/>
      <c r="B39" s="1055">
        <v>45708</v>
      </c>
      <c r="C39" s="916" t="s">
        <v>250</v>
      </c>
      <c r="D39" s="922"/>
      <c r="E39" s="917">
        <v>14</v>
      </c>
      <c r="F39" s="917" t="s">
        <v>107</v>
      </c>
      <c r="G39" s="569"/>
      <c r="H39" s="923"/>
      <c r="I39" s="922"/>
      <c r="J39" s="922"/>
      <c r="K39" s="918">
        <v>3.6</v>
      </c>
      <c r="L39" s="542" t="e">
        <f>'통장내역(환율표)'!#REF!</f>
        <v>#REF!</v>
      </c>
      <c r="M39" s="910" t="e">
        <f t="shared" si="17"/>
        <v>#REF!</v>
      </c>
      <c r="N39" s="928">
        <f t="shared" si="10"/>
        <v>399902.65000000031</v>
      </c>
      <c r="O39" s="928" t="e">
        <f t="shared" si="11"/>
        <v>#REF!</v>
      </c>
      <c r="P39" s="911" t="s">
        <v>1120</v>
      </c>
      <c r="Q39" s="641"/>
      <c r="R39" s="641"/>
      <c r="S39" s="883" t="e">
        <f t="shared" si="14"/>
        <v>#REF!</v>
      </c>
      <c r="T39" s="461"/>
      <c r="U39" s="574"/>
      <c r="V39" s="461"/>
      <c r="W39" s="461"/>
      <c r="X39" s="461"/>
      <c r="Y39" s="461"/>
      <c r="Z39" s="461"/>
      <c r="AA39" s="461"/>
      <c r="AB39" s="461"/>
      <c r="AC39" s="461"/>
    </row>
    <row r="40" spans="1:29" s="489" customFormat="1" ht="11.25" customHeight="1">
      <c r="A40" s="544"/>
      <c r="B40" s="1055">
        <v>45708</v>
      </c>
      <c r="C40" s="916" t="s">
        <v>1008</v>
      </c>
      <c r="D40" s="922"/>
      <c r="E40" s="917">
        <v>15</v>
      </c>
      <c r="F40" s="917" t="s">
        <v>146</v>
      </c>
      <c r="G40" s="569" t="s">
        <v>147</v>
      </c>
      <c r="H40" s="923"/>
      <c r="I40" s="922"/>
      <c r="J40" s="922"/>
      <c r="K40" s="1057">
        <v>503.6</v>
      </c>
      <c r="L40" s="542" t="e">
        <f>'통장내역(환율표)'!#REF!</f>
        <v>#REF!</v>
      </c>
      <c r="M40" s="910" t="e">
        <f t="shared" si="17"/>
        <v>#REF!</v>
      </c>
      <c r="N40" s="928">
        <f t="shared" si="10"/>
        <v>399399.05000000034</v>
      </c>
      <c r="O40" s="928" t="e">
        <f t="shared" si="11"/>
        <v>#REF!</v>
      </c>
      <c r="P40" s="911" t="s">
        <v>1120</v>
      </c>
      <c r="Q40" s="641"/>
      <c r="R40" s="641"/>
      <c r="S40" s="883" t="e">
        <f t="shared" si="14"/>
        <v>#REF!</v>
      </c>
      <c r="T40" s="461"/>
      <c r="U40" s="574"/>
      <c r="V40" s="461"/>
      <c r="W40" s="461"/>
      <c r="X40" s="461"/>
      <c r="Y40" s="461"/>
      <c r="Z40" s="461"/>
      <c r="AA40" s="461"/>
      <c r="AB40" s="461"/>
      <c r="AC40" s="461"/>
    </row>
    <row r="41" spans="1:29" s="489" customFormat="1" ht="11.25" customHeight="1">
      <c r="A41" s="544"/>
      <c r="B41" s="1055">
        <v>45708</v>
      </c>
      <c r="C41" s="916" t="s">
        <v>1373</v>
      </c>
      <c r="D41" s="922"/>
      <c r="E41" s="917">
        <v>16</v>
      </c>
      <c r="F41" s="917" t="s">
        <v>146</v>
      </c>
      <c r="G41" s="569" t="s">
        <v>147</v>
      </c>
      <c r="H41" s="923"/>
      <c r="I41" s="922"/>
      <c r="J41" s="922"/>
      <c r="K41" s="1057">
        <v>617.75</v>
      </c>
      <c r="L41" s="542" t="e">
        <f>'통장내역(환율표)'!#REF!</f>
        <v>#REF!</v>
      </c>
      <c r="M41" s="910" t="e">
        <f t="shared" si="17"/>
        <v>#REF!</v>
      </c>
      <c r="N41" s="928">
        <f t="shared" si="10"/>
        <v>398781.30000000034</v>
      </c>
      <c r="O41" s="928" t="e">
        <f t="shared" si="11"/>
        <v>#REF!</v>
      </c>
      <c r="P41" s="911" t="s">
        <v>1120</v>
      </c>
      <c r="Q41" s="641"/>
      <c r="R41" s="641"/>
      <c r="S41" s="883" t="e">
        <f t="shared" si="14"/>
        <v>#REF!</v>
      </c>
      <c r="T41" s="461"/>
      <c r="U41" s="574"/>
      <c r="V41" s="461"/>
      <c r="W41" s="461"/>
      <c r="X41" s="461"/>
      <c r="Y41" s="461"/>
      <c r="Z41" s="461"/>
      <c r="AA41" s="461"/>
      <c r="AB41" s="461"/>
      <c r="AC41" s="461"/>
    </row>
    <row r="42" spans="1:29" s="489" customFormat="1" ht="11.25" customHeight="1">
      <c r="A42" s="544"/>
      <c r="B42" s="1055">
        <v>45708</v>
      </c>
      <c r="C42" s="916" t="s">
        <v>1011</v>
      </c>
      <c r="D42" s="922"/>
      <c r="E42" s="917">
        <v>17</v>
      </c>
      <c r="F42" s="917" t="s">
        <v>116</v>
      </c>
      <c r="G42" s="569" t="s">
        <v>140</v>
      </c>
      <c r="H42" s="923"/>
      <c r="I42" s="922"/>
      <c r="J42" s="922"/>
      <c r="K42" s="918">
        <v>350</v>
      </c>
      <c r="L42" s="542" t="e">
        <f>'통장내역(환율표)'!#REF!</f>
        <v>#REF!</v>
      </c>
      <c r="M42" s="910" t="e">
        <f t="shared" si="17"/>
        <v>#REF!</v>
      </c>
      <c r="N42" s="928">
        <f t="shared" si="10"/>
        <v>398431.30000000034</v>
      </c>
      <c r="O42" s="928" t="e">
        <f t="shared" si="11"/>
        <v>#REF!</v>
      </c>
      <c r="P42" s="911" t="s">
        <v>1120</v>
      </c>
      <c r="Q42" s="641"/>
      <c r="R42" s="641"/>
      <c r="S42" s="883" t="e">
        <f t="shared" si="14"/>
        <v>#REF!</v>
      </c>
      <c r="T42" s="461"/>
      <c r="U42" s="574"/>
      <c r="V42" s="461"/>
      <c r="W42" s="461"/>
      <c r="X42" s="461"/>
      <c r="Y42" s="461"/>
      <c r="Z42" s="461"/>
      <c r="AA42" s="461"/>
      <c r="AB42" s="461"/>
      <c r="AC42" s="461"/>
    </row>
    <row r="43" spans="1:29" s="489" customFormat="1" ht="11.25" customHeight="1">
      <c r="A43" s="544"/>
      <c r="B43" s="1055">
        <v>45708</v>
      </c>
      <c r="C43" s="916" t="s">
        <v>1007</v>
      </c>
      <c r="D43" s="922"/>
      <c r="E43" s="917">
        <v>18</v>
      </c>
      <c r="F43" s="917" t="s">
        <v>107</v>
      </c>
      <c r="G43" s="569"/>
      <c r="H43" s="923"/>
      <c r="I43" s="922"/>
      <c r="J43" s="922"/>
      <c r="K43" s="1057">
        <v>133.15</v>
      </c>
      <c r="L43" s="542" t="e">
        <f>'통장내역(환율표)'!#REF!</f>
        <v>#REF!</v>
      </c>
      <c r="M43" s="910" t="e">
        <f t="shared" ref="M43:M50" si="18">K43/L43</f>
        <v>#REF!</v>
      </c>
      <c r="N43" s="928">
        <f t="shared" si="10"/>
        <v>398298.15000000031</v>
      </c>
      <c r="O43" s="928" t="e">
        <f t="shared" si="11"/>
        <v>#REF!</v>
      </c>
      <c r="P43" s="911" t="s">
        <v>1120</v>
      </c>
      <c r="Q43" s="641"/>
      <c r="R43" s="641"/>
      <c r="S43" s="883" t="e">
        <f t="shared" si="14"/>
        <v>#REF!</v>
      </c>
      <c r="T43" s="461"/>
      <c r="U43" s="574"/>
      <c r="V43" s="461"/>
      <c r="W43" s="461"/>
      <c r="X43" s="461"/>
      <c r="Y43" s="461"/>
      <c r="Z43" s="461"/>
      <c r="AA43" s="461"/>
      <c r="AB43" s="461"/>
      <c r="AC43" s="461"/>
    </row>
    <row r="44" spans="1:29" s="489" customFormat="1" ht="11.25" customHeight="1">
      <c r="A44" s="544"/>
      <c r="B44" s="1055">
        <v>45708</v>
      </c>
      <c r="C44" s="916" t="s">
        <v>1354</v>
      </c>
      <c r="D44" s="922"/>
      <c r="E44" s="917">
        <v>19</v>
      </c>
      <c r="F44" s="917" t="s">
        <v>107</v>
      </c>
      <c r="G44" s="569"/>
      <c r="H44" s="923"/>
      <c r="I44" s="922"/>
      <c r="J44" s="922"/>
      <c r="K44" s="1057">
        <v>369.6</v>
      </c>
      <c r="L44" s="542" t="e">
        <f>'통장내역(환율표)'!#REF!</f>
        <v>#REF!</v>
      </c>
      <c r="M44" s="910" t="e">
        <f t="shared" si="18"/>
        <v>#REF!</v>
      </c>
      <c r="N44" s="928">
        <f t="shared" si="10"/>
        <v>397928.55000000034</v>
      </c>
      <c r="O44" s="928" t="e">
        <f t="shared" si="11"/>
        <v>#REF!</v>
      </c>
      <c r="P44" s="911" t="s">
        <v>1120</v>
      </c>
      <c r="Q44" s="641"/>
      <c r="R44" s="641"/>
      <c r="S44" s="883" t="e">
        <f t="shared" ref="S44:S53" si="19">S43-M44</f>
        <v>#REF!</v>
      </c>
      <c r="T44" s="461"/>
      <c r="U44" s="574"/>
      <c r="V44" s="461"/>
      <c r="W44" s="461"/>
      <c r="X44" s="461"/>
      <c r="Y44" s="461"/>
      <c r="Z44" s="461"/>
      <c r="AA44" s="461"/>
      <c r="AB44" s="461"/>
      <c r="AC44" s="461"/>
    </row>
    <row r="45" spans="1:29" s="489" customFormat="1" ht="11.25" customHeight="1">
      <c r="A45" s="544"/>
      <c r="B45" s="1055">
        <v>45708</v>
      </c>
      <c r="C45" s="916" t="s">
        <v>250</v>
      </c>
      <c r="D45" s="922"/>
      <c r="E45" s="917">
        <v>20</v>
      </c>
      <c r="F45" s="917" t="s">
        <v>107</v>
      </c>
      <c r="G45" s="569"/>
      <c r="H45" s="923"/>
      <c r="I45" s="922"/>
      <c r="J45" s="922"/>
      <c r="K45" s="918">
        <v>3.6</v>
      </c>
      <c r="L45" s="542" t="e">
        <f>'통장내역(환율표)'!#REF!</f>
        <v>#REF!</v>
      </c>
      <c r="M45" s="910" t="e">
        <f t="shared" si="18"/>
        <v>#REF!</v>
      </c>
      <c r="N45" s="928">
        <f t="shared" si="10"/>
        <v>397924.95000000036</v>
      </c>
      <c r="O45" s="928" t="e">
        <f t="shared" si="11"/>
        <v>#REF!</v>
      </c>
      <c r="P45" s="911" t="s">
        <v>1120</v>
      </c>
      <c r="Q45" s="641"/>
      <c r="R45" s="641"/>
      <c r="S45" s="883" t="e">
        <f t="shared" si="19"/>
        <v>#REF!</v>
      </c>
      <c r="T45" s="461"/>
      <c r="U45" s="574"/>
      <c r="V45" s="461"/>
      <c r="W45" s="461"/>
      <c r="X45" s="461"/>
      <c r="Y45" s="461"/>
      <c r="Z45" s="461"/>
      <c r="AA45" s="461"/>
      <c r="AB45" s="461"/>
      <c r="AC45" s="461"/>
    </row>
    <row r="46" spans="1:29" s="489" customFormat="1" ht="11.25" customHeight="1">
      <c r="A46" s="544"/>
      <c r="B46" s="1055">
        <v>45708</v>
      </c>
      <c r="C46" s="916" t="s">
        <v>1315</v>
      </c>
      <c r="D46" s="922"/>
      <c r="E46" s="917">
        <v>21</v>
      </c>
      <c r="F46" s="917" t="s">
        <v>146</v>
      </c>
      <c r="G46" s="569" t="s">
        <v>147</v>
      </c>
      <c r="H46" s="923"/>
      <c r="I46" s="922"/>
      <c r="J46" s="922"/>
      <c r="K46" s="1057">
        <v>292.45999999999998</v>
      </c>
      <c r="L46" s="542" t="e">
        <f>'통장내역(환율표)'!#REF!</f>
        <v>#REF!</v>
      </c>
      <c r="M46" s="910" t="e">
        <f t="shared" si="18"/>
        <v>#REF!</v>
      </c>
      <c r="N46" s="928">
        <f t="shared" si="10"/>
        <v>397632.49000000034</v>
      </c>
      <c r="O46" s="928" t="e">
        <f t="shared" si="11"/>
        <v>#REF!</v>
      </c>
      <c r="P46" s="911" t="s">
        <v>1120</v>
      </c>
      <c r="Q46" s="641"/>
      <c r="R46" s="641"/>
      <c r="S46" s="883" t="e">
        <f t="shared" si="19"/>
        <v>#REF!</v>
      </c>
      <c r="T46" s="461"/>
      <c r="U46" s="574"/>
      <c r="V46" s="461"/>
      <c r="W46" s="461"/>
      <c r="X46" s="461"/>
      <c r="Y46" s="461"/>
      <c r="Z46" s="461"/>
      <c r="AA46" s="461"/>
      <c r="AB46" s="461"/>
      <c r="AC46" s="461"/>
    </row>
    <row r="47" spans="1:29" s="489" customFormat="1" ht="11.25" customHeight="1">
      <c r="A47" s="544"/>
      <c r="B47" s="1055">
        <v>45708</v>
      </c>
      <c r="C47" s="916" t="s">
        <v>1248</v>
      </c>
      <c r="D47" s="922"/>
      <c r="E47" s="917">
        <v>22</v>
      </c>
      <c r="F47" s="917" t="s">
        <v>116</v>
      </c>
      <c r="G47" s="569" t="s">
        <v>140</v>
      </c>
      <c r="H47" s="923"/>
      <c r="I47" s="922"/>
      <c r="J47" s="922"/>
      <c r="K47" s="1057">
        <v>299.10000000000002</v>
      </c>
      <c r="L47" s="542" t="e">
        <f>'통장내역(환율표)'!#REF!</f>
        <v>#REF!</v>
      </c>
      <c r="M47" s="910" t="e">
        <f t="shared" si="18"/>
        <v>#REF!</v>
      </c>
      <c r="N47" s="928">
        <f t="shared" si="10"/>
        <v>397333.39000000036</v>
      </c>
      <c r="O47" s="928" t="e">
        <f t="shared" si="11"/>
        <v>#REF!</v>
      </c>
      <c r="P47" s="911" t="s">
        <v>1120</v>
      </c>
      <c r="Q47" s="641"/>
      <c r="R47" s="641"/>
      <c r="S47" s="883" t="e">
        <f t="shared" si="19"/>
        <v>#REF!</v>
      </c>
      <c r="T47" s="461"/>
      <c r="U47" s="574"/>
      <c r="V47" s="461"/>
      <c r="W47" s="461"/>
      <c r="X47" s="461"/>
      <c r="Y47" s="461"/>
      <c r="Z47" s="461"/>
      <c r="AA47" s="461"/>
      <c r="AB47" s="461"/>
      <c r="AC47" s="461"/>
    </row>
    <row r="48" spans="1:29" s="489" customFormat="1" ht="11.25" customHeight="1">
      <c r="A48" s="544"/>
      <c r="B48" s="1055">
        <v>45708</v>
      </c>
      <c r="C48" s="916" t="s">
        <v>1249</v>
      </c>
      <c r="D48" s="922"/>
      <c r="E48" s="917">
        <v>23</v>
      </c>
      <c r="F48" s="917" t="s">
        <v>107</v>
      </c>
      <c r="G48" s="569"/>
      <c r="H48" s="923"/>
      <c r="I48" s="922"/>
      <c r="J48" s="922"/>
      <c r="K48" s="1057">
        <v>24</v>
      </c>
      <c r="L48" s="542" t="e">
        <f>'통장내역(환율표)'!#REF!</f>
        <v>#REF!</v>
      </c>
      <c r="M48" s="910" t="e">
        <f t="shared" si="18"/>
        <v>#REF!</v>
      </c>
      <c r="N48" s="928">
        <f t="shared" si="10"/>
        <v>397309.39000000036</v>
      </c>
      <c r="O48" s="928" t="e">
        <f t="shared" si="11"/>
        <v>#REF!</v>
      </c>
      <c r="P48" s="911" t="s">
        <v>1120</v>
      </c>
      <c r="Q48" s="641"/>
      <c r="R48" s="641"/>
      <c r="S48" s="883" t="e">
        <f t="shared" si="19"/>
        <v>#REF!</v>
      </c>
      <c r="T48" s="461"/>
      <c r="U48" s="574"/>
      <c r="V48" s="461"/>
      <c r="W48" s="461"/>
      <c r="X48" s="461"/>
      <c r="Y48" s="461"/>
      <c r="Z48" s="461"/>
      <c r="AA48" s="461"/>
      <c r="AB48" s="461"/>
      <c r="AC48" s="461"/>
    </row>
    <row r="49" spans="1:29" s="489" customFormat="1" ht="11.25" customHeight="1">
      <c r="A49" s="544"/>
      <c r="B49" s="1055">
        <v>45708</v>
      </c>
      <c r="C49" s="916" t="s">
        <v>1415</v>
      </c>
      <c r="D49" s="922"/>
      <c r="E49" s="917">
        <v>24</v>
      </c>
      <c r="F49" s="917" t="s">
        <v>107</v>
      </c>
      <c r="G49" s="569"/>
      <c r="H49" s="923"/>
      <c r="I49" s="922"/>
      <c r="J49" s="922"/>
      <c r="K49" s="1057">
        <v>145</v>
      </c>
      <c r="L49" s="542" t="e">
        <f>'통장내역(환율표)'!#REF!</f>
        <v>#REF!</v>
      </c>
      <c r="M49" s="910" t="e">
        <f t="shared" si="18"/>
        <v>#REF!</v>
      </c>
      <c r="N49" s="928">
        <f t="shared" si="10"/>
        <v>397164.39000000036</v>
      </c>
      <c r="O49" s="928" t="e">
        <f t="shared" si="11"/>
        <v>#REF!</v>
      </c>
      <c r="P49" s="911" t="s">
        <v>1120</v>
      </c>
      <c r="Q49" s="641"/>
      <c r="R49" s="641"/>
      <c r="S49" s="883" t="e">
        <f t="shared" si="19"/>
        <v>#REF!</v>
      </c>
      <c r="T49" s="461"/>
      <c r="U49" s="574"/>
      <c r="V49" s="461"/>
      <c r="W49" s="461"/>
      <c r="X49" s="461"/>
      <c r="Y49" s="461"/>
      <c r="Z49" s="461"/>
      <c r="AA49" s="461"/>
      <c r="AB49" s="461"/>
      <c r="AC49" s="461"/>
    </row>
    <row r="50" spans="1:29" s="489" customFormat="1" ht="11.25" customHeight="1">
      <c r="A50" s="544"/>
      <c r="B50" s="1055">
        <v>45708</v>
      </c>
      <c r="C50" s="916" t="s">
        <v>1292</v>
      </c>
      <c r="D50" s="922"/>
      <c r="E50" s="917">
        <v>25</v>
      </c>
      <c r="F50" s="917" t="s">
        <v>125</v>
      </c>
      <c r="G50" s="569" t="s">
        <v>145</v>
      </c>
      <c r="H50" s="923"/>
      <c r="I50" s="922"/>
      <c r="J50" s="922"/>
      <c r="K50" s="1057">
        <v>2929.16</v>
      </c>
      <c r="L50" s="542" t="e">
        <f>'통장내역(환율표)'!#REF!</f>
        <v>#REF!</v>
      </c>
      <c r="M50" s="910" t="e">
        <f t="shared" si="18"/>
        <v>#REF!</v>
      </c>
      <c r="N50" s="928">
        <f t="shared" si="10"/>
        <v>394235.23000000039</v>
      </c>
      <c r="O50" s="928" t="e">
        <f t="shared" si="11"/>
        <v>#REF!</v>
      </c>
      <c r="P50" s="911" t="s">
        <v>1120</v>
      </c>
      <c r="Q50" s="641"/>
      <c r="R50" s="641"/>
      <c r="S50" s="883" t="e">
        <f t="shared" si="19"/>
        <v>#REF!</v>
      </c>
      <c r="T50" s="461"/>
      <c r="U50" s="574"/>
      <c r="V50" s="461"/>
      <c r="W50" s="461"/>
      <c r="X50" s="461"/>
      <c r="Y50" s="461"/>
      <c r="Z50" s="461"/>
      <c r="AA50" s="461"/>
      <c r="AB50" s="461"/>
      <c r="AC50" s="461"/>
    </row>
    <row r="51" spans="1:29" s="489" customFormat="1" ht="11.25" customHeight="1">
      <c r="A51" s="544"/>
      <c r="B51" s="1055">
        <v>45708</v>
      </c>
      <c r="C51" s="916" t="s">
        <v>250</v>
      </c>
      <c r="D51" s="922"/>
      <c r="E51" s="917">
        <v>26</v>
      </c>
      <c r="F51" s="569" t="s">
        <v>107</v>
      </c>
      <c r="G51" s="569"/>
      <c r="H51" s="923"/>
      <c r="I51" s="922"/>
      <c r="J51" s="922"/>
      <c r="K51" s="918">
        <v>3.6</v>
      </c>
      <c r="L51" s="542" t="e">
        <f>'통장내역(환율표)'!#REF!</f>
        <v>#REF!</v>
      </c>
      <c r="M51" s="910" t="e">
        <f t="shared" ref="M51:M62" si="20">K51/L51</f>
        <v>#REF!</v>
      </c>
      <c r="N51" s="928">
        <f t="shared" si="10"/>
        <v>394231.63000000041</v>
      </c>
      <c r="O51" s="928" t="e">
        <f t="shared" si="11"/>
        <v>#REF!</v>
      </c>
      <c r="P51" s="911" t="s">
        <v>1120</v>
      </c>
      <c r="Q51" s="641"/>
      <c r="R51" s="641"/>
      <c r="S51" s="883" t="e">
        <f t="shared" si="19"/>
        <v>#REF!</v>
      </c>
      <c r="T51" s="461"/>
      <c r="U51" s="574"/>
      <c r="V51" s="461"/>
      <c r="W51" s="461"/>
      <c r="X51" s="461"/>
      <c r="Y51" s="461"/>
      <c r="Z51" s="461"/>
      <c r="AA51" s="461"/>
      <c r="AB51" s="461"/>
      <c r="AC51" s="461"/>
    </row>
    <row r="52" spans="1:29" s="489" customFormat="1" ht="11.25" customHeight="1">
      <c r="A52" s="544"/>
      <c r="B52" s="1055">
        <v>45708</v>
      </c>
      <c r="C52" s="916" t="s">
        <v>1328</v>
      </c>
      <c r="D52" s="922"/>
      <c r="E52" s="917">
        <v>27</v>
      </c>
      <c r="F52" s="569" t="s">
        <v>146</v>
      </c>
      <c r="G52" s="569" t="s">
        <v>147</v>
      </c>
      <c r="H52" s="923"/>
      <c r="I52" s="922"/>
      <c r="J52" s="922"/>
      <c r="K52" s="1057">
        <v>2964.93</v>
      </c>
      <c r="L52" s="542" t="e">
        <f>'통장내역(환율표)'!#REF!</f>
        <v>#REF!</v>
      </c>
      <c r="M52" s="910" t="e">
        <f t="shared" si="20"/>
        <v>#REF!</v>
      </c>
      <c r="N52" s="928">
        <f t="shared" si="10"/>
        <v>391266.70000000042</v>
      </c>
      <c r="O52" s="928" t="e">
        <f t="shared" si="11"/>
        <v>#REF!</v>
      </c>
      <c r="P52" s="911" t="s">
        <v>1120</v>
      </c>
      <c r="Q52" s="641"/>
      <c r="R52" s="641"/>
      <c r="S52" s="883" t="e">
        <f t="shared" si="19"/>
        <v>#REF!</v>
      </c>
      <c r="T52" s="461"/>
      <c r="U52" s="574"/>
      <c r="V52" s="461"/>
      <c r="W52" s="461"/>
      <c r="X52" s="461"/>
      <c r="Y52" s="461"/>
      <c r="Z52" s="461"/>
      <c r="AA52" s="461"/>
      <c r="AB52" s="461"/>
      <c r="AC52" s="461"/>
    </row>
    <row r="53" spans="1:29" s="489" customFormat="1" ht="11.25" customHeight="1">
      <c r="A53" s="544"/>
      <c r="B53" s="1055">
        <v>45708</v>
      </c>
      <c r="C53" s="916" t="s">
        <v>839</v>
      </c>
      <c r="D53" s="922"/>
      <c r="E53" s="917">
        <v>28</v>
      </c>
      <c r="F53" s="569" t="s">
        <v>125</v>
      </c>
      <c r="G53" s="569" t="s">
        <v>145</v>
      </c>
      <c r="H53" s="923"/>
      <c r="I53" s="922"/>
      <c r="J53" s="922"/>
      <c r="K53" s="1057" t="e">
        <f>L53*M53</f>
        <v>#REF!</v>
      </c>
      <c r="L53" s="542" t="e">
        <f>'통장내역(환율표)'!#REF!</f>
        <v>#REF!</v>
      </c>
      <c r="M53" s="910">
        <v>1398.2098718167147</v>
      </c>
      <c r="N53" s="928" t="e">
        <f t="shared" si="10"/>
        <v>#REF!</v>
      </c>
      <c r="O53" s="928" t="e">
        <f t="shared" si="11"/>
        <v>#REF!</v>
      </c>
      <c r="P53" s="911" t="s">
        <v>1120</v>
      </c>
      <c r="Q53" s="641"/>
      <c r="R53" s="641"/>
      <c r="S53" s="883" t="e">
        <f t="shared" si="19"/>
        <v>#REF!</v>
      </c>
      <c r="T53" s="461"/>
      <c r="U53" s="574"/>
      <c r="V53" s="461"/>
      <c r="W53" s="461"/>
      <c r="X53" s="461"/>
      <c r="Y53" s="461"/>
      <c r="Z53" s="461"/>
      <c r="AA53" s="461"/>
      <c r="AB53" s="461"/>
      <c r="AC53" s="461"/>
    </row>
    <row r="54" spans="1:29" s="489" customFormat="1" ht="11.25" customHeight="1">
      <c r="A54" s="544"/>
      <c r="B54" s="1055">
        <v>45708</v>
      </c>
      <c r="C54" s="916" t="s">
        <v>839</v>
      </c>
      <c r="D54" s="922"/>
      <c r="E54" s="917">
        <v>28</v>
      </c>
      <c r="F54" s="569" t="s">
        <v>125</v>
      </c>
      <c r="G54" s="569" t="s">
        <v>145</v>
      </c>
      <c r="H54" s="923"/>
      <c r="I54" s="922"/>
      <c r="J54" s="922"/>
      <c r="K54" s="1057" t="e">
        <f>13575-K53</f>
        <v>#REF!</v>
      </c>
      <c r="L54" s="542" t="e">
        <f>'통장내역(환율표)'!#REF!</f>
        <v>#REF!</v>
      </c>
      <c r="M54" s="912" t="e">
        <f t="shared" si="20"/>
        <v>#REF!</v>
      </c>
      <c r="N54" s="928" t="e">
        <f t="shared" si="10"/>
        <v>#REF!</v>
      </c>
      <c r="O54" s="928" t="e">
        <f t="shared" si="11"/>
        <v>#REF!</v>
      </c>
      <c r="P54" s="911" t="s">
        <v>1410</v>
      </c>
      <c r="Q54" s="641"/>
      <c r="R54" s="641"/>
      <c r="S54" s="883" t="e">
        <f>7766-M54</f>
        <v>#REF!</v>
      </c>
      <c r="T54" s="461"/>
      <c r="U54" s="574"/>
      <c r="V54" s="461"/>
      <c r="W54" s="461"/>
      <c r="X54" s="461"/>
      <c r="Y54" s="461"/>
      <c r="Z54" s="461"/>
      <c r="AA54" s="461"/>
      <c r="AB54" s="461"/>
      <c r="AC54" s="461"/>
    </row>
    <row r="55" spans="1:29" s="489" customFormat="1" ht="11.25" customHeight="1">
      <c r="A55" s="544"/>
      <c r="B55" s="1055">
        <v>45708</v>
      </c>
      <c r="C55" s="916" t="s">
        <v>250</v>
      </c>
      <c r="D55" s="922"/>
      <c r="E55" s="917">
        <v>29</v>
      </c>
      <c r="F55" s="569" t="s">
        <v>107</v>
      </c>
      <c r="G55" s="569"/>
      <c r="H55" s="923"/>
      <c r="I55" s="922"/>
      <c r="J55" s="922"/>
      <c r="K55" s="1057">
        <v>7.2</v>
      </c>
      <c r="L55" s="542" t="e">
        <f>'통장내역(환율표)'!#REF!</f>
        <v>#REF!</v>
      </c>
      <c r="M55" s="912" t="e">
        <f t="shared" si="20"/>
        <v>#REF!</v>
      </c>
      <c r="N55" s="928" t="e">
        <f t="shared" si="10"/>
        <v>#REF!</v>
      </c>
      <c r="O55" s="928" t="e">
        <f t="shared" si="11"/>
        <v>#REF!</v>
      </c>
      <c r="P55" s="911" t="s">
        <v>1410</v>
      </c>
      <c r="Q55" s="641"/>
      <c r="R55" s="641"/>
      <c r="S55" s="883" t="e">
        <f>S54-M55</f>
        <v>#REF!</v>
      </c>
      <c r="T55" s="461"/>
      <c r="U55" s="574"/>
      <c r="V55" s="461"/>
      <c r="W55" s="461"/>
      <c r="X55" s="461"/>
      <c r="Y55" s="461"/>
      <c r="Z55" s="461"/>
      <c r="AA55" s="461"/>
      <c r="AB55" s="461"/>
      <c r="AC55" s="461"/>
    </row>
    <row r="56" spans="1:29" s="489" customFormat="1" ht="11.25" customHeight="1">
      <c r="A56" s="544"/>
      <c r="B56" s="1055">
        <v>45708</v>
      </c>
      <c r="C56" s="916" t="s">
        <v>1416</v>
      </c>
      <c r="D56" s="922"/>
      <c r="E56" s="569">
        <v>30</v>
      </c>
      <c r="F56" s="569" t="s">
        <v>125</v>
      </c>
      <c r="G56" s="569" t="s">
        <v>145</v>
      </c>
      <c r="H56" s="569"/>
      <c r="I56" s="569"/>
      <c r="J56" s="569"/>
      <c r="K56" s="944">
        <v>74</v>
      </c>
      <c r="L56" s="542" t="e">
        <f>'통장내역(환율표)'!#REF!</f>
        <v>#REF!</v>
      </c>
      <c r="M56" s="912" t="e">
        <f t="shared" si="20"/>
        <v>#REF!</v>
      </c>
      <c r="N56" s="928" t="e">
        <f t="shared" si="10"/>
        <v>#REF!</v>
      </c>
      <c r="O56" s="928" t="e">
        <f t="shared" si="11"/>
        <v>#REF!</v>
      </c>
      <c r="P56" s="911" t="s">
        <v>1410</v>
      </c>
      <c r="Q56" s="641"/>
      <c r="R56" s="641"/>
      <c r="S56" s="883" t="e">
        <f t="shared" ref="S56:S97" si="21">S55-M56</f>
        <v>#REF!</v>
      </c>
      <c r="T56" s="461"/>
      <c r="U56" s="574"/>
      <c r="V56" s="461"/>
      <c r="W56" s="461"/>
      <c r="X56" s="461"/>
      <c r="Y56" s="461"/>
      <c r="Z56" s="461"/>
      <c r="AA56" s="461"/>
      <c r="AB56" s="461"/>
      <c r="AC56" s="461"/>
    </row>
    <row r="57" spans="1:29" s="489" customFormat="1" ht="11.25" customHeight="1">
      <c r="A57" s="544"/>
      <c r="B57" s="1055">
        <v>45708</v>
      </c>
      <c r="C57" s="916" t="s">
        <v>1417</v>
      </c>
      <c r="D57" s="922"/>
      <c r="E57" s="917">
        <v>31</v>
      </c>
      <c r="F57" s="569" t="s">
        <v>116</v>
      </c>
      <c r="G57" s="569" t="s">
        <v>140</v>
      </c>
      <c r="H57" s="569"/>
      <c r="I57" s="569"/>
      <c r="J57" s="569"/>
      <c r="K57" s="944">
        <v>93.06</v>
      </c>
      <c r="L57" s="542" t="e">
        <f>'통장내역(환율표)'!#REF!</f>
        <v>#REF!</v>
      </c>
      <c r="M57" s="912" t="e">
        <f t="shared" si="20"/>
        <v>#REF!</v>
      </c>
      <c r="N57" s="928" t="e">
        <f t="shared" si="10"/>
        <v>#REF!</v>
      </c>
      <c r="O57" s="928" t="e">
        <f t="shared" si="11"/>
        <v>#REF!</v>
      </c>
      <c r="P57" s="911" t="s">
        <v>1410</v>
      </c>
      <c r="Q57" s="641"/>
      <c r="R57" s="641"/>
      <c r="S57" s="883" t="e">
        <f t="shared" si="21"/>
        <v>#REF!</v>
      </c>
      <c r="T57" s="461"/>
      <c r="U57" s="574"/>
      <c r="V57" s="461"/>
      <c r="W57" s="461"/>
      <c r="X57" s="461"/>
      <c r="Y57" s="461"/>
      <c r="Z57" s="461"/>
      <c r="AA57" s="461"/>
      <c r="AB57" s="461"/>
      <c r="AC57" s="461"/>
    </row>
    <row r="58" spans="1:29" s="489" customFormat="1" ht="11.25" customHeight="1">
      <c r="A58" s="544"/>
      <c r="B58" s="1055">
        <v>45708</v>
      </c>
      <c r="C58" s="916" t="s">
        <v>1418</v>
      </c>
      <c r="D58" s="922"/>
      <c r="E58" s="917">
        <v>32</v>
      </c>
      <c r="F58" s="569" t="s">
        <v>146</v>
      </c>
      <c r="G58" s="569" t="s">
        <v>147</v>
      </c>
      <c r="H58" s="569"/>
      <c r="I58" s="569"/>
      <c r="J58" s="569"/>
      <c r="K58" s="944">
        <v>1970.3</v>
      </c>
      <c r="L58" s="542" t="e">
        <f>'통장내역(환율표)'!#REF!</f>
        <v>#REF!</v>
      </c>
      <c r="M58" s="912" t="e">
        <f t="shared" si="20"/>
        <v>#REF!</v>
      </c>
      <c r="N58" s="928" t="e">
        <f t="shared" si="10"/>
        <v>#REF!</v>
      </c>
      <c r="O58" s="928" t="e">
        <f t="shared" si="11"/>
        <v>#REF!</v>
      </c>
      <c r="P58" s="911" t="s">
        <v>1410</v>
      </c>
      <c r="Q58" s="641"/>
      <c r="R58" s="641"/>
      <c r="S58" s="883" t="e">
        <f t="shared" si="21"/>
        <v>#REF!</v>
      </c>
      <c r="T58" s="461"/>
      <c r="U58" s="574"/>
      <c r="V58" s="461"/>
      <c r="W58" s="461"/>
      <c r="X58" s="461"/>
      <c r="Y58" s="461"/>
      <c r="Z58" s="461"/>
      <c r="AA58" s="461"/>
      <c r="AB58" s="461"/>
      <c r="AC58" s="461"/>
    </row>
    <row r="59" spans="1:29" s="489" customFormat="1" ht="11.25" customHeight="1">
      <c r="A59" s="544"/>
      <c r="B59" s="1055">
        <v>45708</v>
      </c>
      <c r="C59" s="916" t="s">
        <v>1419</v>
      </c>
      <c r="D59" s="922"/>
      <c r="E59" s="917">
        <v>33</v>
      </c>
      <c r="F59" s="569" t="s">
        <v>146</v>
      </c>
      <c r="G59" s="569" t="s">
        <v>147</v>
      </c>
      <c r="H59" s="569"/>
      <c r="I59" s="569"/>
      <c r="J59" s="569"/>
      <c r="K59" s="944">
        <v>93.48</v>
      </c>
      <c r="L59" s="542" t="e">
        <f>'통장내역(환율표)'!#REF!</f>
        <v>#REF!</v>
      </c>
      <c r="M59" s="912" t="e">
        <f t="shared" si="20"/>
        <v>#REF!</v>
      </c>
      <c r="N59" s="928" t="e">
        <f t="shared" si="10"/>
        <v>#REF!</v>
      </c>
      <c r="O59" s="928" t="e">
        <f t="shared" si="11"/>
        <v>#REF!</v>
      </c>
      <c r="P59" s="911" t="s">
        <v>1410</v>
      </c>
      <c r="Q59" s="641"/>
      <c r="R59" s="641"/>
      <c r="S59" s="883" t="e">
        <f t="shared" si="21"/>
        <v>#REF!</v>
      </c>
      <c r="T59" s="461"/>
      <c r="U59" s="574"/>
      <c r="V59" s="461"/>
      <c r="W59" s="461"/>
      <c r="X59" s="461"/>
      <c r="Y59" s="461"/>
      <c r="Z59" s="461"/>
      <c r="AA59" s="461"/>
      <c r="AB59" s="461"/>
      <c r="AC59" s="461"/>
    </row>
    <row r="60" spans="1:29" s="489" customFormat="1" ht="11.25" customHeight="1">
      <c r="A60" s="544"/>
      <c r="B60" s="1055">
        <v>45708</v>
      </c>
      <c r="C60" s="916" t="s">
        <v>1420</v>
      </c>
      <c r="D60" s="922"/>
      <c r="E60" s="569">
        <v>34</v>
      </c>
      <c r="F60" s="913" t="s">
        <v>107</v>
      </c>
      <c r="G60" s="569"/>
      <c r="H60" s="569"/>
      <c r="I60" s="569"/>
      <c r="J60" s="569"/>
      <c r="K60" s="944">
        <v>137.4</v>
      </c>
      <c r="L60" s="542" t="e">
        <f>'통장내역(환율표)'!#REF!</f>
        <v>#REF!</v>
      </c>
      <c r="M60" s="912" t="e">
        <f t="shared" si="20"/>
        <v>#REF!</v>
      </c>
      <c r="N60" s="928" t="e">
        <f t="shared" si="10"/>
        <v>#REF!</v>
      </c>
      <c r="O60" s="928" t="e">
        <f t="shared" si="11"/>
        <v>#REF!</v>
      </c>
      <c r="P60" s="911" t="s">
        <v>1410</v>
      </c>
      <c r="Q60" s="641"/>
      <c r="R60" s="641"/>
      <c r="S60" s="883" t="e">
        <f t="shared" si="21"/>
        <v>#REF!</v>
      </c>
      <c r="T60" s="461"/>
      <c r="U60" s="574"/>
      <c r="V60" s="461"/>
      <c r="W60" s="461"/>
      <c r="X60" s="461"/>
      <c r="Y60" s="461"/>
      <c r="Z60" s="461"/>
      <c r="AA60" s="461"/>
      <c r="AB60" s="461"/>
      <c r="AC60" s="461"/>
    </row>
    <row r="61" spans="1:29" s="489" customFormat="1" ht="11.25" customHeight="1">
      <c r="A61" s="544"/>
      <c r="B61" s="1055">
        <v>45708</v>
      </c>
      <c r="C61" s="916" t="s">
        <v>250</v>
      </c>
      <c r="D61" s="922"/>
      <c r="E61" s="569">
        <v>35</v>
      </c>
      <c r="F61" s="569" t="s">
        <v>107</v>
      </c>
      <c r="G61" s="569"/>
      <c r="H61" s="569"/>
      <c r="I61" s="569"/>
      <c r="J61" s="569"/>
      <c r="K61" s="944">
        <v>3.6</v>
      </c>
      <c r="L61" s="542" t="e">
        <f>'통장내역(환율표)'!#REF!</f>
        <v>#REF!</v>
      </c>
      <c r="M61" s="912" t="e">
        <f t="shared" si="20"/>
        <v>#REF!</v>
      </c>
      <c r="N61" s="928" t="e">
        <f t="shared" si="10"/>
        <v>#REF!</v>
      </c>
      <c r="O61" s="928" t="e">
        <f t="shared" si="11"/>
        <v>#REF!</v>
      </c>
      <c r="P61" s="911" t="s">
        <v>1410</v>
      </c>
      <c r="Q61" s="641"/>
      <c r="R61" s="641"/>
      <c r="S61" s="883" t="e">
        <f t="shared" si="21"/>
        <v>#REF!</v>
      </c>
      <c r="T61" s="461"/>
      <c r="U61" s="574"/>
      <c r="V61" s="461"/>
      <c r="W61" s="461"/>
      <c r="X61" s="461"/>
      <c r="Y61" s="461"/>
      <c r="Z61" s="461"/>
      <c r="AA61" s="461"/>
      <c r="AB61" s="461"/>
      <c r="AC61" s="461"/>
    </row>
    <row r="62" spans="1:29" ht="11.25" customHeight="1">
      <c r="B62" s="1055">
        <v>45708</v>
      </c>
      <c r="C62" s="965" t="s">
        <v>997</v>
      </c>
      <c r="D62" s="922"/>
      <c r="E62" s="917">
        <v>36</v>
      </c>
      <c r="F62" s="569" t="s">
        <v>146</v>
      </c>
      <c r="G62" s="569" t="s">
        <v>147</v>
      </c>
      <c r="H62" s="569"/>
      <c r="I62" s="569"/>
      <c r="J62" s="569"/>
      <c r="K62" s="1057">
        <v>270</v>
      </c>
      <c r="L62" s="542" t="e">
        <f>'통장내역(환율표)'!#REF!</f>
        <v>#REF!</v>
      </c>
      <c r="M62" s="912" t="e">
        <f t="shared" si="20"/>
        <v>#REF!</v>
      </c>
      <c r="N62" s="928" t="e">
        <f t="shared" si="10"/>
        <v>#REF!</v>
      </c>
      <c r="O62" s="928" t="e">
        <f t="shared" si="11"/>
        <v>#REF!</v>
      </c>
      <c r="P62" s="911" t="s">
        <v>1410</v>
      </c>
      <c r="Q62" s="641"/>
      <c r="R62" s="641"/>
      <c r="S62" s="883" t="e">
        <f t="shared" si="21"/>
        <v>#REF!</v>
      </c>
    </row>
    <row r="63" spans="1:29" ht="11.25" customHeight="1">
      <c r="B63" s="1055">
        <v>45708</v>
      </c>
      <c r="C63" s="965" t="s">
        <v>999</v>
      </c>
      <c r="D63" s="922"/>
      <c r="E63" s="917">
        <v>37</v>
      </c>
      <c r="F63" s="569" t="s">
        <v>146</v>
      </c>
      <c r="G63" s="569" t="s">
        <v>147</v>
      </c>
      <c r="H63" s="569"/>
      <c r="I63" s="569"/>
      <c r="J63" s="569"/>
      <c r="K63" s="1057">
        <v>2380</v>
      </c>
      <c r="L63" s="542" t="e">
        <f>'통장내역(환율표)'!#REF!</f>
        <v>#REF!</v>
      </c>
      <c r="M63" s="912" t="e">
        <f t="shared" ref="M63:M69" si="22">K63/L63</f>
        <v>#REF!</v>
      </c>
      <c r="N63" s="928" t="e">
        <f t="shared" si="10"/>
        <v>#REF!</v>
      </c>
      <c r="O63" s="928" t="e">
        <f t="shared" si="11"/>
        <v>#REF!</v>
      </c>
      <c r="P63" s="911" t="s">
        <v>1410</v>
      </c>
      <c r="Q63" s="641"/>
      <c r="R63" s="641"/>
      <c r="S63" s="883" t="e">
        <f t="shared" si="21"/>
        <v>#REF!</v>
      </c>
    </row>
    <row r="64" spans="1:29" ht="11.25" customHeight="1">
      <c r="B64" s="1055">
        <v>45708</v>
      </c>
      <c r="C64" s="965" t="s">
        <v>998</v>
      </c>
      <c r="D64" s="922"/>
      <c r="E64" s="917">
        <v>38</v>
      </c>
      <c r="F64" s="569" t="s">
        <v>146</v>
      </c>
      <c r="G64" s="972" t="s">
        <v>147</v>
      </c>
      <c r="H64" s="972"/>
      <c r="I64" s="972"/>
      <c r="J64" s="972"/>
      <c r="K64" s="1057">
        <v>381</v>
      </c>
      <c r="L64" s="542" t="e">
        <f>'통장내역(환율표)'!#REF!</f>
        <v>#REF!</v>
      </c>
      <c r="M64" s="912" t="e">
        <f t="shared" si="22"/>
        <v>#REF!</v>
      </c>
      <c r="N64" s="928" t="e">
        <f t="shared" si="10"/>
        <v>#REF!</v>
      </c>
      <c r="O64" s="928" t="e">
        <f t="shared" si="11"/>
        <v>#REF!</v>
      </c>
      <c r="P64" s="911" t="s">
        <v>1410</v>
      </c>
      <c r="Q64" s="641"/>
      <c r="R64" s="641"/>
      <c r="S64" s="883" t="e">
        <f t="shared" si="21"/>
        <v>#REF!</v>
      </c>
    </row>
    <row r="65" spans="2:19" ht="11.25" customHeight="1">
      <c r="B65" s="1055">
        <v>45708</v>
      </c>
      <c r="C65" s="916" t="s">
        <v>250</v>
      </c>
      <c r="D65" s="922"/>
      <c r="E65" s="917">
        <v>39</v>
      </c>
      <c r="F65" s="569" t="s">
        <v>107</v>
      </c>
      <c r="G65" s="972"/>
      <c r="H65" s="972"/>
      <c r="I65" s="972"/>
      <c r="J65" s="972"/>
      <c r="K65" s="1057">
        <v>3.6</v>
      </c>
      <c r="L65" s="542" t="e">
        <f>'통장내역(환율표)'!#REF!</f>
        <v>#REF!</v>
      </c>
      <c r="M65" s="912" t="e">
        <f t="shared" si="22"/>
        <v>#REF!</v>
      </c>
      <c r="N65" s="928" t="e">
        <f t="shared" si="10"/>
        <v>#REF!</v>
      </c>
      <c r="O65" s="928" t="e">
        <f t="shared" si="11"/>
        <v>#REF!</v>
      </c>
      <c r="P65" s="911" t="s">
        <v>1410</v>
      </c>
      <c r="Q65" s="641"/>
      <c r="R65" s="641"/>
      <c r="S65" s="883" t="e">
        <f t="shared" si="21"/>
        <v>#REF!</v>
      </c>
    </row>
    <row r="66" spans="2:19" ht="11.25" customHeight="1">
      <c r="B66" s="1055">
        <v>45708</v>
      </c>
      <c r="C66" s="965" t="s">
        <v>995</v>
      </c>
      <c r="D66" s="922"/>
      <c r="E66" s="917">
        <v>40</v>
      </c>
      <c r="F66" s="569" t="s">
        <v>146</v>
      </c>
      <c r="G66" s="972" t="s">
        <v>147</v>
      </c>
      <c r="H66" s="972"/>
      <c r="I66" s="972"/>
      <c r="J66" s="972"/>
      <c r="K66" s="1057">
        <v>497</v>
      </c>
      <c r="L66" s="542" t="e">
        <f>'통장내역(환율표)'!#REF!</f>
        <v>#REF!</v>
      </c>
      <c r="M66" s="912" t="e">
        <f t="shared" si="22"/>
        <v>#REF!</v>
      </c>
      <c r="N66" s="928" t="e">
        <f t="shared" si="10"/>
        <v>#REF!</v>
      </c>
      <c r="O66" s="928" t="e">
        <f t="shared" si="11"/>
        <v>#REF!</v>
      </c>
      <c r="P66" s="911" t="s">
        <v>1410</v>
      </c>
      <c r="Q66" s="641"/>
      <c r="R66" s="641"/>
      <c r="S66" s="883" t="e">
        <f t="shared" si="21"/>
        <v>#REF!</v>
      </c>
    </row>
    <row r="67" spans="2:19" ht="11.25" customHeight="1">
      <c r="B67" s="1055">
        <v>45708</v>
      </c>
      <c r="C67" s="965" t="s">
        <v>996</v>
      </c>
      <c r="D67" s="922"/>
      <c r="E67" s="972">
        <v>41</v>
      </c>
      <c r="F67" s="972" t="s">
        <v>146</v>
      </c>
      <c r="G67" s="972" t="s">
        <v>147</v>
      </c>
      <c r="H67" s="972"/>
      <c r="I67" s="972"/>
      <c r="J67" s="972"/>
      <c r="K67" s="1058">
        <v>1488</v>
      </c>
      <c r="L67" s="542" t="e">
        <f>'통장내역(환율표)'!#REF!</f>
        <v>#REF!</v>
      </c>
      <c r="M67" s="912" t="e">
        <f t="shared" si="22"/>
        <v>#REF!</v>
      </c>
      <c r="N67" s="928" t="e">
        <f t="shared" si="10"/>
        <v>#REF!</v>
      </c>
      <c r="O67" s="928" t="e">
        <f t="shared" si="11"/>
        <v>#REF!</v>
      </c>
      <c r="P67" s="911" t="s">
        <v>1410</v>
      </c>
      <c r="Q67" s="641"/>
      <c r="R67" s="641"/>
      <c r="S67" s="883" t="e">
        <f t="shared" si="21"/>
        <v>#REF!</v>
      </c>
    </row>
    <row r="68" spans="2:19" ht="11.25" customHeight="1">
      <c r="B68" s="1055">
        <v>45708</v>
      </c>
      <c r="C68" s="965" t="s">
        <v>994</v>
      </c>
      <c r="D68" s="922"/>
      <c r="E68" s="917">
        <v>42</v>
      </c>
      <c r="F68" s="972" t="s">
        <v>146</v>
      </c>
      <c r="G68" s="972" t="s">
        <v>147</v>
      </c>
      <c r="H68" s="972"/>
      <c r="I68" s="972"/>
      <c r="J68" s="972"/>
      <c r="K68" s="1057">
        <v>45</v>
      </c>
      <c r="L68" s="542" t="e">
        <f>'통장내역(환율표)'!#REF!</f>
        <v>#REF!</v>
      </c>
      <c r="M68" s="912" t="e">
        <f t="shared" si="22"/>
        <v>#REF!</v>
      </c>
      <c r="N68" s="928" t="e">
        <f t="shared" si="10"/>
        <v>#REF!</v>
      </c>
      <c r="O68" s="928" t="e">
        <f t="shared" si="11"/>
        <v>#REF!</v>
      </c>
      <c r="P68" s="911" t="s">
        <v>1410</v>
      </c>
      <c r="Q68" s="641"/>
      <c r="R68" s="641"/>
      <c r="S68" s="883" t="e">
        <f t="shared" si="21"/>
        <v>#REF!</v>
      </c>
    </row>
    <row r="69" spans="2:19" ht="11.25" customHeight="1">
      <c r="B69" s="1055">
        <v>45708</v>
      </c>
      <c r="C69" s="916" t="s">
        <v>250</v>
      </c>
      <c r="D69" s="922"/>
      <c r="E69" s="917">
        <v>43</v>
      </c>
      <c r="F69" s="972" t="s">
        <v>107</v>
      </c>
      <c r="G69" s="972"/>
      <c r="H69" s="972"/>
      <c r="I69" s="972"/>
      <c r="J69" s="972"/>
      <c r="K69" s="1057">
        <v>3.6</v>
      </c>
      <c r="L69" s="542" t="e">
        <f>'통장내역(환율표)'!#REF!</f>
        <v>#REF!</v>
      </c>
      <c r="M69" s="912" t="e">
        <f t="shared" si="22"/>
        <v>#REF!</v>
      </c>
      <c r="N69" s="928" t="e">
        <f t="shared" si="10"/>
        <v>#REF!</v>
      </c>
      <c r="O69" s="928" t="e">
        <f t="shared" si="11"/>
        <v>#REF!</v>
      </c>
      <c r="P69" s="911" t="s">
        <v>1410</v>
      </c>
      <c r="Q69" s="641"/>
      <c r="R69" s="641"/>
      <c r="S69" s="883" t="e">
        <f t="shared" si="21"/>
        <v>#REF!</v>
      </c>
    </row>
    <row r="70" spans="2:19" ht="11.25" customHeight="1">
      <c r="B70" s="1055">
        <v>45708</v>
      </c>
      <c r="C70" s="965" t="s">
        <v>885</v>
      </c>
      <c r="D70" s="922"/>
      <c r="E70" s="917">
        <v>44</v>
      </c>
      <c r="F70" s="972" t="s">
        <v>107</v>
      </c>
      <c r="G70" s="972"/>
      <c r="H70" s="972"/>
      <c r="I70" s="972"/>
      <c r="J70" s="972"/>
      <c r="K70" s="918">
        <v>16000</v>
      </c>
      <c r="L70" s="542" t="e">
        <f>'통장내역(환율표)'!#REF!</f>
        <v>#REF!</v>
      </c>
      <c r="M70" s="912" t="e">
        <f t="shared" ref="M70:M97" si="23">K70/L70</f>
        <v>#REF!</v>
      </c>
      <c r="N70" s="928" t="e">
        <f t="shared" si="10"/>
        <v>#REF!</v>
      </c>
      <c r="O70" s="928" t="e">
        <f t="shared" si="11"/>
        <v>#REF!</v>
      </c>
      <c r="P70" s="911" t="s">
        <v>1410</v>
      </c>
      <c r="Q70" s="641"/>
      <c r="R70" s="641"/>
      <c r="S70" s="883" t="e">
        <f t="shared" si="21"/>
        <v>#REF!</v>
      </c>
    </row>
    <row r="71" spans="2:19" ht="11.25" customHeight="1">
      <c r="B71" s="1055">
        <v>45708</v>
      </c>
      <c r="C71" s="965" t="s">
        <v>938</v>
      </c>
      <c r="D71" s="922"/>
      <c r="E71" s="972">
        <v>44</v>
      </c>
      <c r="F71" s="972" t="s">
        <v>107</v>
      </c>
      <c r="G71" s="972"/>
      <c r="H71" s="972"/>
      <c r="I71" s="972"/>
      <c r="J71" s="972"/>
      <c r="K71" s="918">
        <v>24000</v>
      </c>
      <c r="L71" s="542" t="e">
        <f>'통장내역(환율표)'!#REF!</f>
        <v>#REF!</v>
      </c>
      <c r="M71" s="912" t="e">
        <f t="shared" si="23"/>
        <v>#REF!</v>
      </c>
      <c r="N71" s="928" t="e">
        <f t="shared" si="10"/>
        <v>#REF!</v>
      </c>
      <c r="O71" s="928" t="e">
        <f t="shared" si="11"/>
        <v>#REF!</v>
      </c>
      <c r="P71" s="911" t="s">
        <v>1410</v>
      </c>
      <c r="Q71" s="641"/>
      <c r="R71" s="641"/>
      <c r="S71" s="883" t="e">
        <f t="shared" si="21"/>
        <v>#REF!</v>
      </c>
    </row>
    <row r="72" spans="2:19" ht="11.25" customHeight="1">
      <c r="B72" s="1055">
        <v>45708</v>
      </c>
      <c r="C72" s="916" t="s">
        <v>887</v>
      </c>
      <c r="D72" s="922"/>
      <c r="E72" s="917">
        <v>44</v>
      </c>
      <c r="F72" s="972" t="s">
        <v>107</v>
      </c>
      <c r="G72" s="972"/>
      <c r="H72" s="972"/>
      <c r="I72" s="972"/>
      <c r="J72" s="972"/>
      <c r="K72" s="918">
        <v>5305.1900000000005</v>
      </c>
      <c r="L72" s="542" t="e">
        <f>'통장내역(환율표)'!#REF!</f>
        <v>#REF!</v>
      </c>
      <c r="M72" s="912" t="e">
        <f t="shared" si="23"/>
        <v>#REF!</v>
      </c>
      <c r="N72" s="928" t="e">
        <f t="shared" si="10"/>
        <v>#REF!</v>
      </c>
      <c r="O72" s="928" t="e">
        <f t="shared" si="11"/>
        <v>#REF!</v>
      </c>
      <c r="P72" s="911" t="s">
        <v>1410</v>
      </c>
      <c r="Q72" s="641"/>
      <c r="R72" s="641"/>
      <c r="S72" s="883" t="e">
        <f t="shared" si="21"/>
        <v>#REF!</v>
      </c>
    </row>
    <row r="73" spans="2:19" ht="11.25" customHeight="1">
      <c r="B73" s="1055">
        <v>45708</v>
      </c>
      <c r="C73" s="965" t="s">
        <v>888</v>
      </c>
      <c r="D73" s="922"/>
      <c r="E73" s="917">
        <v>44</v>
      </c>
      <c r="F73" s="972" t="s">
        <v>107</v>
      </c>
      <c r="G73" s="972"/>
      <c r="H73" s="972"/>
      <c r="I73" s="972"/>
      <c r="J73" s="972"/>
      <c r="K73" s="918" t="e">
        <f>L73*M73</f>
        <v>#REF!</v>
      </c>
      <c r="L73" s="542" t="e">
        <f>'통장내역(환율표)'!#REF!</f>
        <v>#REF!</v>
      </c>
      <c r="M73" s="912">
        <v>5.4824733007262694</v>
      </c>
      <c r="N73" s="928" t="e">
        <f t="shared" si="10"/>
        <v>#REF!</v>
      </c>
      <c r="O73" s="928" t="e">
        <f t="shared" si="11"/>
        <v>#REF!</v>
      </c>
      <c r="P73" s="911" t="s">
        <v>1410</v>
      </c>
      <c r="Q73" s="641"/>
      <c r="R73" s="641"/>
      <c r="S73" s="883" t="e">
        <f t="shared" si="21"/>
        <v>#REF!</v>
      </c>
    </row>
    <row r="74" spans="2:19" ht="11.25" customHeight="1">
      <c r="B74" s="1055">
        <v>45708</v>
      </c>
      <c r="C74" s="965" t="s">
        <v>888</v>
      </c>
      <c r="D74" s="922"/>
      <c r="E74" s="917">
        <v>44</v>
      </c>
      <c r="F74" s="972" t="s">
        <v>107</v>
      </c>
      <c r="G74" s="972"/>
      <c r="H74" s="972"/>
      <c r="I74" s="972"/>
      <c r="J74" s="972"/>
      <c r="K74" s="918" t="e">
        <f>3152.56-K73</f>
        <v>#REF!</v>
      </c>
      <c r="L74" s="542" t="e">
        <f>'통장내역(환율표)'!#REF!</f>
        <v>#REF!</v>
      </c>
      <c r="M74" s="931" t="e">
        <f t="shared" si="23"/>
        <v>#REF!</v>
      </c>
      <c r="N74" s="928" t="e">
        <f t="shared" si="10"/>
        <v>#REF!</v>
      </c>
      <c r="O74" s="928" t="e">
        <f t="shared" si="11"/>
        <v>#REF!</v>
      </c>
      <c r="P74" s="911" t="s">
        <v>1134</v>
      </c>
      <c r="Q74" s="641"/>
      <c r="R74" s="641"/>
      <c r="S74" s="883" t="e">
        <f>44544-M74</f>
        <v>#REF!</v>
      </c>
    </row>
    <row r="75" spans="2:19" ht="11.25" customHeight="1">
      <c r="B75" s="1055">
        <v>45708</v>
      </c>
      <c r="C75" s="965" t="s">
        <v>892</v>
      </c>
      <c r="D75" s="922"/>
      <c r="E75" s="917">
        <v>44</v>
      </c>
      <c r="F75" s="972" t="s">
        <v>107</v>
      </c>
      <c r="G75" s="972"/>
      <c r="H75" s="972"/>
      <c r="I75" s="972"/>
      <c r="J75" s="972"/>
      <c r="K75" s="918">
        <v>300</v>
      </c>
      <c r="L75" s="542" t="e">
        <f>'통장내역(환율표)'!#REF!</f>
        <v>#REF!</v>
      </c>
      <c r="M75" s="931" t="e">
        <f t="shared" si="23"/>
        <v>#REF!</v>
      </c>
      <c r="N75" s="928" t="e">
        <f t="shared" si="10"/>
        <v>#REF!</v>
      </c>
      <c r="O75" s="928" t="e">
        <f t="shared" si="11"/>
        <v>#REF!</v>
      </c>
      <c r="P75" s="911" t="s">
        <v>1134</v>
      </c>
      <c r="Q75" s="641"/>
      <c r="R75" s="641"/>
      <c r="S75" s="883" t="e">
        <f>S74-M75</f>
        <v>#REF!</v>
      </c>
    </row>
    <row r="76" spans="2:19" ht="11.25" customHeight="1">
      <c r="B76" s="1055">
        <v>45708</v>
      </c>
      <c r="C76" s="965" t="s">
        <v>885</v>
      </c>
      <c r="D76" s="922"/>
      <c r="E76" s="917">
        <v>44</v>
      </c>
      <c r="F76" s="972" t="s">
        <v>107</v>
      </c>
      <c r="G76" s="972"/>
      <c r="H76" s="972"/>
      <c r="I76" s="972"/>
      <c r="J76" s="972"/>
      <c r="K76" s="918">
        <v>16000</v>
      </c>
      <c r="L76" s="542" t="e">
        <f>'통장내역(환율표)'!#REF!</f>
        <v>#REF!</v>
      </c>
      <c r="M76" s="931" t="e">
        <f t="shared" si="23"/>
        <v>#REF!</v>
      </c>
      <c r="N76" s="928" t="e">
        <f t="shared" si="10"/>
        <v>#REF!</v>
      </c>
      <c r="O76" s="928" t="e">
        <f t="shared" si="11"/>
        <v>#REF!</v>
      </c>
      <c r="P76" s="911" t="s">
        <v>1134</v>
      </c>
      <c r="Q76" s="641"/>
      <c r="R76" s="641"/>
      <c r="S76" s="883" t="e">
        <f>S75-M76</f>
        <v>#REF!</v>
      </c>
    </row>
    <row r="77" spans="2:19" ht="11.25" customHeight="1">
      <c r="B77" s="1055">
        <v>45708</v>
      </c>
      <c r="C77" s="965" t="s">
        <v>938</v>
      </c>
      <c r="D77" s="922"/>
      <c r="E77" s="569">
        <v>44</v>
      </c>
      <c r="F77" s="972" t="s">
        <v>107</v>
      </c>
      <c r="G77" s="569"/>
      <c r="H77" s="569"/>
      <c r="I77" s="569"/>
      <c r="J77" s="569"/>
      <c r="K77" s="918">
        <v>24000</v>
      </c>
      <c r="L77" s="542" t="e">
        <f>'통장내역(환율표)'!#REF!</f>
        <v>#REF!</v>
      </c>
      <c r="M77" s="931" t="e">
        <f t="shared" si="23"/>
        <v>#REF!</v>
      </c>
      <c r="N77" s="928" t="e">
        <f t="shared" si="10"/>
        <v>#REF!</v>
      </c>
      <c r="O77" s="928" t="e">
        <f t="shared" si="11"/>
        <v>#REF!</v>
      </c>
      <c r="P77" s="911" t="s">
        <v>1134</v>
      </c>
      <c r="Q77" s="641"/>
      <c r="R77" s="641"/>
      <c r="S77" s="883" t="e">
        <f t="shared" si="21"/>
        <v>#REF!</v>
      </c>
    </row>
    <row r="78" spans="2:19" ht="11.25" customHeight="1">
      <c r="B78" s="1055">
        <v>45708</v>
      </c>
      <c r="C78" s="965" t="s">
        <v>887</v>
      </c>
      <c r="D78" s="922"/>
      <c r="E78" s="917">
        <v>44</v>
      </c>
      <c r="F78" s="972" t="s">
        <v>107</v>
      </c>
      <c r="G78" s="569"/>
      <c r="H78" s="569"/>
      <c r="I78" s="569"/>
      <c r="J78" s="569"/>
      <c r="K78" s="918">
        <v>8726.1899999999987</v>
      </c>
      <c r="L78" s="542" t="e">
        <f>'통장내역(환율표)'!#REF!</f>
        <v>#REF!</v>
      </c>
      <c r="M78" s="931" t="e">
        <f t="shared" si="23"/>
        <v>#REF!</v>
      </c>
      <c r="N78" s="928" t="e">
        <f t="shared" si="10"/>
        <v>#REF!</v>
      </c>
      <c r="O78" s="928" t="e">
        <f t="shared" si="11"/>
        <v>#REF!</v>
      </c>
      <c r="P78" s="911" t="s">
        <v>1134</v>
      </c>
      <c r="Q78" s="641"/>
      <c r="R78" s="641"/>
      <c r="S78" s="883" t="e">
        <f t="shared" si="21"/>
        <v>#REF!</v>
      </c>
    </row>
    <row r="79" spans="2:19" ht="11.25" customHeight="1">
      <c r="B79" s="1055">
        <v>45708</v>
      </c>
      <c r="C79" s="965" t="s">
        <v>888</v>
      </c>
      <c r="D79" s="922"/>
      <c r="E79" s="917">
        <v>44</v>
      </c>
      <c r="F79" s="972" t="s">
        <v>107</v>
      </c>
      <c r="G79" s="569"/>
      <c r="H79" s="569"/>
      <c r="I79" s="569"/>
      <c r="J79" s="569"/>
      <c r="K79" s="918">
        <v>2863.9</v>
      </c>
      <c r="L79" s="542" t="e">
        <f>'통장내역(환율표)'!#REF!</f>
        <v>#REF!</v>
      </c>
      <c r="M79" s="931" t="e">
        <f t="shared" si="23"/>
        <v>#REF!</v>
      </c>
      <c r="N79" s="928" t="e">
        <f t="shared" si="10"/>
        <v>#REF!</v>
      </c>
      <c r="O79" s="928" t="e">
        <f t="shared" si="11"/>
        <v>#REF!</v>
      </c>
      <c r="P79" s="911" t="s">
        <v>1134</v>
      </c>
      <c r="Q79" s="641"/>
      <c r="R79" s="641"/>
      <c r="S79" s="883" t="e">
        <f t="shared" si="21"/>
        <v>#REF!</v>
      </c>
    </row>
    <row r="80" spans="2:19" ht="11.25" customHeight="1">
      <c r="B80" s="1055">
        <v>45708</v>
      </c>
      <c r="C80" s="965" t="s">
        <v>892</v>
      </c>
      <c r="D80" s="922"/>
      <c r="E80" s="569">
        <v>44</v>
      </c>
      <c r="F80" s="972" t="s">
        <v>107</v>
      </c>
      <c r="G80" s="569"/>
      <c r="H80" s="569"/>
      <c r="I80" s="569"/>
      <c r="J80" s="569"/>
      <c r="K80" s="918">
        <v>300</v>
      </c>
      <c r="L80" s="542" t="e">
        <f>'통장내역(환율표)'!#REF!</f>
        <v>#REF!</v>
      </c>
      <c r="M80" s="931" t="e">
        <f t="shared" si="23"/>
        <v>#REF!</v>
      </c>
      <c r="N80" s="928" t="e">
        <f t="shared" si="10"/>
        <v>#REF!</v>
      </c>
      <c r="O80" s="928" t="e">
        <f t="shared" si="11"/>
        <v>#REF!</v>
      </c>
      <c r="P80" s="911" t="s">
        <v>1134</v>
      </c>
      <c r="Q80" s="641"/>
      <c r="R80" s="641"/>
      <c r="S80" s="883" t="e">
        <f t="shared" si="21"/>
        <v>#REF!</v>
      </c>
    </row>
    <row r="81" spans="2:19" ht="11.25" customHeight="1">
      <c r="B81" s="1055">
        <v>45708</v>
      </c>
      <c r="C81" s="965" t="s">
        <v>891</v>
      </c>
      <c r="D81" s="922"/>
      <c r="E81" s="917">
        <v>44</v>
      </c>
      <c r="F81" s="972" t="s">
        <v>107</v>
      </c>
      <c r="G81" s="569"/>
      <c r="H81" s="569"/>
      <c r="I81" s="569"/>
      <c r="J81" s="569"/>
      <c r="K81" s="918">
        <v>25750</v>
      </c>
      <c r="L81" s="542" t="e">
        <f>'통장내역(환율표)'!#REF!</f>
        <v>#REF!</v>
      </c>
      <c r="M81" s="931" t="e">
        <f t="shared" si="23"/>
        <v>#REF!</v>
      </c>
      <c r="N81" s="928" t="e">
        <f t="shared" si="10"/>
        <v>#REF!</v>
      </c>
      <c r="O81" s="928" t="e">
        <f t="shared" si="11"/>
        <v>#REF!</v>
      </c>
      <c r="P81" s="911" t="s">
        <v>1134</v>
      </c>
      <c r="Q81" s="641"/>
      <c r="R81" s="641"/>
      <c r="S81" s="883" t="e">
        <f t="shared" si="21"/>
        <v>#REF!</v>
      </c>
    </row>
    <row r="82" spans="2:19" ht="11.25" customHeight="1">
      <c r="B82" s="1055">
        <v>45708</v>
      </c>
      <c r="C82" s="965" t="s">
        <v>939</v>
      </c>
      <c r="D82" s="982"/>
      <c r="E82" s="917">
        <v>44</v>
      </c>
      <c r="F82" s="972" t="s">
        <v>107</v>
      </c>
      <c r="G82" s="569"/>
      <c r="H82" s="569"/>
      <c r="I82" s="569"/>
      <c r="J82" s="569"/>
      <c r="K82" s="918">
        <v>7431.44</v>
      </c>
      <c r="L82" s="542" t="e">
        <f>'통장내역(환율표)'!#REF!</f>
        <v>#REF!</v>
      </c>
      <c r="M82" s="931" t="e">
        <f t="shared" si="23"/>
        <v>#REF!</v>
      </c>
      <c r="N82" s="928" t="e">
        <f t="shared" si="10"/>
        <v>#REF!</v>
      </c>
      <c r="O82" s="928" t="e">
        <f t="shared" si="11"/>
        <v>#REF!</v>
      </c>
      <c r="P82" s="911" t="s">
        <v>1134</v>
      </c>
      <c r="Q82" s="641"/>
      <c r="R82" s="641"/>
      <c r="S82" s="883" t="e">
        <f t="shared" si="21"/>
        <v>#REF!</v>
      </c>
    </row>
    <row r="83" spans="2:19" ht="11.25" customHeight="1">
      <c r="B83" s="1055">
        <v>45708</v>
      </c>
      <c r="C83" s="916" t="s">
        <v>892</v>
      </c>
      <c r="D83" s="982"/>
      <c r="E83" s="917">
        <v>44</v>
      </c>
      <c r="F83" s="972" t="s">
        <v>107</v>
      </c>
      <c r="G83" s="569"/>
      <c r="H83" s="569"/>
      <c r="I83" s="569"/>
      <c r="J83" s="569"/>
      <c r="K83" s="918">
        <v>300</v>
      </c>
      <c r="L83" s="542" t="e">
        <f>'통장내역(환율표)'!#REF!</f>
        <v>#REF!</v>
      </c>
      <c r="M83" s="931" t="e">
        <f t="shared" si="23"/>
        <v>#REF!</v>
      </c>
      <c r="N83" s="928" t="e">
        <f t="shared" si="10"/>
        <v>#REF!</v>
      </c>
      <c r="O83" s="928" t="e">
        <f t="shared" si="11"/>
        <v>#REF!</v>
      </c>
      <c r="P83" s="911" t="s">
        <v>1134</v>
      </c>
      <c r="Q83" s="641"/>
      <c r="R83" s="641"/>
      <c r="S83" s="883" t="e">
        <f t="shared" si="21"/>
        <v>#REF!</v>
      </c>
    </row>
    <row r="84" spans="2:19" ht="11.25" customHeight="1">
      <c r="B84" s="1055">
        <v>45708</v>
      </c>
      <c r="C84" s="965" t="s">
        <v>983</v>
      </c>
      <c r="D84" s="982"/>
      <c r="E84" s="917">
        <v>44</v>
      </c>
      <c r="F84" s="972" t="s">
        <v>107</v>
      </c>
      <c r="G84" s="569"/>
      <c r="H84" s="569"/>
      <c r="I84" s="569"/>
      <c r="J84" s="569"/>
      <c r="K84" s="918">
        <v>300</v>
      </c>
      <c r="L84" s="542" t="e">
        <f>'통장내역(환율표)'!#REF!</f>
        <v>#REF!</v>
      </c>
      <c r="M84" s="931" t="e">
        <f t="shared" si="23"/>
        <v>#REF!</v>
      </c>
      <c r="N84" s="928" t="e">
        <f t="shared" si="10"/>
        <v>#REF!</v>
      </c>
      <c r="O84" s="928" t="e">
        <f t="shared" si="11"/>
        <v>#REF!</v>
      </c>
      <c r="P84" s="911" t="s">
        <v>1134</v>
      </c>
      <c r="Q84" s="641"/>
      <c r="R84" s="641"/>
      <c r="S84" s="883" t="e">
        <f t="shared" si="21"/>
        <v>#REF!</v>
      </c>
    </row>
    <row r="85" spans="2:19" ht="11.25" customHeight="1">
      <c r="B85" s="1055">
        <v>45708</v>
      </c>
      <c r="C85" s="965" t="s">
        <v>891</v>
      </c>
      <c r="D85" s="982"/>
      <c r="E85" s="917">
        <v>44</v>
      </c>
      <c r="F85" s="972" t="s">
        <v>107</v>
      </c>
      <c r="G85" s="569"/>
      <c r="H85" s="569"/>
      <c r="I85" s="569"/>
      <c r="J85" s="569"/>
      <c r="K85" s="918">
        <v>13390</v>
      </c>
      <c r="L85" s="542" t="e">
        <f>'통장내역(환율표)'!#REF!</f>
        <v>#REF!</v>
      </c>
      <c r="M85" s="931" t="e">
        <f t="shared" si="23"/>
        <v>#REF!</v>
      </c>
      <c r="N85" s="928" t="e">
        <f t="shared" ref="N85:N97" si="24">N84+H85-K85</f>
        <v>#REF!</v>
      </c>
      <c r="O85" s="928" t="e">
        <f t="shared" ref="O85:O97" si="25">O84+J85-M85</f>
        <v>#REF!</v>
      </c>
      <c r="P85" s="911" t="s">
        <v>1134</v>
      </c>
      <c r="Q85" s="641"/>
      <c r="R85" s="641"/>
      <c r="S85" s="883" t="e">
        <f t="shared" si="21"/>
        <v>#REF!</v>
      </c>
    </row>
    <row r="86" spans="2:19" ht="11.25" customHeight="1">
      <c r="B86" s="1055">
        <v>45708</v>
      </c>
      <c r="C86" s="965" t="s">
        <v>1109</v>
      </c>
      <c r="D86" s="921"/>
      <c r="E86" s="917">
        <v>44</v>
      </c>
      <c r="F86" s="569" t="s">
        <v>1413</v>
      </c>
      <c r="G86" s="569" t="s">
        <v>1278</v>
      </c>
      <c r="H86" s="569"/>
      <c r="I86" s="569"/>
      <c r="J86" s="569"/>
      <c r="K86" s="918">
        <v>19074</v>
      </c>
      <c r="L86" s="542" t="e">
        <f>'통장내역(환율표)'!#REF!</f>
        <v>#REF!</v>
      </c>
      <c r="M86" s="931" t="e">
        <f t="shared" si="23"/>
        <v>#REF!</v>
      </c>
      <c r="N86" s="928" t="e">
        <f t="shared" si="24"/>
        <v>#REF!</v>
      </c>
      <c r="O86" s="928" t="e">
        <f t="shared" si="25"/>
        <v>#REF!</v>
      </c>
      <c r="P86" s="911" t="s">
        <v>1134</v>
      </c>
      <c r="Q86" s="641"/>
      <c r="R86" s="641"/>
      <c r="S86" s="883" t="e">
        <f t="shared" si="21"/>
        <v>#REF!</v>
      </c>
    </row>
    <row r="87" spans="2:19" ht="11.25" customHeight="1">
      <c r="B87" s="1055">
        <v>45708</v>
      </c>
      <c r="C87" s="965" t="s">
        <v>939</v>
      </c>
      <c r="D87" s="921"/>
      <c r="E87" s="917">
        <v>44</v>
      </c>
      <c r="F87" s="972" t="s">
        <v>107</v>
      </c>
      <c r="G87" s="569"/>
      <c r="H87" s="569"/>
      <c r="I87" s="569"/>
      <c r="J87" s="569"/>
      <c r="K87" s="918">
        <v>3281.57</v>
      </c>
      <c r="L87" s="542" t="e">
        <f>'통장내역(환율표)'!#REF!</f>
        <v>#REF!</v>
      </c>
      <c r="M87" s="931" t="e">
        <f t="shared" si="23"/>
        <v>#REF!</v>
      </c>
      <c r="N87" s="928" t="e">
        <f t="shared" si="24"/>
        <v>#REF!</v>
      </c>
      <c r="O87" s="928" t="e">
        <f t="shared" si="25"/>
        <v>#REF!</v>
      </c>
      <c r="P87" s="911" t="s">
        <v>1134</v>
      </c>
      <c r="Q87" s="641"/>
      <c r="R87" s="641"/>
      <c r="S87" s="883" t="e">
        <f t="shared" si="21"/>
        <v>#REF!</v>
      </c>
    </row>
    <row r="88" spans="2:19" ht="11.25" customHeight="1">
      <c r="B88" s="1055">
        <v>45708</v>
      </c>
      <c r="C88" s="965" t="s">
        <v>892</v>
      </c>
      <c r="D88" s="921"/>
      <c r="E88" s="917">
        <v>44</v>
      </c>
      <c r="F88" s="972" t="s">
        <v>107</v>
      </c>
      <c r="G88" s="569"/>
      <c r="H88" s="569"/>
      <c r="I88" s="569"/>
      <c r="J88" s="569"/>
      <c r="K88" s="918">
        <v>300</v>
      </c>
      <c r="L88" s="542" t="e">
        <f>'통장내역(환율표)'!#REF!</f>
        <v>#REF!</v>
      </c>
      <c r="M88" s="931" t="e">
        <f t="shared" si="23"/>
        <v>#REF!</v>
      </c>
      <c r="N88" s="928" t="e">
        <f t="shared" si="24"/>
        <v>#REF!</v>
      </c>
      <c r="O88" s="928" t="e">
        <f t="shared" si="25"/>
        <v>#REF!</v>
      </c>
      <c r="P88" s="911" t="s">
        <v>1134</v>
      </c>
      <c r="Q88" s="641"/>
      <c r="R88" s="641"/>
      <c r="S88" s="883" t="e">
        <f t="shared" si="21"/>
        <v>#REF!</v>
      </c>
    </row>
    <row r="89" spans="2:19" ht="11.25" customHeight="1">
      <c r="B89" s="1055">
        <v>45708</v>
      </c>
      <c r="C89" s="965" t="s">
        <v>891</v>
      </c>
      <c r="D89" s="921"/>
      <c r="E89" s="917">
        <v>44</v>
      </c>
      <c r="F89" s="972" t="s">
        <v>107</v>
      </c>
      <c r="G89" s="569"/>
      <c r="H89" s="569"/>
      <c r="I89" s="569"/>
      <c r="J89" s="569"/>
      <c r="K89" s="918">
        <v>25750</v>
      </c>
      <c r="L89" s="542" t="e">
        <f>'통장내역(환율표)'!#REF!</f>
        <v>#REF!</v>
      </c>
      <c r="M89" s="931" t="e">
        <f t="shared" si="23"/>
        <v>#REF!</v>
      </c>
      <c r="N89" s="928" t="e">
        <f t="shared" si="24"/>
        <v>#REF!</v>
      </c>
      <c r="O89" s="928" t="e">
        <f t="shared" si="25"/>
        <v>#REF!</v>
      </c>
      <c r="P89" s="911" t="s">
        <v>1134</v>
      </c>
      <c r="Q89" s="641"/>
      <c r="R89" s="641"/>
      <c r="S89" s="883" t="e">
        <f t="shared" si="21"/>
        <v>#REF!</v>
      </c>
    </row>
    <row r="90" spans="2:19" ht="11.25" customHeight="1">
      <c r="B90" s="1055">
        <v>45708</v>
      </c>
      <c r="C90" s="965" t="s">
        <v>1109</v>
      </c>
      <c r="D90" s="921"/>
      <c r="E90" s="917">
        <v>44</v>
      </c>
      <c r="F90" s="569" t="s">
        <v>1413</v>
      </c>
      <c r="G90" s="569" t="s">
        <v>1278</v>
      </c>
      <c r="H90" s="569"/>
      <c r="I90" s="569"/>
      <c r="J90" s="569"/>
      <c r="K90" s="918">
        <v>37705</v>
      </c>
      <c r="L90" s="542" t="e">
        <f>'통장내역(환율표)'!#REF!</f>
        <v>#REF!</v>
      </c>
      <c r="M90" s="931" t="e">
        <f t="shared" si="23"/>
        <v>#REF!</v>
      </c>
      <c r="N90" s="928" t="e">
        <f t="shared" si="24"/>
        <v>#REF!</v>
      </c>
      <c r="O90" s="928" t="e">
        <f t="shared" si="25"/>
        <v>#REF!</v>
      </c>
      <c r="P90" s="911" t="s">
        <v>1134</v>
      </c>
      <c r="Q90" s="641"/>
      <c r="R90" s="641"/>
      <c r="S90" s="883" t="e">
        <f t="shared" si="21"/>
        <v>#REF!</v>
      </c>
    </row>
    <row r="91" spans="2:19" ht="11.25" customHeight="1">
      <c r="B91" s="1055">
        <v>45708</v>
      </c>
      <c r="C91" s="965" t="s">
        <v>939</v>
      </c>
      <c r="D91" s="921"/>
      <c r="E91" s="917">
        <v>44</v>
      </c>
      <c r="F91" s="972" t="s">
        <v>107</v>
      </c>
      <c r="G91" s="569"/>
      <c r="H91" s="569"/>
      <c r="I91" s="569"/>
      <c r="J91" s="569"/>
      <c r="K91" s="918">
        <v>7431.44</v>
      </c>
      <c r="L91" s="542" t="e">
        <f>'통장내역(환율표)'!#REF!</f>
        <v>#REF!</v>
      </c>
      <c r="M91" s="931" t="e">
        <f t="shared" si="23"/>
        <v>#REF!</v>
      </c>
      <c r="N91" s="928" t="e">
        <f t="shared" si="24"/>
        <v>#REF!</v>
      </c>
      <c r="O91" s="928" t="e">
        <f t="shared" si="25"/>
        <v>#REF!</v>
      </c>
      <c r="P91" s="911" t="s">
        <v>1134</v>
      </c>
      <c r="Q91" s="641"/>
      <c r="R91" s="641"/>
      <c r="S91" s="883" t="e">
        <f t="shared" si="21"/>
        <v>#REF!</v>
      </c>
    </row>
    <row r="92" spans="2:19" ht="11.25" customHeight="1">
      <c r="B92" s="1055">
        <v>45708</v>
      </c>
      <c r="C92" s="965" t="s">
        <v>892</v>
      </c>
      <c r="D92" s="921"/>
      <c r="E92" s="917">
        <v>44</v>
      </c>
      <c r="F92" s="972" t="s">
        <v>107</v>
      </c>
      <c r="G92" s="569"/>
      <c r="H92" s="569"/>
      <c r="I92" s="569"/>
      <c r="J92" s="569"/>
      <c r="K92" s="918">
        <v>300</v>
      </c>
      <c r="L92" s="542" t="e">
        <f>'통장내역(환율표)'!#REF!</f>
        <v>#REF!</v>
      </c>
      <c r="M92" s="931" t="e">
        <f t="shared" si="23"/>
        <v>#REF!</v>
      </c>
      <c r="N92" s="928" t="e">
        <f t="shared" si="24"/>
        <v>#REF!</v>
      </c>
      <c r="O92" s="928" t="e">
        <f t="shared" si="25"/>
        <v>#REF!</v>
      </c>
      <c r="P92" s="911" t="s">
        <v>1134</v>
      </c>
      <c r="Q92" s="641"/>
      <c r="R92" s="641"/>
      <c r="S92" s="883" t="e">
        <f t="shared" si="21"/>
        <v>#REF!</v>
      </c>
    </row>
    <row r="93" spans="2:19" ht="11.25" customHeight="1">
      <c r="B93" s="1055">
        <v>45708</v>
      </c>
      <c r="C93" s="965" t="s">
        <v>891</v>
      </c>
      <c r="D93" s="921"/>
      <c r="E93" s="917">
        <v>44</v>
      </c>
      <c r="F93" s="972" t="s">
        <v>107</v>
      </c>
      <c r="G93" s="569"/>
      <c r="H93" s="569"/>
      <c r="I93" s="569"/>
      <c r="J93" s="569"/>
      <c r="K93" s="918">
        <v>21300</v>
      </c>
      <c r="L93" s="542" t="e">
        <f>'통장내역(환율표)'!#REF!</f>
        <v>#REF!</v>
      </c>
      <c r="M93" s="931" t="e">
        <f t="shared" si="23"/>
        <v>#REF!</v>
      </c>
      <c r="N93" s="928" t="e">
        <f t="shared" si="24"/>
        <v>#REF!</v>
      </c>
      <c r="O93" s="928" t="e">
        <f t="shared" si="25"/>
        <v>#REF!</v>
      </c>
      <c r="P93" s="911" t="s">
        <v>1134</v>
      </c>
      <c r="Q93" s="641"/>
      <c r="R93" s="641"/>
      <c r="S93" s="883" t="e">
        <f t="shared" si="21"/>
        <v>#REF!</v>
      </c>
    </row>
    <row r="94" spans="2:19" ht="11.25" customHeight="1">
      <c r="B94" s="1055">
        <v>45708</v>
      </c>
      <c r="C94" s="965" t="s">
        <v>939</v>
      </c>
      <c r="D94" s="921"/>
      <c r="E94" s="917">
        <v>44</v>
      </c>
      <c r="F94" s="972" t="s">
        <v>107</v>
      </c>
      <c r="G94" s="569"/>
      <c r="H94" s="569"/>
      <c r="I94" s="569"/>
      <c r="J94" s="569"/>
      <c r="K94" s="918">
        <v>5941.29</v>
      </c>
      <c r="L94" s="542" t="e">
        <f>'통장내역(환율표)'!#REF!</f>
        <v>#REF!</v>
      </c>
      <c r="M94" s="931" t="e">
        <f t="shared" si="23"/>
        <v>#REF!</v>
      </c>
      <c r="N94" s="928" t="e">
        <f t="shared" si="24"/>
        <v>#REF!</v>
      </c>
      <c r="O94" s="928" t="e">
        <f t="shared" si="25"/>
        <v>#REF!</v>
      </c>
      <c r="P94" s="911" t="s">
        <v>1134</v>
      </c>
      <c r="Q94" s="641"/>
      <c r="R94" s="641"/>
      <c r="S94" s="883" t="e">
        <f t="shared" si="21"/>
        <v>#REF!</v>
      </c>
    </row>
    <row r="95" spans="2:19" ht="11.25" customHeight="1">
      <c r="B95" s="1055">
        <v>45708</v>
      </c>
      <c r="C95" s="965" t="s">
        <v>892</v>
      </c>
      <c r="D95" s="921"/>
      <c r="E95" s="917">
        <v>44</v>
      </c>
      <c r="F95" s="972" t="s">
        <v>107</v>
      </c>
      <c r="G95" s="569"/>
      <c r="H95" s="918"/>
      <c r="I95" s="542"/>
      <c r="J95" s="944"/>
      <c r="K95" s="918">
        <v>300</v>
      </c>
      <c r="L95" s="542" t="e">
        <f>'통장내역(환율표)'!#REF!</f>
        <v>#REF!</v>
      </c>
      <c r="M95" s="931" t="e">
        <f t="shared" si="23"/>
        <v>#REF!</v>
      </c>
      <c r="N95" s="928" t="e">
        <f t="shared" si="24"/>
        <v>#REF!</v>
      </c>
      <c r="O95" s="928" t="e">
        <f t="shared" si="25"/>
        <v>#REF!</v>
      </c>
      <c r="P95" s="911" t="s">
        <v>1134</v>
      </c>
      <c r="Q95" s="641"/>
      <c r="R95" s="641"/>
      <c r="S95" s="883" t="e">
        <f t="shared" si="21"/>
        <v>#REF!</v>
      </c>
    </row>
    <row r="96" spans="2:19" ht="11.25" customHeight="1">
      <c r="B96" s="1055">
        <v>45708</v>
      </c>
      <c r="C96" s="965" t="s">
        <v>983</v>
      </c>
      <c r="D96" s="921"/>
      <c r="E96" s="917">
        <v>44</v>
      </c>
      <c r="F96" s="972" t="s">
        <v>107</v>
      </c>
      <c r="G96" s="569"/>
      <c r="H96" s="569"/>
      <c r="I96" s="569"/>
      <c r="J96" s="569"/>
      <c r="K96" s="604">
        <v>200</v>
      </c>
      <c r="L96" s="542" t="e">
        <f>'통장내역(환율표)'!#REF!</f>
        <v>#REF!</v>
      </c>
      <c r="M96" s="931" t="e">
        <f t="shared" si="23"/>
        <v>#REF!</v>
      </c>
      <c r="N96" s="928" t="e">
        <f t="shared" si="24"/>
        <v>#REF!</v>
      </c>
      <c r="O96" s="928" t="e">
        <f t="shared" si="25"/>
        <v>#REF!</v>
      </c>
      <c r="P96" s="911" t="s">
        <v>1134</v>
      </c>
      <c r="Q96" s="641"/>
      <c r="R96" s="641"/>
      <c r="S96" s="883" t="e">
        <f t="shared" si="21"/>
        <v>#REF!</v>
      </c>
    </row>
    <row r="97" spans="2:19" ht="11.25" customHeight="1">
      <c r="B97" s="568">
        <v>45708</v>
      </c>
      <c r="C97" s="916" t="s">
        <v>250</v>
      </c>
      <c r="D97" s="921"/>
      <c r="E97" s="917">
        <v>45</v>
      </c>
      <c r="F97" s="972" t="s">
        <v>107</v>
      </c>
      <c r="G97" s="569"/>
      <c r="H97" s="569"/>
      <c r="I97" s="569"/>
      <c r="J97" s="569"/>
      <c r="K97" s="918">
        <v>12</v>
      </c>
      <c r="L97" s="542" t="e">
        <f>'통장내역(환율표)'!#REF!</f>
        <v>#REF!</v>
      </c>
      <c r="M97" s="931" t="e">
        <f t="shared" si="23"/>
        <v>#REF!</v>
      </c>
      <c r="N97" s="928" t="e">
        <f t="shared" si="24"/>
        <v>#REF!</v>
      </c>
      <c r="O97" s="928" t="e">
        <f t="shared" si="25"/>
        <v>#REF!</v>
      </c>
      <c r="P97" s="911" t="s">
        <v>1134</v>
      </c>
      <c r="Q97" s="641"/>
      <c r="R97" s="641"/>
      <c r="S97" s="883" t="e">
        <f t="shared" si="21"/>
        <v>#REF!</v>
      </c>
    </row>
  </sheetData>
  <autoFilter ref="B18:R97" xr:uid="{00000000-0009-0000-0000-000001000000}">
    <filterColumn colId="14" showButton="0"/>
    <sortState xmlns:xlrd2="http://schemas.microsoft.com/office/spreadsheetml/2017/richdata2" ref="B20:R21">
      <sortCondition sortBy="cellColor" ref="M18:M20" dxfId="15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8A56-3943-416C-8AC2-203986058438}">
  <sheetPr>
    <tabColor rgb="FFFFC000"/>
  </sheetPr>
  <dimension ref="A1:AC106"/>
  <sheetViews>
    <sheetView showGridLines="0" zoomScaleNormal="100" workbookViewId="0">
      <pane ySplit="19" topLeftCell="A44" activePane="bottomLeft" state="frozen"/>
      <selection activeCell="G66" sqref="G66"/>
      <selection pane="bottomLeft" activeCell="G66" sqref="G66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520" customWidth="1"/>
    <col min="4" max="4" width="9.69921875" style="461" customWidth="1"/>
    <col min="5" max="5" width="12.09765625" style="461" customWidth="1"/>
    <col min="6" max="6" width="12.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890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1066"/>
      <c r="D1" s="451"/>
      <c r="E1" s="453"/>
      <c r="F1" s="453"/>
      <c r="G1" s="454"/>
      <c r="H1" s="453"/>
      <c r="I1" s="453"/>
      <c r="J1" s="455"/>
      <c r="K1" s="1072"/>
      <c r="L1" s="456"/>
      <c r="M1" s="457"/>
      <c r="N1" s="457"/>
      <c r="O1" s="451"/>
      <c r="P1" s="458"/>
      <c r="Q1" s="458"/>
      <c r="R1" s="459"/>
      <c r="S1" s="460"/>
    </row>
    <row r="2" spans="1:29" ht="15" customHeight="1">
      <c r="B2" s="1053" t="s">
        <v>1429</v>
      </c>
      <c r="D2" s="520"/>
      <c r="F2" s="1004"/>
      <c r="G2" s="489" t="s">
        <v>1047</v>
      </c>
      <c r="H2" s="1005" t="s">
        <v>1398</v>
      </c>
      <c r="I2" s="525"/>
      <c r="J2" s="525"/>
      <c r="K2" s="1073"/>
      <c r="L2" s="525"/>
      <c r="M2" s="525"/>
      <c r="N2" s="767"/>
      <c r="O2" s="1006"/>
      <c r="Q2" s="1007"/>
    </row>
    <row r="3" spans="1:29" s="483" customFormat="1" ht="11.25" customHeight="1">
      <c r="A3" s="475"/>
      <c r="B3" s="476" t="s">
        <v>1421</v>
      </c>
      <c r="C3" s="477"/>
      <c r="D3" s="477"/>
      <c r="E3" s="477"/>
      <c r="F3" s="983">
        <v>1447.4</v>
      </c>
      <c r="G3" s="480"/>
      <c r="H3" s="476" t="s">
        <v>1423</v>
      </c>
      <c r="I3" s="477"/>
      <c r="K3" s="1074"/>
      <c r="L3" s="983">
        <v>1446.3</v>
      </c>
      <c r="N3" s="476"/>
      <c r="O3" s="476"/>
      <c r="P3" s="476"/>
      <c r="Q3" s="476"/>
      <c r="R3" s="476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1067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476"/>
      <c r="O4" s="476"/>
      <c r="P4" s="476"/>
      <c r="Q4" s="476"/>
      <c r="R4" s="476"/>
      <c r="U4" s="461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14845.68</v>
      </c>
      <c r="E5" s="496">
        <v>2035.1825499303366</v>
      </c>
      <c r="F5" s="497">
        <f>ROUND(E5*$F$3,0)</f>
        <v>2945723</v>
      </c>
      <c r="G5" s="498"/>
      <c r="H5" s="499" t="s">
        <v>11</v>
      </c>
      <c r="I5" s="499" t="s">
        <v>12</v>
      </c>
      <c r="J5" s="693"/>
      <c r="K5" s="1075"/>
      <c r="L5" s="651">
        <f>ROUND(K5*$L$3,0)</f>
        <v>0</v>
      </c>
      <c r="M5" s="889">
        <f>L5+F5</f>
        <v>2945723</v>
      </c>
      <c r="N5" s="476"/>
      <c r="O5" s="476"/>
      <c r="P5" s="476"/>
      <c r="Q5" s="476"/>
      <c r="R5" s="476"/>
      <c r="S5" s="1036">
        <f>F5+L5+R5</f>
        <v>2945723</v>
      </c>
      <c r="U5" s="461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18459.27</v>
      </c>
      <c r="E6" s="500">
        <v>2530.5737043496733</v>
      </c>
      <c r="F6" s="497">
        <f t="shared" ref="F6:F12" si="0">ROUND(E6*$F$3,0)</f>
        <v>3662752</v>
      </c>
      <c r="G6" s="502"/>
      <c r="H6" s="499" t="s">
        <v>13</v>
      </c>
      <c r="I6" s="499" t="s">
        <v>14</v>
      </c>
      <c r="J6" s="693">
        <v>18692.93</v>
      </c>
      <c r="K6" s="1075">
        <v>2589.84</v>
      </c>
      <c r="L6" s="651">
        <f t="shared" ref="L6:L12" si="1">ROUND(K6*$L$3,0)</f>
        <v>3745686</v>
      </c>
      <c r="M6" s="889">
        <f t="shared" ref="M6:M13" si="2">L6+F6</f>
        <v>7408438</v>
      </c>
      <c r="N6" s="476"/>
      <c r="O6" s="476"/>
      <c r="P6" s="476"/>
      <c r="Q6" s="476"/>
      <c r="R6" s="476"/>
      <c r="S6" s="1036">
        <f t="shared" ref="S6:S13" si="3">F6+L6+R6</f>
        <v>7408438</v>
      </c>
      <c r="U6" s="461"/>
      <c r="AB6" s="525"/>
      <c r="AC6" s="489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25272</v>
      </c>
      <c r="E7" s="500">
        <v>3464.53</v>
      </c>
      <c r="F7" s="497">
        <f t="shared" si="0"/>
        <v>5014561</v>
      </c>
      <c r="G7" s="503"/>
      <c r="H7" s="499" t="s">
        <v>15</v>
      </c>
      <c r="I7" s="499" t="s">
        <v>1055</v>
      </c>
      <c r="J7" s="694"/>
      <c r="K7" s="1076"/>
      <c r="L7" s="651">
        <f t="shared" si="1"/>
        <v>0</v>
      </c>
      <c r="M7" s="889">
        <f t="shared" si="2"/>
        <v>5014561</v>
      </c>
      <c r="N7" s="476"/>
      <c r="O7" s="476"/>
      <c r="P7" s="476"/>
      <c r="Q7" s="476"/>
      <c r="R7" s="476"/>
      <c r="S7" s="1036">
        <f t="shared" si="3"/>
        <v>5014561</v>
      </c>
      <c r="U7" s="461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17500</v>
      </c>
      <c r="E8" s="500">
        <v>2399.0700000000002</v>
      </c>
      <c r="F8" s="497">
        <f t="shared" si="0"/>
        <v>3472414</v>
      </c>
      <c r="G8" s="503"/>
      <c r="H8" s="499" t="s">
        <v>15</v>
      </c>
      <c r="I8" s="494" t="s">
        <v>17</v>
      </c>
      <c r="J8" s="694"/>
      <c r="K8" s="1076"/>
      <c r="L8" s="651">
        <f t="shared" si="1"/>
        <v>0</v>
      </c>
      <c r="M8" s="889">
        <f t="shared" si="2"/>
        <v>3472414</v>
      </c>
      <c r="N8" s="476"/>
      <c r="O8" s="476"/>
      <c r="P8" s="476"/>
      <c r="Q8" s="476"/>
      <c r="R8" s="476"/>
      <c r="S8" s="1036">
        <f t="shared" si="3"/>
        <v>3472414</v>
      </c>
      <c r="U8" s="461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1453.59</v>
      </c>
      <c r="E9" s="500">
        <v>199.2720530609088</v>
      </c>
      <c r="F9" s="497">
        <f t="shared" si="0"/>
        <v>288426</v>
      </c>
      <c r="G9" s="504"/>
      <c r="H9" s="499" t="s">
        <v>19</v>
      </c>
      <c r="I9" s="494" t="s">
        <v>20</v>
      </c>
      <c r="J9" s="693">
        <v>169</v>
      </c>
      <c r="K9" s="1075">
        <v>23.41</v>
      </c>
      <c r="L9" s="651">
        <f t="shared" si="1"/>
        <v>33858</v>
      </c>
      <c r="M9" s="889">
        <f t="shared" si="2"/>
        <v>322284</v>
      </c>
      <c r="N9" s="476"/>
      <c r="O9" s="476"/>
      <c r="P9" s="476"/>
      <c r="Q9" s="476"/>
      <c r="R9" s="476"/>
      <c r="S9" s="1036">
        <f t="shared" si="3"/>
        <v>322284</v>
      </c>
      <c r="U9" s="461"/>
    </row>
    <row r="10" spans="1:29" ht="11.25" customHeight="1">
      <c r="A10" s="492">
        <v>51321010</v>
      </c>
      <c r="B10" s="493" t="s">
        <v>21</v>
      </c>
      <c r="C10" s="494"/>
      <c r="D10" s="500">
        <v>23429.318660172234</v>
      </c>
      <c r="E10" s="500">
        <v>3211.9156235463793</v>
      </c>
      <c r="F10" s="497">
        <f t="shared" si="0"/>
        <v>4648927</v>
      </c>
      <c r="G10" s="505"/>
      <c r="H10" s="499" t="s">
        <v>21</v>
      </c>
      <c r="I10" s="499"/>
      <c r="J10" s="693">
        <v>274853.00133982772</v>
      </c>
      <c r="K10" s="1075">
        <v>38130.879999999997</v>
      </c>
      <c r="L10" s="651">
        <f t="shared" si="1"/>
        <v>55148692</v>
      </c>
      <c r="M10" s="889">
        <f t="shared" si="2"/>
        <v>59797619</v>
      </c>
      <c r="N10" s="476"/>
      <c r="O10" s="476"/>
      <c r="P10" s="476"/>
      <c r="Q10" s="476"/>
      <c r="R10" s="476"/>
      <c r="S10" s="1036">
        <f t="shared" si="3"/>
        <v>59797619</v>
      </c>
      <c r="U10" s="461"/>
      <c r="AB10" s="525"/>
      <c r="AC10" s="489"/>
    </row>
    <row r="11" spans="1:29" ht="11.25" customHeight="1">
      <c r="A11" s="492">
        <v>51031020</v>
      </c>
      <c r="B11" s="507" t="s">
        <v>1057</v>
      </c>
      <c r="C11" s="1068" t="s">
        <v>1058</v>
      </c>
      <c r="D11" s="507"/>
      <c r="E11" s="507"/>
      <c r="F11" s="509"/>
      <c r="G11" s="510">
        <f>G13/G12</f>
        <v>1447.3999546109283</v>
      </c>
      <c r="H11" s="507" t="s">
        <v>1057</v>
      </c>
      <c r="I11" s="507" t="s">
        <v>1279</v>
      </c>
      <c r="J11" s="511"/>
      <c r="K11" s="1077"/>
      <c r="L11" s="854">
        <f t="shared" si="1"/>
        <v>0</v>
      </c>
      <c r="M11" s="889">
        <f t="shared" si="2"/>
        <v>0</v>
      </c>
      <c r="N11" s="476"/>
      <c r="O11" s="476"/>
      <c r="P11" s="476"/>
      <c r="Q11" s="476"/>
      <c r="R11" s="476"/>
      <c r="S11" s="1036">
        <f t="shared" si="3"/>
        <v>0</v>
      </c>
      <c r="U11" s="461"/>
      <c r="AB11" s="525"/>
      <c r="AC11" s="489"/>
    </row>
    <row r="12" spans="1:29" ht="11.25" customHeight="1">
      <c r="A12" s="492">
        <v>52981010</v>
      </c>
      <c r="B12" s="499" t="s">
        <v>1059</v>
      </c>
      <c r="C12" s="494" t="s">
        <v>1060</v>
      </c>
      <c r="D12" s="926">
        <v>103.37</v>
      </c>
      <c r="E12" s="500">
        <v>14.17</v>
      </c>
      <c r="F12" s="497">
        <f t="shared" si="0"/>
        <v>20510</v>
      </c>
      <c r="G12" s="512">
        <f>E13+Q13+AB13</f>
        <v>13826.373930887299</v>
      </c>
      <c r="H12" s="499" t="s">
        <v>1059</v>
      </c>
      <c r="I12" s="499" t="s">
        <v>1060</v>
      </c>
      <c r="J12" s="495"/>
      <c r="K12" s="1078"/>
      <c r="L12" s="651">
        <f t="shared" si="1"/>
        <v>0</v>
      </c>
      <c r="M12" s="889">
        <f t="shared" si="2"/>
        <v>20510</v>
      </c>
      <c r="N12" s="476"/>
      <c r="O12" s="476"/>
      <c r="P12" s="476"/>
      <c r="Q12" s="476"/>
      <c r="R12" s="476"/>
      <c r="S12" s="1036">
        <f t="shared" si="3"/>
        <v>20510</v>
      </c>
      <c r="U12" s="461"/>
      <c r="AB12" s="525"/>
      <c r="AC12" s="489"/>
    </row>
    <row r="13" spans="1:29" s="489" customFormat="1" ht="11.25" customHeight="1">
      <c r="A13" s="867"/>
      <c r="B13" s="868" t="s">
        <v>22</v>
      </c>
      <c r="C13" s="1069"/>
      <c r="D13" s="515">
        <f>SUM(D5:D11)-D12</f>
        <v>100856.48866017224</v>
      </c>
      <c r="E13" s="1089">
        <f>SUM(E5:E11)-E12</f>
        <v>13826.373930887299</v>
      </c>
      <c r="F13" s="870">
        <f>SUM(F5:F11)-F12</f>
        <v>20012293</v>
      </c>
      <c r="G13" s="518">
        <f>F13+R13+AC13</f>
        <v>20012293</v>
      </c>
      <c r="H13" s="868" t="s">
        <v>22</v>
      </c>
      <c r="I13" s="869"/>
      <c r="J13" s="515">
        <f>SUM(J5:J11)-J12</f>
        <v>293714.93133982772</v>
      </c>
      <c r="K13" s="490">
        <f>SUM(K5:K11)-K12</f>
        <v>40744.129999999997</v>
      </c>
      <c r="L13" s="870">
        <f>SUM(L5:L11)-L12</f>
        <v>58928236</v>
      </c>
      <c r="M13" s="889">
        <f t="shared" si="2"/>
        <v>78940529</v>
      </c>
      <c r="N13" s="476"/>
      <c r="O13" s="476"/>
      <c r="P13" s="476"/>
      <c r="Q13" s="476"/>
      <c r="R13" s="476"/>
      <c r="S13" s="1036">
        <f t="shared" si="3"/>
        <v>78940529</v>
      </c>
      <c r="U13" s="850"/>
      <c r="X13" s="844">
        <f>F13+R13</f>
        <v>20012293</v>
      </c>
      <c r="Y13" s="876"/>
      <c r="Z13" s="890"/>
      <c r="AB13" s="526"/>
    </row>
    <row r="14" spans="1:29" ht="14.25" customHeight="1">
      <c r="A14" s="449"/>
      <c r="D14" s="1088"/>
      <c r="E14" s="1088"/>
      <c r="F14" s="1090"/>
      <c r="G14" s="524"/>
      <c r="J14" s="929">
        <f>J13+D13+P13</f>
        <v>394571.41999999993</v>
      </c>
      <c r="K14" s="1079">
        <f>K13+E13+Q13</f>
        <v>54570.503930887295</v>
      </c>
      <c r="L14" s="904">
        <f>L13+F13+R13</f>
        <v>78940529</v>
      </c>
      <c r="M14" s="865" t="e">
        <f>M16-E12</f>
        <v>#REF!</v>
      </c>
      <c r="N14" s="476"/>
      <c r="O14" s="476"/>
      <c r="P14" s="476"/>
      <c r="Q14" s="476"/>
      <c r="R14" s="476"/>
      <c r="X14" s="525"/>
      <c r="Y14" s="525"/>
      <c r="AB14" s="525"/>
      <c r="AC14" s="489"/>
    </row>
    <row r="15" spans="1:29" ht="14.25" customHeight="1">
      <c r="A15" s="449"/>
      <c r="D15" s="1088"/>
      <c r="E15" s="1088"/>
      <c r="F15" s="1088"/>
      <c r="G15" s="524"/>
      <c r="J15" s="865">
        <f t="shared" ref="J15:L15" si="4">J16-G96</f>
        <v>0</v>
      </c>
      <c r="K15" s="865" t="e">
        <f t="shared" si="4"/>
        <v>#REF!</v>
      </c>
      <c r="L15" s="865">
        <f t="shared" si="4"/>
        <v>0</v>
      </c>
      <c r="M15" s="865" t="e">
        <f>M16-J96</f>
        <v>#REF!</v>
      </c>
      <c r="O15" s="525"/>
      <c r="P15" s="844"/>
      <c r="Q15" s="844"/>
      <c r="R15" s="845"/>
      <c r="X15" s="525"/>
      <c r="Y15" s="525"/>
      <c r="AB15" s="525"/>
      <c r="AC15" s="489"/>
    </row>
    <row r="16" spans="1:29" ht="18.75" customHeight="1">
      <c r="A16" s="449"/>
      <c r="D16" s="520"/>
      <c r="E16" s="523"/>
      <c r="F16" s="523"/>
      <c r="G16" s="524"/>
      <c r="I16" s="525"/>
      <c r="J16" s="526"/>
      <c r="K16" s="1080" t="e">
        <f>SUBTOTAL(9,K19:K105)</f>
        <v>#REF!</v>
      </c>
      <c r="L16" s="1009"/>
      <c r="M16" s="1080" t="e">
        <f>SUBTOTAL(9,M19:M105)</f>
        <v>#REF!</v>
      </c>
      <c r="N16" s="525"/>
      <c r="Q16" s="525"/>
    </row>
    <row r="17" spans="1:29" ht="11.25" customHeight="1">
      <c r="A17" s="449"/>
      <c r="B17" s="1038" t="s">
        <v>24</v>
      </c>
      <c r="C17" s="1070" t="s">
        <v>25</v>
      </c>
      <c r="D17" s="1039" t="s">
        <v>1061</v>
      </c>
      <c r="E17" s="1040" t="s">
        <v>26</v>
      </c>
      <c r="F17" s="1039" t="s">
        <v>1</v>
      </c>
      <c r="G17" s="1041" t="s">
        <v>2</v>
      </c>
      <c r="H17" s="2083" t="s">
        <v>29</v>
      </c>
      <c r="I17" s="2083"/>
      <c r="J17" s="2083"/>
      <c r="K17" s="2083" t="s">
        <v>30</v>
      </c>
      <c r="L17" s="2083"/>
      <c r="M17" s="2084"/>
      <c r="N17" s="2085" t="s">
        <v>31</v>
      </c>
      <c r="O17" s="2085"/>
      <c r="P17" s="2086"/>
      <c r="Q17" s="2086"/>
      <c r="R17" s="1041" t="s">
        <v>1062</v>
      </c>
    </row>
    <row r="18" spans="1:29" ht="11.25" customHeight="1">
      <c r="A18" s="449"/>
      <c r="B18" s="1042" t="s">
        <v>1063</v>
      </c>
      <c r="C18" s="1071" t="s">
        <v>1064</v>
      </c>
      <c r="D18" s="1043" t="s">
        <v>1065</v>
      </c>
      <c r="E18" s="1044" t="s">
        <v>1066</v>
      </c>
      <c r="F18" s="1043" t="s">
        <v>1067</v>
      </c>
      <c r="G18" s="1045" t="s">
        <v>1068</v>
      </c>
      <c r="H18" s="1046" t="s">
        <v>1069</v>
      </c>
      <c r="I18" s="1046" t="s">
        <v>1070</v>
      </c>
      <c r="J18" s="1047" t="s">
        <v>34</v>
      </c>
      <c r="K18" s="1047" t="s">
        <v>1069</v>
      </c>
      <c r="L18" s="1046" t="s">
        <v>1070</v>
      </c>
      <c r="M18" s="1085" t="s">
        <v>34</v>
      </c>
      <c r="N18" s="1048" t="s">
        <v>1069</v>
      </c>
      <c r="O18" s="1048" t="s">
        <v>34</v>
      </c>
      <c r="P18" s="2087" t="s">
        <v>32</v>
      </c>
      <c r="Q18" s="2087"/>
      <c r="R18" s="1045" t="s">
        <v>1062</v>
      </c>
    </row>
    <row r="19" spans="1:29" ht="11.25" customHeight="1">
      <c r="B19" s="657">
        <v>45716</v>
      </c>
      <c r="C19" s="660"/>
      <c r="D19" s="658"/>
      <c r="E19" s="660"/>
      <c r="F19" s="863"/>
      <c r="G19" s="661"/>
      <c r="H19" s="662"/>
      <c r="I19" s="658"/>
      <c r="J19" s="661"/>
      <c r="K19" s="1081"/>
      <c r="L19" s="663"/>
      <c r="M19" s="906"/>
      <c r="N19" s="907">
        <v>100829.88000000046</v>
      </c>
      <c r="O19" s="907">
        <v>13826.369866313804</v>
      </c>
      <c r="P19" s="908"/>
      <c r="Q19" s="660"/>
      <c r="R19" s="665"/>
      <c r="S19" s="846">
        <v>13826.368804060809</v>
      </c>
    </row>
    <row r="20" spans="1:29" s="574" customFormat="1" ht="12" customHeight="1">
      <c r="A20" s="544"/>
      <c r="B20" s="1055">
        <v>45727</v>
      </c>
      <c r="C20" s="964" t="s">
        <v>823</v>
      </c>
      <c r="D20" s="922"/>
      <c r="E20" s="917">
        <v>1</v>
      </c>
      <c r="F20" s="1052"/>
      <c r="G20" s="569"/>
      <c r="H20" s="967">
        <v>346107.95</v>
      </c>
      <c r="I20" s="968"/>
      <c r="J20" s="967">
        <v>48003</v>
      </c>
      <c r="K20" s="918"/>
      <c r="L20" s="542"/>
      <c r="M20" s="1087"/>
      <c r="N20" s="928">
        <f t="shared" ref="N20:N51" si="5">N19+H20-K20</f>
        <v>446937.83000000048</v>
      </c>
      <c r="O20" s="928">
        <f t="shared" ref="O20:O51" si="6">O19+J20-M20</f>
        <v>61829.369866313806</v>
      </c>
      <c r="P20" s="911" t="s">
        <v>1134</v>
      </c>
      <c r="Q20" s="641"/>
      <c r="R20" s="641"/>
      <c r="S20" s="883"/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customHeight="1">
      <c r="A21" s="544"/>
      <c r="B21" s="1055">
        <v>45727</v>
      </c>
      <c r="C21" s="916" t="s">
        <v>250</v>
      </c>
      <c r="D21" s="922"/>
      <c r="E21" s="917"/>
      <c r="F21" s="1052" t="s">
        <v>107</v>
      </c>
      <c r="G21" s="569"/>
      <c r="H21" s="986"/>
      <c r="I21" s="968"/>
      <c r="J21" s="986"/>
      <c r="K21" s="918"/>
      <c r="L21" s="542"/>
      <c r="M21" s="624">
        <v>51</v>
      </c>
      <c r="N21" s="928">
        <f t="shared" si="5"/>
        <v>446937.83000000048</v>
      </c>
      <c r="O21" s="928">
        <f t="shared" si="6"/>
        <v>61778.369866313806</v>
      </c>
      <c r="P21" s="911" t="s">
        <v>1134</v>
      </c>
      <c r="Q21" s="641"/>
      <c r="R21" s="641"/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customHeight="1">
      <c r="A22" s="544"/>
      <c r="B22" s="1055">
        <v>45733</v>
      </c>
      <c r="C22" s="964" t="s">
        <v>1352</v>
      </c>
      <c r="D22" s="922"/>
      <c r="E22" s="917">
        <v>2</v>
      </c>
      <c r="F22" s="1052" t="s">
        <v>105</v>
      </c>
      <c r="G22" s="569" t="s">
        <v>76</v>
      </c>
      <c r="H22" s="986"/>
      <c r="I22" s="968"/>
      <c r="J22" s="986"/>
      <c r="K22" s="1083">
        <v>25272</v>
      </c>
      <c r="L22" s="542" t="e">
        <f>'통장내역(환율표)'!#REF!</f>
        <v>#REF!</v>
      </c>
      <c r="M22" s="1091" t="e">
        <f t="shared" ref="M22:M35" si="7">K22/L22</f>
        <v>#REF!</v>
      </c>
      <c r="N22" s="928">
        <f t="shared" si="5"/>
        <v>421665.83000000048</v>
      </c>
      <c r="O22" s="928" t="e">
        <f t="shared" si="6"/>
        <v>#REF!</v>
      </c>
      <c r="P22" s="911" t="s">
        <v>1134</v>
      </c>
      <c r="Q22" s="641"/>
      <c r="R22" s="641"/>
      <c r="S22" s="883" t="e">
        <f>S19-M22+J22</f>
        <v>#REF!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customHeight="1">
      <c r="A23" s="544"/>
      <c r="B23" s="1055">
        <v>45733</v>
      </c>
      <c r="C23" s="916" t="s">
        <v>250</v>
      </c>
      <c r="D23" s="922"/>
      <c r="E23" s="917">
        <v>3</v>
      </c>
      <c r="F23" s="1052" t="s">
        <v>107</v>
      </c>
      <c r="G23" s="569"/>
      <c r="H23" s="986"/>
      <c r="I23" s="968"/>
      <c r="J23" s="986"/>
      <c r="K23" s="918">
        <v>7.2</v>
      </c>
      <c r="L23" s="542" t="e">
        <f>'통장내역(환율표)'!#REF!</f>
        <v>#REF!</v>
      </c>
      <c r="M23" s="1092" t="e">
        <f t="shared" si="7"/>
        <v>#REF!</v>
      </c>
      <c r="N23" s="928">
        <f t="shared" si="5"/>
        <v>421658.63000000047</v>
      </c>
      <c r="O23" s="928" t="e">
        <f t="shared" si="6"/>
        <v>#REF!</v>
      </c>
      <c r="P23" s="911" t="s">
        <v>1134</v>
      </c>
      <c r="Q23" s="641"/>
      <c r="R23" s="641"/>
      <c r="S23" s="883" t="e">
        <f>S22-M23+J23</f>
        <v>#REF!</v>
      </c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customHeight="1">
      <c r="A24" s="544"/>
      <c r="B24" s="1055">
        <v>45733</v>
      </c>
      <c r="C24" s="964" t="s">
        <v>1276</v>
      </c>
      <c r="D24" s="922"/>
      <c r="E24" s="917">
        <v>4</v>
      </c>
      <c r="F24" s="1052" t="s">
        <v>146</v>
      </c>
      <c r="G24" s="569" t="s">
        <v>147</v>
      </c>
      <c r="H24" s="986"/>
      <c r="I24" s="968"/>
      <c r="J24" s="986"/>
      <c r="K24" s="1083">
        <v>1600</v>
      </c>
      <c r="L24" s="542" t="e">
        <f>'통장내역(환율표)'!#REF!</f>
        <v>#REF!</v>
      </c>
      <c r="M24" s="1092" t="e">
        <f t="shared" si="7"/>
        <v>#REF!</v>
      </c>
      <c r="N24" s="928">
        <f t="shared" si="5"/>
        <v>420058.63000000047</v>
      </c>
      <c r="O24" s="928" t="e">
        <f t="shared" si="6"/>
        <v>#REF!</v>
      </c>
      <c r="P24" s="911" t="s">
        <v>1134</v>
      </c>
      <c r="Q24" s="641"/>
      <c r="R24" s="641"/>
      <c r="S24" s="883" t="e">
        <f t="shared" ref="S24:S59" si="8">S23-M24+J24</f>
        <v>#REF!</v>
      </c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2" customHeight="1">
      <c r="A25" s="544"/>
      <c r="B25" s="1055">
        <v>45733</v>
      </c>
      <c r="C25" s="916" t="s">
        <v>250</v>
      </c>
      <c r="D25" s="922"/>
      <c r="E25" s="917">
        <v>5</v>
      </c>
      <c r="F25" s="1052" t="s">
        <v>107</v>
      </c>
      <c r="G25" s="569"/>
      <c r="H25" s="986"/>
      <c r="I25" s="968"/>
      <c r="J25" s="986"/>
      <c r="K25" s="918">
        <v>3.6</v>
      </c>
      <c r="L25" s="542" t="e">
        <f>'통장내역(환율표)'!#REF!</f>
        <v>#REF!</v>
      </c>
      <c r="M25" s="1092" t="e">
        <f t="shared" si="7"/>
        <v>#REF!</v>
      </c>
      <c r="N25" s="928">
        <f t="shared" si="5"/>
        <v>420055.03000000049</v>
      </c>
      <c r="O25" s="928" t="e">
        <f t="shared" si="6"/>
        <v>#REF!</v>
      </c>
      <c r="P25" s="911" t="s">
        <v>1134</v>
      </c>
      <c r="Q25" s="641"/>
      <c r="R25" s="641"/>
      <c r="S25" s="883" t="e">
        <f t="shared" si="8"/>
        <v>#REF!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489" customFormat="1" ht="11.25" customHeight="1">
      <c r="A26" s="544"/>
      <c r="B26" s="1055">
        <v>45737</v>
      </c>
      <c r="C26" s="964" t="s">
        <v>55</v>
      </c>
      <c r="D26" s="922"/>
      <c r="E26" s="917">
        <v>6</v>
      </c>
      <c r="F26" s="1052" t="s">
        <v>60</v>
      </c>
      <c r="G26" s="569"/>
      <c r="H26" s="1084">
        <v>103.37</v>
      </c>
      <c r="I26" s="706" t="e">
        <f>'통장내역(환율표)'!#REF!</f>
        <v>#REF!</v>
      </c>
      <c r="J26" s="1082">
        <v>14.17</v>
      </c>
      <c r="K26" s="918"/>
      <c r="L26" s="542" t="e">
        <f>'통장내역(환율표)'!#REF!</f>
        <v>#REF!</v>
      </c>
      <c r="M26" s="1092" t="e">
        <f t="shared" si="7"/>
        <v>#REF!</v>
      </c>
      <c r="N26" s="928">
        <f t="shared" si="5"/>
        <v>420158.40000000049</v>
      </c>
      <c r="O26" s="928" t="e">
        <f t="shared" si="6"/>
        <v>#REF!</v>
      </c>
      <c r="P26" s="911" t="s">
        <v>1134</v>
      </c>
      <c r="Q26" s="641"/>
      <c r="R26" s="641"/>
      <c r="S26" s="883" t="e">
        <f t="shared" si="8"/>
        <v>#REF!</v>
      </c>
      <c r="T26" s="461"/>
      <c r="U26" s="574"/>
      <c r="V26" s="461"/>
      <c r="W26" s="461"/>
      <c r="X26" s="461"/>
      <c r="Y26" s="461"/>
      <c r="Z26" s="461"/>
      <c r="AA26" s="461"/>
      <c r="AB26" s="461"/>
      <c r="AC26" s="461"/>
    </row>
    <row r="27" spans="1:29" s="489" customFormat="1" ht="11.25" customHeight="1">
      <c r="A27" s="544"/>
      <c r="B27" s="1055">
        <v>45737</v>
      </c>
      <c r="C27" s="964" t="s">
        <v>242</v>
      </c>
      <c r="D27" s="922"/>
      <c r="E27" s="917">
        <v>7</v>
      </c>
      <c r="F27" s="1052" t="s">
        <v>107</v>
      </c>
      <c r="G27" s="569"/>
      <c r="H27" s="986"/>
      <c r="I27" s="968"/>
      <c r="J27" s="986"/>
      <c r="K27" s="1083">
        <v>1010</v>
      </c>
      <c r="L27" s="542" t="e">
        <f>'통장내역(환율표)'!#REF!</f>
        <v>#REF!</v>
      </c>
      <c r="M27" s="1092" t="e">
        <f t="shared" si="7"/>
        <v>#REF!</v>
      </c>
      <c r="N27" s="928">
        <f t="shared" si="5"/>
        <v>419148.40000000049</v>
      </c>
      <c r="O27" s="928" t="e">
        <f t="shared" si="6"/>
        <v>#REF!</v>
      </c>
      <c r="P27" s="911" t="s">
        <v>1134</v>
      </c>
      <c r="Q27" s="641"/>
      <c r="R27" s="641"/>
      <c r="S27" s="883" t="e">
        <f t="shared" si="8"/>
        <v>#REF!</v>
      </c>
      <c r="T27" s="461"/>
      <c r="U27" s="574"/>
      <c r="V27" s="461"/>
      <c r="W27" s="461"/>
      <c r="X27" s="461"/>
      <c r="Y27" s="461"/>
      <c r="Z27" s="461"/>
      <c r="AA27" s="461"/>
      <c r="AB27" s="461"/>
      <c r="AC27" s="461"/>
    </row>
    <row r="28" spans="1:29" s="489" customFormat="1" ht="11.25" customHeight="1">
      <c r="A28" s="544"/>
      <c r="B28" s="1055">
        <v>45737</v>
      </c>
      <c r="C28" s="916" t="s">
        <v>250</v>
      </c>
      <c r="D28" s="922"/>
      <c r="E28" s="917">
        <v>8</v>
      </c>
      <c r="F28" s="1052" t="s">
        <v>107</v>
      </c>
      <c r="G28" s="569"/>
      <c r="H28" s="986"/>
      <c r="I28" s="968"/>
      <c r="J28" s="986"/>
      <c r="K28" s="1083">
        <v>3.6</v>
      </c>
      <c r="L28" s="542" t="e">
        <f>'통장내역(환율표)'!#REF!</f>
        <v>#REF!</v>
      </c>
      <c r="M28" s="1092" t="e">
        <f t="shared" si="7"/>
        <v>#REF!</v>
      </c>
      <c r="N28" s="928">
        <f t="shared" si="5"/>
        <v>419144.80000000051</v>
      </c>
      <c r="O28" s="928" t="e">
        <f t="shared" si="6"/>
        <v>#REF!</v>
      </c>
      <c r="P28" s="911" t="s">
        <v>1134</v>
      </c>
      <c r="Q28" s="641"/>
      <c r="R28" s="641"/>
      <c r="S28" s="883" t="e">
        <f t="shared" si="8"/>
        <v>#REF!</v>
      </c>
      <c r="T28" s="461"/>
      <c r="U28" s="574"/>
      <c r="V28" s="461"/>
      <c r="W28" s="461"/>
      <c r="X28" s="461"/>
      <c r="Y28" s="461"/>
      <c r="Z28" s="461"/>
      <c r="AA28" s="461"/>
      <c r="AB28" s="461"/>
      <c r="AC28" s="461"/>
    </row>
    <row r="29" spans="1:29" s="489" customFormat="1" ht="11.25" customHeight="1">
      <c r="A29" s="544"/>
      <c r="B29" s="1055">
        <v>45737</v>
      </c>
      <c r="C29" s="916" t="s">
        <v>305</v>
      </c>
      <c r="D29" s="922"/>
      <c r="E29" s="922">
        <v>9</v>
      </c>
      <c r="F29" s="1052" t="s">
        <v>105</v>
      </c>
      <c r="G29" s="569" t="s">
        <v>227</v>
      </c>
      <c r="H29" s="923"/>
      <c r="I29" s="988"/>
      <c r="J29" s="988"/>
      <c r="K29" s="918">
        <v>10500</v>
      </c>
      <c r="L29" s="542" t="e">
        <f>'통장내역(환율표)'!#REF!</f>
        <v>#REF!</v>
      </c>
      <c r="M29" s="1092" t="e">
        <f t="shared" si="7"/>
        <v>#REF!</v>
      </c>
      <c r="N29" s="928">
        <f t="shared" si="5"/>
        <v>408644.80000000051</v>
      </c>
      <c r="O29" s="928" t="e">
        <f t="shared" si="6"/>
        <v>#REF!</v>
      </c>
      <c r="P29" s="911" t="s">
        <v>1134</v>
      </c>
      <c r="Q29" s="641"/>
      <c r="R29" s="641"/>
      <c r="S29" s="883" t="e">
        <f t="shared" si="8"/>
        <v>#REF!</v>
      </c>
      <c r="T29" s="461"/>
      <c r="U29" s="574"/>
      <c r="V29" s="461"/>
      <c r="W29" s="461"/>
      <c r="X29" s="461"/>
      <c r="Y29" s="461"/>
      <c r="Z29" s="461"/>
      <c r="AA29" s="461"/>
      <c r="AB29" s="461"/>
      <c r="AC29" s="461"/>
    </row>
    <row r="30" spans="1:29" s="489" customFormat="1" ht="11.25" customHeight="1">
      <c r="A30" s="544"/>
      <c r="B30" s="1055">
        <v>45737</v>
      </c>
      <c r="C30" s="916" t="s">
        <v>1107</v>
      </c>
      <c r="D30" s="922"/>
      <c r="E30" s="922">
        <v>9</v>
      </c>
      <c r="F30" s="1052" t="s">
        <v>107</v>
      </c>
      <c r="G30" s="569"/>
      <c r="H30" s="923"/>
      <c r="I30" s="988"/>
      <c r="J30" s="988"/>
      <c r="K30" s="918">
        <v>6000</v>
      </c>
      <c r="L30" s="542" t="e">
        <f>'통장내역(환율표)'!#REF!</f>
        <v>#REF!</v>
      </c>
      <c r="M30" s="1092" t="e">
        <f t="shared" si="7"/>
        <v>#REF!</v>
      </c>
      <c r="N30" s="928">
        <f t="shared" si="5"/>
        <v>402644.80000000051</v>
      </c>
      <c r="O30" s="928" t="e">
        <f t="shared" si="6"/>
        <v>#REF!</v>
      </c>
      <c r="P30" s="911" t="s">
        <v>1134</v>
      </c>
      <c r="Q30" s="641"/>
      <c r="R30" s="641"/>
      <c r="S30" s="883" t="e">
        <f t="shared" si="8"/>
        <v>#REF!</v>
      </c>
      <c r="T30" s="461"/>
      <c r="U30" s="574"/>
      <c r="V30" s="461"/>
      <c r="W30" s="461"/>
      <c r="X30" s="461"/>
      <c r="Y30" s="461"/>
      <c r="Z30" s="461"/>
      <c r="AA30" s="461"/>
      <c r="AB30" s="461"/>
      <c r="AC30" s="461"/>
    </row>
    <row r="31" spans="1:29" s="489" customFormat="1" ht="11.25" customHeight="1">
      <c r="A31" s="544"/>
      <c r="B31" s="1055">
        <v>45737</v>
      </c>
      <c r="C31" s="916" t="s">
        <v>1108</v>
      </c>
      <c r="D31" s="922"/>
      <c r="E31" s="922">
        <v>9</v>
      </c>
      <c r="F31" s="1052" t="s">
        <v>107</v>
      </c>
      <c r="G31" s="569"/>
      <c r="H31" s="923"/>
      <c r="I31" s="988"/>
      <c r="J31" s="988"/>
      <c r="K31" s="918">
        <v>760</v>
      </c>
      <c r="L31" s="542" t="e">
        <f>'통장내역(환율표)'!#REF!</f>
        <v>#REF!</v>
      </c>
      <c r="M31" s="1092" t="e">
        <f t="shared" si="7"/>
        <v>#REF!</v>
      </c>
      <c r="N31" s="928">
        <f t="shared" si="5"/>
        <v>401884.80000000051</v>
      </c>
      <c r="O31" s="928" t="e">
        <f t="shared" si="6"/>
        <v>#REF!</v>
      </c>
      <c r="P31" s="911" t="s">
        <v>1134</v>
      </c>
      <c r="Q31" s="641"/>
      <c r="R31" s="641"/>
      <c r="S31" s="883" t="e">
        <f t="shared" si="8"/>
        <v>#REF!</v>
      </c>
      <c r="T31" s="461"/>
      <c r="U31" s="574"/>
      <c r="V31" s="461"/>
      <c r="W31" s="461"/>
      <c r="X31" s="461"/>
      <c r="Y31" s="461"/>
      <c r="Z31" s="461"/>
      <c r="AA31" s="461"/>
      <c r="AB31" s="461"/>
      <c r="AC31" s="461"/>
    </row>
    <row r="32" spans="1:29" s="489" customFormat="1" ht="11.25" customHeight="1">
      <c r="A32" s="544"/>
      <c r="B32" s="1055">
        <v>45737</v>
      </c>
      <c r="C32" s="916" t="s">
        <v>305</v>
      </c>
      <c r="D32" s="922"/>
      <c r="E32" s="922">
        <v>9</v>
      </c>
      <c r="F32" s="1052" t="s">
        <v>105</v>
      </c>
      <c r="G32" s="569" t="s">
        <v>227</v>
      </c>
      <c r="H32" s="923"/>
      <c r="I32" s="988"/>
      <c r="J32" s="988"/>
      <c r="K32" s="918">
        <v>7000</v>
      </c>
      <c r="L32" s="542" t="e">
        <f>'통장내역(환율표)'!#REF!</f>
        <v>#REF!</v>
      </c>
      <c r="M32" s="1092" t="e">
        <f t="shared" si="7"/>
        <v>#REF!</v>
      </c>
      <c r="N32" s="928">
        <f t="shared" si="5"/>
        <v>394884.80000000051</v>
      </c>
      <c r="O32" s="928" t="e">
        <f t="shared" si="6"/>
        <v>#REF!</v>
      </c>
      <c r="P32" s="911" t="s">
        <v>1134</v>
      </c>
      <c r="Q32" s="641"/>
      <c r="R32" s="641"/>
      <c r="S32" s="883" t="e">
        <f t="shared" si="8"/>
        <v>#REF!</v>
      </c>
      <c r="T32" s="461"/>
      <c r="U32" s="574"/>
      <c r="V32" s="461"/>
      <c r="W32" s="461"/>
      <c r="X32" s="461"/>
      <c r="Y32" s="461"/>
      <c r="Z32" s="461"/>
      <c r="AA32" s="461"/>
      <c r="AB32" s="461"/>
      <c r="AC32" s="461"/>
    </row>
    <row r="33" spans="1:29" s="489" customFormat="1" ht="11.25" customHeight="1">
      <c r="A33" s="544"/>
      <c r="B33" s="1055">
        <v>45737</v>
      </c>
      <c r="C33" s="916" t="s">
        <v>1107</v>
      </c>
      <c r="D33" s="922"/>
      <c r="E33" s="922">
        <v>9</v>
      </c>
      <c r="F33" s="1052" t="s">
        <v>107</v>
      </c>
      <c r="G33" s="569"/>
      <c r="H33" s="923"/>
      <c r="I33" s="988"/>
      <c r="J33" s="988"/>
      <c r="K33" s="918">
        <v>6000</v>
      </c>
      <c r="L33" s="542" t="e">
        <f>'통장내역(환율표)'!#REF!</f>
        <v>#REF!</v>
      </c>
      <c r="M33" s="1092" t="e">
        <f t="shared" si="7"/>
        <v>#REF!</v>
      </c>
      <c r="N33" s="928">
        <f t="shared" si="5"/>
        <v>388884.80000000051</v>
      </c>
      <c r="O33" s="928" t="e">
        <f t="shared" si="6"/>
        <v>#REF!</v>
      </c>
      <c r="P33" s="911" t="s">
        <v>1134</v>
      </c>
      <c r="Q33" s="641"/>
      <c r="R33" s="641"/>
      <c r="S33" s="883" t="e">
        <f t="shared" si="8"/>
        <v>#REF!</v>
      </c>
      <c r="T33" s="461"/>
      <c r="U33" s="574"/>
      <c r="V33" s="461"/>
      <c r="W33" s="461"/>
      <c r="X33" s="461"/>
      <c r="Y33" s="461"/>
      <c r="Z33" s="461"/>
      <c r="AA33" s="461"/>
      <c r="AB33" s="461"/>
      <c r="AC33" s="461"/>
    </row>
    <row r="34" spans="1:29" s="489" customFormat="1" ht="11.25" customHeight="1">
      <c r="A34" s="544"/>
      <c r="B34" s="1055">
        <v>45737</v>
      </c>
      <c r="C34" s="916" t="s">
        <v>1108</v>
      </c>
      <c r="D34" s="922"/>
      <c r="E34" s="922">
        <v>9</v>
      </c>
      <c r="F34" s="1052" t="s">
        <v>107</v>
      </c>
      <c r="G34" s="569"/>
      <c r="H34" s="923"/>
      <c r="I34" s="988"/>
      <c r="J34" s="988"/>
      <c r="K34" s="918">
        <v>900</v>
      </c>
      <c r="L34" s="542" t="e">
        <f>'통장내역(환율표)'!#REF!</f>
        <v>#REF!</v>
      </c>
      <c r="M34" s="1092" t="e">
        <f t="shared" si="7"/>
        <v>#REF!</v>
      </c>
      <c r="N34" s="928">
        <f t="shared" si="5"/>
        <v>387984.80000000051</v>
      </c>
      <c r="O34" s="928" t="e">
        <f t="shared" si="6"/>
        <v>#REF!</v>
      </c>
      <c r="P34" s="911" t="s">
        <v>1134</v>
      </c>
      <c r="Q34" s="641"/>
      <c r="R34" s="641"/>
      <c r="S34" s="883" t="e">
        <f t="shared" si="8"/>
        <v>#REF!</v>
      </c>
      <c r="T34" s="461"/>
      <c r="U34" s="574"/>
      <c r="V34" s="461"/>
      <c r="W34" s="461"/>
      <c r="X34" s="461"/>
      <c r="Y34" s="461"/>
      <c r="Z34" s="461"/>
      <c r="AA34" s="461"/>
      <c r="AB34" s="461"/>
      <c r="AC34" s="461"/>
    </row>
    <row r="35" spans="1:29" s="489" customFormat="1" ht="11.25" customHeight="1">
      <c r="A35" s="544"/>
      <c r="B35" s="1055">
        <v>45737</v>
      </c>
      <c r="C35" s="916" t="s">
        <v>250</v>
      </c>
      <c r="D35" s="922"/>
      <c r="E35" s="922">
        <v>10</v>
      </c>
      <c r="F35" s="1052" t="s">
        <v>107</v>
      </c>
      <c r="G35" s="569"/>
      <c r="H35" s="923"/>
      <c r="I35" s="988"/>
      <c r="J35" s="988"/>
      <c r="K35" s="918">
        <v>7.2</v>
      </c>
      <c r="L35" s="542" t="e">
        <f>'통장내역(환율표)'!#REF!</f>
        <v>#REF!</v>
      </c>
      <c r="M35" s="1092" t="e">
        <f t="shared" si="7"/>
        <v>#REF!</v>
      </c>
      <c r="N35" s="928">
        <f t="shared" si="5"/>
        <v>387977.6000000005</v>
      </c>
      <c r="O35" s="928" t="e">
        <f t="shared" si="6"/>
        <v>#REF!</v>
      </c>
      <c r="P35" s="911" t="s">
        <v>1134</v>
      </c>
      <c r="Q35" s="641"/>
      <c r="R35" s="641"/>
      <c r="S35" s="883" t="e">
        <f t="shared" si="8"/>
        <v>#REF!</v>
      </c>
      <c r="T35" s="461"/>
      <c r="U35" s="574"/>
      <c r="V35" s="461"/>
      <c r="W35" s="461"/>
      <c r="X35" s="461"/>
      <c r="Y35" s="461"/>
      <c r="Z35" s="461"/>
      <c r="AA35" s="461"/>
      <c r="AB35" s="461"/>
      <c r="AC35" s="461"/>
    </row>
    <row r="36" spans="1:29" s="489" customFormat="1" ht="11.25" customHeight="1">
      <c r="A36" s="544"/>
      <c r="B36" s="1055">
        <v>45737</v>
      </c>
      <c r="C36" s="916" t="s">
        <v>1414</v>
      </c>
      <c r="D36" s="922"/>
      <c r="E36" s="917">
        <v>11</v>
      </c>
      <c r="F36" s="1052" t="s">
        <v>116</v>
      </c>
      <c r="G36" s="569" t="s">
        <v>140</v>
      </c>
      <c r="H36" s="986"/>
      <c r="I36" s="968"/>
      <c r="J36" s="986"/>
      <c r="K36" s="918">
        <v>419</v>
      </c>
      <c r="L36" s="542" t="e">
        <f>'통장내역(환율표)'!#REF!</f>
        <v>#REF!</v>
      </c>
      <c r="M36" s="1092">
        <v>57.44</v>
      </c>
      <c r="N36" s="928">
        <f t="shared" si="5"/>
        <v>387558.6000000005</v>
      </c>
      <c r="O36" s="928" t="e">
        <f t="shared" si="6"/>
        <v>#REF!</v>
      </c>
      <c r="P36" s="911" t="s">
        <v>1134</v>
      </c>
      <c r="Q36" s="641"/>
      <c r="R36" s="911" t="s">
        <v>1426</v>
      </c>
      <c r="S36" s="883" t="e">
        <f t="shared" si="8"/>
        <v>#REF!</v>
      </c>
      <c r="T36" s="461"/>
      <c r="U36" s="574"/>
      <c r="V36" s="461"/>
      <c r="W36" s="461"/>
      <c r="X36" s="461"/>
      <c r="Y36" s="461"/>
      <c r="Z36" s="461"/>
      <c r="AA36" s="461"/>
      <c r="AB36" s="461"/>
      <c r="AC36" s="461"/>
    </row>
    <row r="37" spans="1:29" s="489" customFormat="1" ht="11.25" customHeight="1">
      <c r="A37" s="544"/>
      <c r="B37" s="1055">
        <v>45737</v>
      </c>
      <c r="C37" s="916" t="s">
        <v>250</v>
      </c>
      <c r="D37" s="922"/>
      <c r="E37" s="917">
        <v>12</v>
      </c>
      <c r="F37" s="1052" t="s">
        <v>107</v>
      </c>
      <c r="G37" s="569"/>
      <c r="H37" s="986"/>
      <c r="I37" s="968"/>
      <c r="J37" s="986"/>
      <c r="K37" s="918">
        <v>3.6</v>
      </c>
      <c r="L37" s="542" t="e">
        <f>'통장내역(환율표)'!#REF!</f>
        <v>#REF!</v>
      </c>
      <c r="M37" s="1092" t="e">
        <f t="shared" ref="M37:M56" si="9">K37/L37</f>
        <v>#REF!</v>
      </c>
      <c r="N37" s="928">
        <f t="shared" si="5"/>
        <v>387555.00000000052</v>
      </c>
      <c r="O37" s="928" t="e">
        <f t="shared" si="6"/>
        <v>#REF!</v>
      </c>
      <c r="P37" s="911" t="s">
        <v>1134</v>
      </c>
      <c r="Q37" s="641"/>
      <c r="R37" s="911" t="s">
        <v>1426</v>
      </c>
      <c r="S37" s="883" t="e">
        <f t="shared" si="8"/>
        <v>#REF!</v>
      </c>
      <c r="T37" s="461"/>
      <c r="U37" s="574"/>
      <c r="V37" s="461"/>
      <c r="W37" s="461"/>
      <c r="X37" s="461"/>
      <c r="Y37" s="461"/>
      <c r="Z37" s="461"/>
      <c r="AA37" s="461"/>
      <c r="AB37" s="461"/>
      <c r="AC37" s="461"/>
    </row>
    <row r="38" spans="1:29" s="489" customFormat="1" ht="11.25" customHeight="1">
      <c r="A38" s="544"/>
      <c r="B38" s="1055">
        <v>45737</v>
      </c>
      <c r="C38" s="916" t="s">
        <v>1404</v>
      </c>
      <c r="D38" s="922"/>
      <c r="E38" s="917">
        <v>13</v>
      </c>
      <c r="F38" s="1052" t="s">
        <v>146</v>
      </c>
      <c r="G38" s="569" t="s">
        <v>147</v>
      </c>
      <c r="H38" s="986"/>
      <c r="I38" s="968"/>
      <c r="J38" s="986"/>
      <c r="K38" s="918">
        <v>428.18</v>
      </c>
      <c r="L38" s="542" t="e">
        <f>'통장내역(환율표)'!#REF!</f>
        <v>#REF!</v>
      </c>
      <c r="M38" s="1092" t="e">
        <f t="shared" si="9"/>
        <v>#REF!</v>
      </c>
      <c r="N38" s="928">
        <f t="shared" si="5"/>
        <v>387126.82000000053</v>
      </c>
      <c r="O38" s="928" t="e">
        <f t="shared" si="6"/>
        <v>#REF!</v>
      </c>
      <c r="P38" s="911" t="s">
        <v>1134</v>
      </c>
      <c r="Q38" s="641"/>
      <c r="R38" s="911" t="s">
        <v>1389</v>
      </c>
      <c r="S38" s="883" t="e">
        <f t="shared" si="8"/>
        <v>#REF!</v>
      </c>
      <c r="T38" s="461"/>
      <c r="U38" s="574"/>
      <c r="V38" s="461"/>
      <c r="W38" s="461"/>
      <c r="X38" s="461"/>
      <c r="Y38" s="461"/>
      <c r="Z38" s="461"/>
      <c r="AA38" s="461"/>
      <c r="AB38" s="461"/>
      <c r="AC38" s="461"/>
    </row>
    <row r="39" spans="1:29" s="489" customFormat="1" ht="11.25" customHeight="1">
      <c r="A39" s="544"/>
      <c r="B39" s="1055">
        <v>45737</v>
      </c>
      <c r="C39" s="916" t="s">
        <v>1403</v>
      </c>
      <c r="D39" s="922"/>
      <c r="E39" s="917">
        <v>14</v>
      </c>
      <c r="F39" s="1052" t="s">
        <v>146</v>
      </c>
      <c r="G39" s="569" t="s">
        <v>147</v>
      </c>
      <c r="H39" s="986"/>
      <c r="I39" s="968"/>
      <c r="J39" s="986"/>
      <c r="K39" s="918">
        <v>2164.3200000000002</v>
      </c>
      <c r="L39" s="542" t="e">
        <f>'통장내역(환율표)'!#REF!</f>
        <v>#REF!</v>
      </c>
      <c r="M39" s="1092" t="e">
        <f t="shared" si="9"/>
        <v>#REF!</v>
      </c>
      <c r="N39" s="928">
        <f t="shared" si="5"/>
        <v>384962.50000000052</v>
      </c>
      <c r="O39" s="928" t="e">
        <f t="shared" si="6"/>
        <v>#REF!</v>
      </c>
      <c r="P39" s="911" t="s">
        <v>1134</v>
      </c>
      <c r="Q39" s="641"/>
      <c r="R39" s="911" t="s">
        <v>1389</v>
      </c>
      <c r="S39" s="883" t="e">
        <f t="shared" si="8"/>
        <v>#REF!</v>
      </c>
      <c r="T39" s="461"/>
      <c r="U39" s="574"/>
      <c r="V39" s="461"/>
      <c r="W39" s="461"/>
      <c r="X39" s="461"/>
      <c r="Y39" s="461"/>
      <c r="Z39" s="461"/>
      <c r="AA39" s="461"/>
      <c r="AB39" s="461"/>
      <c r="AC39" s="461"/>
    </row>
    <row r="40" spans="1:29" s="489" customFormat="1" ht="11.25" customHeight="1">
      <c r="A40" s="544"/>
      <c r="B40" s="1055">
        <v>45737</v>
      </c>
      <c r="C40" s="916" t="s">
        <v>1405</v>
      </c>
      <c r="D40" s="922"/>
      <c r="E40" s="917">
        <v>15</v>
      </c>
      <c r="F40" s="1052" t="s">
        <v>107</v>
      </c>
      <c r="G40" s="569"/>
      <c r="H40" s="986"/>
      <c r="I40" s="968"/>
      <c r="J40" s="986"/>
      <c r="K40" s="918">
        <v>142.4</v>
      </c>
      <c r="L40" s="542" t="e">
        <f>'통장내역(환율표)'!#REF!</f>
        <v>#REF!</v>
      </c>
      <c r="M40" s="1092" t="e">
        <f t="shared" si="9"/>
        <v>#REF!</v>
      </c>
      <c r="N40" s="928">
        <f t="shared" si="5"/>
        <v>384820.1000000005</v>
      </c>
      <c r="O40" s="928" t="e">
        <f t="shared" si="6"/>
        <v>#REF!</v>
      </c>
      <c r="P40" s="911" t="s">
        <v>1134</v>
      </c>
      <c r="Q40" s="641"/>
      <c r="R40" s="911" t="s">
        <v>1389</v>
      </c>
      <c r="S40" s="883" t="e">
        <f t="shared" si="8"/>
        <v>#REF!</v>
      </c>
      <c r="T40" s="461"/>
      <c r="U40" s="574"/>
      <c r="V40" s="461"/>
      <c r="W40" s="461"/>
      <c r="X40" s="461"/>
      <c r="Y40" s="461"/>
      <c r="Z40" s="461"/>
      <c r="AA40" s="461"/>
      <c r="AB40" s="461"/>
      <c r="AC40" s="461"/>
    </row>
    <row r="41" spans="1:29" s="489" customFormat="1" ht="11.25" customHeight="1">
      <c r="A41" s="544"/>
      <c r="B41" s="1055">
        <v>45737</v>
      </c>
      <c r="C41" s="916" t="s">
        <v>19</v>
      </c>
      <c r="D41" s="922"/>
      <c r="E41" s="917">
        <v>16</v>
      </c>
      <c r="F41" s="1052" t="s">
        <v>116</v>
      </c>
      <c r="G41" s="569" t="s">
        <v>140</v>
      </c>
      <c r="H41" s="986"/>
      <c r="I41" s="968"/>
      <c r="J41" s="986"/>
      <c r="K41" s="918">
        <v>118.8</v>
      </c>
      <c r="L41" s="542" t="e">
        <f>'통장내역(환율표)'!#REF!</f>
        <v>#REF!</v>
      </c>
      <c r="M41" s="1092" t="e">
        <f t="shared" si="9"/>
        <v>#REF!</v>
      </c>
      <c r="N41" s="928">
        <f t="shared" si="5"/>
        <v>384701.30000000051</v>
      </c>
      <c r="O41" s="928" t="e">
        <f t="shared" si="6"/>
        <v>#REF!</v>
      </c>
      <c r="P41" s="911" t="s">
        <v>1134</v>
      </c>
      <c r="Q41" s="641"/>
      <c r="R41" s="911" t="s">
        <v>1389</v>
      </c>
      <c r="S41" s="883" t="e">
        <f t="shared" si="8"/>
        <v>#REF!</v>
      </c>
      <c r="T41" s="461"/>
      <c r="U41" s="574"/>
      <c r="V41" s="461"/>
      <c r="W41" s="461"/>
      <c r="X41" s="461"/>
      <c r="Y41" s="461"/>
      <c r="Z41" s="461"/>
      <c r="AA41" s="461"/>
      <c r="AB41" s="461"/>
      <c r="AC41" s="461"/>
    </row>
    <row r="42" spans="1:29" s="489" customFormat="1" ht="11.25" customHeight="1">
      <c r="A42" s="544"/>
      <c r="B42" s="1055">
        <v>45737</v>
      </c>
      <c r="C42" s="916" t="s">
        <v>250</v>
      </c>
      <c r="D42" s="922"/>
      <c r="E42" s="917">
        <v>17</v>
      </c>
      <c r="F42" s="1052" t="s">
        <v>107</v>
      </c>
      <c r="G42" s="569"/>
      <c r="H42" s="986"/>
      <c r="I42" s="968"/>
      <c r="J42" s="986"/>
      <c r="K42" s="918">
        <v>3.6</v>
      </c>
      <c r="L42" s="542" t="e">
        <f>'통장내역(환율표)'!#REF!</f>
        <v>#REF!</v>
      </c>
      <c r="M42" s="1092" t="e">
        <f t="shared" si="9"/>
        <v>#REF!</v>
      </c>
      <c r="N42" s="928">
        <f t="shared" si="5"/>
        <v>384697.70000000054</v>
      </c>
      <c r="O42" s="928" t="e">
        <f t="shared" si="6"/>
        <v>#REF!</v>
      </c>
      <c r="P42" s="911" t="s">
        <v>1134</v>
      </c>
      <c r="Q42" s="641"/>
      <c r="R42" s="911" t="s">
        <v>1389</v>
      </c>
      <c r="S42" s="883" t="e">
        <f t="shared" si="8"/>
        <v>#REF!</v>
      </c>
      <c r="T42" s="461"/>
      <c r="U42" s="574"/>
      <c r="V42" s="461"/>
      <c r="W42" s="461"/>
      <c r="X42" s="461"/>
      <c r="Y42" s="461"/>
      <c r="Z42" s="461"/>
      <c r="AA42" s="461"/>
      <c r="AB42" s="461"/>
      <c r="AC42" s="461"/>
    </row>
    <row r="43" spans="1:29" s="489" customFormat="1" ht="11.25" customHeight="1">
      <c r="A43" s="544"/>
      <c r="B43" s="1055">
        <v>45737</v>
      </c>
      <c r="C43" s="916" t="s">
        <v>1403</v>
      </c>
      <c r="D43" s="922"/>
      <c r="E43" s="917">
        <v>18</v>
      </c>
      <c r="F43" s="1052" t="s">
        <v>146</v>
      </c>
      <c r="G43" s="569" t="s">
        <v>147</v>
      </c>
      <c r="H43" s="986"/>
      <c r="I43" s="968"/>
      <c r="J43" s="986"/>
      <c r="K43" s="918">
        <v>6566.89</v>
      </c>
      <c r="L43" s="542" t="e">
        <f>'통장내역(환율표)'!#REF!</f>
        <v>#REF!</v>
      </c>
      <c r="M43" s="1092" t="e">
        <f t="shared" si="9"/>
        <v>#REF!</v>
      </c>
      <c r="N43" s="928">
        <f t="shared" si="5"/>
        <v>378130.81000000052</v>
      </c>
      <c r="O43" s="928" t="e">
        <f t="shared" si="6"/>
        <v>#REF!</v>
      </c>
      <c r="P43" s="911" t="s">
        <v>1134</v>
      </c>
      <c r="Q43" s="641"/>
      <c r="R43" s="911" t="s">
        <v>1390</v>
      </c>
      <c r="S43" s="883" t="e">
        <f t="shared" si="8"/>
        <v>#REF!</v>
      </c>
      <c r="T43" s="461"/>
      <c r="U43" s="574"/>
      <c r="V43" s="461"/>
      <c r="W43" s="461"/>
      <c r="X43" s="461"/>
      <c r="Y43" s="461"/>
      <c r="Z43" s="461"/>
      <c r="AA43" s="461"/>
      <c r="AB43" s="461"/>
      <c r="AC43" s="461"/>
    </row>
    <row r="44" spans="1:29" s="489" customFormat="1" ht="11.25" customHeight="1">
      <c r="A44" s="544"/>
      <c r="B44" s="1055">
        <v>45737</v>
      </c>
      <c r="C44" s="916" t="s">
        <v>127</v>
      </c>
      <c r="D44" s="922"/>
      <c r="E44" s="917">
        <v>19</v>
      </c>
      <c r="F44" s="1052" t="s">
        <v>146</v>
      </c>
      <c r="G44" s="569" t="s">
        <v>147</v>
      </c>
      <c r="H44" s="986"/>
      <c r="I44" s="968"/>
      <c r="J44" s="986"/>
      <c r="K44" s="1057">
        <v>385.71</v>
      </c>
      <c r="L44" s="542" t="e">
        <f>'통장내역(환율표)'!#REF!</f>
        <v>#REF!</v>
      </c>
      <c r="M44" s="1092" t="e">
        <f t="shared" si="9"/>
        <v>#REF!</v>
      </c>
      <c r="N44" s="928">
        <f t="shared" si="5"/>
        <v>377745.1000000005</v>
      </c>
      <c r="O44" s="928" t="e">
        <f t="shared" si="6"/>
        <v>#REF!</v>
      </c>
      <c r="P44" s="911" t="s">
        <v>1134</v>
      </c>
      <c r="Q44" s="641"/>
      <c r="R44" s="911" t="s">
        <v>1390</v>
      </c>
      <c r="S44" s="883" t="e">
        <f t="shared" si="8"/>
        <v>#REF!</v>
      </c>
      <c r="T44" s="461"/>
      <c r="U44" s="574"/>
      <c r="V44" s="461"/>
      <c r="W44" s="461"/>
      <c r="X44" s="461"/>
      <c r="Y44" s="461"/>
      <c r="Z44" s="461"/>
      <c r="AA44" s="461"/>
      <c r="AB44" s="461"/>
      <c r="AC44" s="461"/>
    </row>
    <row r="45" spans="1:29" s="489" customFormat="1" ht="11.25" customHeight="1">
      <c r="A45" s="544"/>
      <c r="B45" s="1055">
        <v>45737</v>
      </c>
      <c r="C45" s="916" t="s">
        <v>19</v>
      </c>
      <c r="D45" s="922"/>
      <c r="E45" s="917">
        <v>20</v>
      </c>
      <c r="F45" s="1052" t="s">
        <v>116</v>
      </c>
      <c r="G45" s="569" t="s">
        <v>140</v>
      </c>
      <c r="H45" s="986"/>
      <c r="I45" s="968"/>
      <c r="J45" s="986"/>
      <c r="K45" s="918">
        <v>316.79000000000002</v>
      </c>
      <c r="L45" s="542" t="e">
        <f>'통장내역(환율표)'!#REF!</f>
        <v>#REF!</v>
      </c>
      <c r="M45" s="1092" t="e">
        <f t="shared" si="9"/>
        <v>#REF!</v>
      </c>
      <c r="N45" s="928">
        <f t="shared" si="5"/>
        <v>377428.31000000052</v>
      </c>
      <c r="O45" s="928" t="e">
        <f t="shared" si="6"/>
        <v>#REF!</v>
      </c>
      <c r="P45" s="911" t="s">
        <v>1134</v>
      </c>
      <c r="Q45" s="641"/>
      <c r="R45" s="911" t="s">
        <v>1390</v>
      </c>
      <c r="S45" s="883" t="e">
        <f t="shared" si="8"/>
        <v>#REF!</v>
      </c>
      <c r="T45" s="461"/>
      <c r="U45" s="574"/>
      <c r="V45" s="461"/>
      <c r="W45" s="461"/>
      <c r="X45" s="461"/>
      <c r="Y45" s="461"/>
      <c r="Z45" s="461"/>
      <c r="AA45" s="461"/>
      <c r="AB45" s="461"/>
      <c r="AC45" s="461"/>
    </row>
    <row r="46" spans="1:29" s="489" customFormat="1" ht="11.25" customHeight="1">
      <c r="A46" s="544"/>
      <c r="B46" s="1055">
        <v>45737</v>
      </c>
      <c r="C46" s="916" t="s">
        <v>11</v>
      </c>
      <c r="D46" s="922"/>
      <c r="E46" s="917">
        <v>21</v>
      </c>
      <c r="F46" s="1052" t="s">
        <v>125</v>
      </c>
      <c r="G46" s="569" t="s">
        <v>145</v>
      </c>
      <c r="H46" s="986"/>
      <c r="I46" s="968"/>
      <c r="J46" s="986"/>
      <c r="K46" s="918">
        <v>97</v>
      </c>
      <c r="L46" s="542" t="e">
        <f>'통장내역(환율표)'!#REF!</f>
        <v>#REF!</v>
      </c>
      <c r="M46" s="1092" t="e">
        <f t="shared" si="9"/>
        <v>#REF!</v>
      </c>
      <c r="N46" s="928">
        <f t="shared" si="5"/>
        <v>377331.31000000052</v>
      </c>
      <c r="O46" s="928" t="e">
        <f t="shared" si="6"/>
        <v>#REF!</v>
      </c>
      <c r="P46" s="911" t="s">
        <v>1134</v>
      </c>
      <c r="Q46" s="641"/>
      <c r="R46" s="911" t="s">
        <v>1390</v>
      </c>
      <c r="S46" s="883" t="e">
        <f t="shared" si="8"/>
        <v>#REF!</v>
      </c>
      <c r="T46" s="461"/>
      <c r="U46" s="574"/>
      <c r="V46" s="461"/>
      <c r="W46" s="461"/>
      <c r="X46" s="461"/>
      <c r="Y46" s="461"/>
      <c r="Z46" s="461"/>
      <c r="AA46" s="461"/>
      <c r="AB46" s="461"/>
      <c r="AC46" s="461"/>
    </row>
    <row r="47" spans="1:29" s="489" customFormat="1" ht="11.25" customHeight="1">
      <c r="A47" s="544"/>
      <c r="B47" s="1055">
        <v>45737</v>
      </c>
      <c r="C47" s="916" t="s">
        <v>1386</v>
      </c>
      <c r="D47" s="922"/>
      <c r="E47" s="917">
        <v>22</v>
      </c>
      <c r="F47" s="1052" t="s">
        <v>107</v>
      </c>
      <c r="G47" s="569"/>
      <c r="H47" s="986"/>
      <c r="I47" s="968"/>
      <c r="J47" s="986"/>
      <c r="K47" s="918">
        <v>100.4</v>
      </c>
      <c r="L47" s="542" t="e">
        <f>'통장내역(환율표)'!#REF!</f>
        <v>#REF!</v>
      </c>
      <c r="M47" s="1092" t="e">
        <f t="shared" si="9"/>
        <v>#REF!</v>
      </c>
      <c r="N47" s="928">
        <f t="shared" si="5"/>
        <v>377230.9100000005</v>
      </c>
      <c r="O47" s="928" t="e">
        <f t="shared" si="6"/>
        <v>#REF!</v>
      </c>
      <c r="P47" s="911" t="s">
        <v>1134</v>
      </c>
      <c r="Q47" s="641"/>
      <c r="R47" s="911" t="s">
        <v>1390</v>
      </c>
      <c r="S47" s="883" t="e">
        <f t="shared" si="8"/>
        <v>#REF!</v>
      </c>
      <c r="T47" s="461"/>
      <c r="U47" s="574"/>
      <c r="V47" s="461"/>
      <c r="W47" s="461"/>
      <c r="X47" s="461"/>
      <c r="Y47" s="461"/>
      <c r="Z47" s="461"/>
      <c r="AA47" s="461"/>
      <c r="AB47" s="461"/>
      <c r="AC47" s="461"/>
    </row>
    <row r="48" spans="1:29" s="489" customFormat="1" ht="11.25" customHeight="1">
      <c r="A48" s="544"/>
      <c r="B48" s="1055">
        <v>45737</v>
      </c>
      <c r="C48" s="916" t="s">
        <v>250</v>
      </c>
      <c r="D48" s="922"/>
      <c r="E48" s="917">
        <v>23</v>
      </c>
      <c r="F48" s="1052" t="s">
        <v>107</v>
      </c>
      <c r="G48" s="569"/>
      <c r="H48" s="986"/>
      <c r="I48" s="968"/>
      <c r="J48" s="986"/>
      <c r="K48" s="918">
        <v>3.6</v>
      </c>
      <c r="L48" s="542" t="e">
        <f>'통장내역(환율표)'!#REF!</f>
        <v>#REF!</v>
      </c>
      <c r="M48" s="1092" t="e">
        <f t="shared" si="9"/>
        <v>#REF!</v>
      </c>
      <c r="N48" s="928">
        <f t="shared" si="5"/>
        <v>377227.31000000052</v>
      </c>
      <c r="O48" s="928" t="e">
        <f t="shared" si="6"/>
        <v>#REF!</v>
      </c>
      <c r="P48" s="911" t="s">
        <v>1134</v>
      </c>
      <c r="Q48" s="641"/>
      <c r="R48" s="911" t="s">
        <v>1390</v>
      </c>
      <c r="S48" s="883" t="e">
        <f t="shared" si="8"/>
        <v>#REF!</v>
      </c>
      <c r="T48" s="461"/>
      <c r="U48" s="574"/>
      <c r="V48" s="461"/>
      <c r="W48" s="461"/>
      <c r="X48" s="461"/>
      <c r="Y48" s="461"/>
      <c r="Z48" s="461"/>
      <c r="AA48" s="461"/>
      <c r="AB48" s="461"/>
      <c r="AC48" s="461"/>
    </row>
    <row r="49" spans="1:29" s="489" customFormat="1" ht="11.25" customHeight="1">
      <c r="A49" s="544"/>
      <c r="B49" s="1055">
        <v>45737</v>
      </c>
      <c r="C49" s="916" t="s">
        <v>1428</v>
      </c>
      <c r="D49" s="922"/>
      <c r="E49" s="917">
        <v>24</v>
      </c>
      <c r="F49" s="1052" t="s">
        <v>146</v>
      </c>
      <c r="G49" s="569" t="s">
        <v>147</v>
      </c>
      <c r="H49" s="986"/>
      <c r="I49" s="968"/>
      <c r="J49" s="986"/>
      <c r="K49" s="1057">
        <v>677.37</v>
      </c>
      <c r="L49" s="542" t="e">
        <f>'통장내역(환율표)'!#REF!</f>
        <v>#REF!</v>
      </c>
      <c r="M49" s="1092" t="e">
        <f t="shared" si="9"/>
        <v>#REF!</v>
      </c>
      <c r="N49" s="928">
        <f t="shared" si="5"/>
        <v>376549.94000000053</v>
      </c>
      <c r="O49" s="928" t="e">
        <f t="shared" si="6"/>
        <v>#REF!</v>
      </c>
      <c r="P49" s="911" t="s">
        <v>1134</v>
      </c>
      <c r="Q49" s="641"/>
      <c r="R49" s="911" t="s">
        <v>1391</v>
      </c>
      <c r="S49" s="883" t="e">
        <f t="shared" si="8"/>
        <v>#REF!</v>
      </c>
      <c r="T49" s="461"/>
      <c r="U49" s="574"/>
      <c r="V49" s="461"/>
      <c r="W49" s="461"/>
      <c r="X49" s="461"/>
      <c r="Y49" s="461"/>
      <c r="Z49" s="461"/>
      <c r="AA49" s="461"/>
      <c r="AB49" s="461"/>
      <c r="AC49" s="461"/>
    </row>
    <row r="50" spans="1:29" s="489" customFormat="1" ht="11.25" customHeight="1">
      <c r="A50" s="544"/>
      <c r="B50" s="1055">
        <v>45737</v>
      </c>
      <c r="C50" s="916" t="s">
        <v>19</v>
      </c>
      <c r="D50" s="922"/>
      <c r="E50" s="917">
        <v>25</v>
      </c>
      <c r="F50" s="1052" t="s">
        <v>116</v>
      </c>
      <c r="G50" s="569" t="s">
        <v>140</v>
      </c>
      <c r="H50" s="986"/>
      <c r="I50" s="968"/>
      <c r="J50" s="986"/>
      <c r="K50" s="918">
        <v>299</v>
      </c>
      <c r="L50" s="542" t="e">
        <f>'통장내역(환율표)'!#REF!</f>
        <v>#REF!</v>
      </c>
      <c r="M50" s="1092" t="e">
        <f t="shared" si="9"/>
        <v>#REF!</v>
      </c>
      <c r="N50" s="928">
        <f t="shared" si="5"/>
        <v>376250.94000000053</v>
      </c>
      <c r="O50" s="928" t="e">
        <f t="shared" si="6"/>
        <v>#REF!</v>
      </c>
      <c r="P50" s="911" t="s">
        <v>1134</v>
      </c>
      <c r="Q50" s="641"/>
      <c r="R50" s="911" t="s">
        <v>1391</v>
      </c>
      <c r="S50" s="883" t="e">
        <f t="shared" si="8"/>
        <v>#REF!</v>
      </c>
      <c r="T50" s="461"/>
      <c r="U50" s="574"/>
      <c r="V50" s="461"/>
      <c r="W50" s="461"/>
      <c r="X50" s="461"/>
      <c r="Y50" s="461"/>
      <c r="Z50" s="461"/>
      <c r="AA50" s="461"/>
      <c r="AB50" s="461"/>
      <c r="AC50" s="461"/>
    </row>
    <row r="51" spans="1:29" s="489" customFormat="1" ht="11.25" customHeight="1">
      <c r="A51" s="544"/>
      <c r="B51" s="1055">
        <v>45737</v>
      </c>
      <c r="C51" s="916" t="s">
        <v>1405</v>
      </c>
      <c r="D51" s="922"/>
      <c r="E51" s="917">
        <v>26</v>
      </c>
      <c r="F51" s="1052" t="s">
        <v>107</v>
      </c>
      <c r="G51" s="569"/>
      <c r="H51" s="986"/>
      <c r="I51" s="968"/>
      <c r="J51" s="986"/>
      <c r="K51" s="918">
        <v>12</v>
      </c>
      <c r="L51" s="542" t="e">
        <f>'통장내역(환율표)'!#REF!</f>
        <v>#REF!</v>
      </c>
      <c r="M51" s="1092" t="e">
        <f t="shared" si="9"/>
        <v>#REF!</v>
      </c>
      <c r="N51" s="928">
        <f t="shared" si="5"/>
        <v>376238.94000000053</v>
      </c>
      <c r="O51" s="928" t="e">
        <f t="shared" si="6"/>
        <v>#REF!</v>
      </c>
      <c r="P51" s="911" t="s">
        <v>1134</v>
      </c>
      <c r="Q51" s="641"/>
      <c r="R51" s="911" t="s">
        <v>1391</v>
      </c>
      <c r="S51" s="883" t="e">
        <f t="shared" si="8"/>
        <v>#REF!</v>
      </c>
      <c r="T51" s="461"/>
      <c r="U51" s="574"/>
      <c r="V51" s="461"/>
      <c r="W51" s="461"/>
      <c r="X51" s="461"/>
      <c r="Y51" s="461"/>
      <c r="Z51" s="461"/>
      <c r="AA51" s="461"/>
      <c r="AB51" s="461"/>
      <c r="AC51" s="461"/>
    </row>
    <row r="52" spans="1:29" s="489" customFormat="1" ht="11.25" customHeight="1">
      <c r="A52" s="544"/>
      <c r="B52" s="1055">
        <v>45737</v>
      </c>
      <c r="C52" s="916" t="s">
        <v>1403</v>
      </c>
      <c r="D52" s="922"/>
      <c r="E52" s="917">
        <v>27</v>
      </c>
      <c r="F52" s="1052" t="s">
        <v>146</v>
      </c>
      <c r="G52" s="569" t="s">
        <v>147</v>
      </c>
      <c r="H52" s="986"/>
      <c r="I52" s="968"/>
      <c r="J52" s="986"/>
      <c r="K52" s="918">
        <v>255</v>
      </c>
      <c r="L52" s="542" t="e">
        <f>'통장내역(환율표)'!#REF!</f>
        <v>#REF!</v>
      </c>
      <c r="M52" s="1092" t="e">
        <f t="shared" si="9"/>
        <v>#REF!</v>
      </c>
      <c r="N52" s="928">
        <f t="shared" ref="N52:N83" si="10">N51+H52-K52</f>
        <v>375983.94000000053</v>
      </c>
      <c r="O52" s="928" t="e">
        <f t="shared" ref="O52:O83" si="11">O51+J52-M52</f>
        <v>#REF!</v>
      </c>
      <c r="P52" s="911" t="s">
        <v>1134</v>
      </c>
      <c r="Q52" s="641"/>
      <c r="R52" s="911" t="s">
        <v>1391</v>
      </c>
      <c r="S52" s="883" t="e">
        <f t="shared" si="8"/>
        <v>#REF!</v>
      </c>
      <c r="T52" s="461"/>
      <c r="U52" s="574"/>
      <c r="V52" s="461"/>
      <c r="W52" s="461"/>
      <c r="X52" s="461"/>
      <c r="Y52" s="461"/>
      <c r="Z52" s="461"/>
      <c r="AA52" s="461"/>
      <c r="AB52" s="461"/>
      <c r="AC52" s="461"/>
    </row>
    <row r="53" spans="1:29" s="489" customFormat="1" ht="11.25" customHeight="1">
      <c r="A53" s="544"/>
      <c r="B53" s="1055">
        <v>45737</v>
      </c>
      <c r="C53" s="916" t="s">
        <v>1409</v>
      </c>
      <c r="D53" s="922"/>
      <c r="E53" s="917">
        <v>28</v>
      </c>
      <c r="F53" s="1052" t="s">
        <v>107</v>
      </c>
      <c r="G53" s="569"/>
      <c r="H53" s="986"/>
      <c r="I53" s="968"/>
      <c r="J53" s="986"/>
      <c r="K53" s="918">
        <v>912.7</v>
      </c>
      <c r="L53" s="542" t="e">
        <f>'통장내역(환율표)'!#REF!</f>
        <v>#REF!</v>
      </c>
      <c r="M53" s="1092" t="e">
        <f t="shared" si="9"/>
        <v>#REF!</v>
      </c>
      <c r="N53" s="928">
        <f t="shared" si="10"/>
        <v>375071.24000000051</v>
      </c>
      <c r="O53" s="928" t="e">
        <f t="shared" si="11"/>
        <v>#REF!</v>
      </c>
      <c r="P53" s="911" t="s">
        <v>1134</v>
      </c>
      <c r="Q53" s="641"/>
      <c r="R53" s="911" t="s">
        <v>1391</v>
      </c>
      <c r="S53" s="883" t="e">
        <f t="shared" si="8"/>
        <v>#REF!</v>
      </c>
      <c r="T53" s="461"/>
      <c r="U53" s="574"/>
      <c r="V53" s="461"/>
      <c r="W53" s="461"/>
      <c r="X53" s="461"/>
      <c r="Y53" s="461"/>
      <c r="Z53" s="461"/>
      <c r="AA53" s="461"/>
      <c r="AB53" s="461"/>
      <c r="AC53" s="461"/>
    </row>
    <row r="54" spans="1:29" s="489" customFormat="1" ht="11.25" customHeight="1">
      <c r="A54" s="544"/>
      <c r="B54" s="1055">
        <v>45737</v>
      </c>
      <c r="C54" s="916" t="s">
        <v>11</v>
      </c>
      <c r="D54" s="922"/>
      <c r="E54" s="917">
        <v>29</v>
      </c>
      <c r="F54" s="1052" t="s">
        <v>125</v>
      </c>
      <c r="G54" s="569" t="s">
        <v>145</v>
      </c>
      <c r="H54" s="986"/>
      <c r="I54" s="968"/>
      <c r="J54" s="986"/>
      <c r="K54" s="918">
        <v>6325.68</v>
      </c>
      <c r="L54" s="542" t="e">
        <f>'통장내역(환율표)'!#REF!</f>
        <v>#REF!</v>
      </c>
      <c r="M54" s="1092" t="e">
        <f t="shared" si="9"/>
        <v>#REF!</v>
      </c>
      <c r="N54" s="928">
        <f t="shared" si="10"/>
        <v>368745.56000000052</v>
      </c>
      <c r="O54" s="928" t="e">
        <f t="shared" si="11"/>
        <v>#REF!</v>
      </c>
      <c r="P54" s="911" t="s">
        <v>1134</v>
      </c>
      <c r="Q54" s="641"/>
      <c r="R54" s="911" t="s">
        <v>1391</v>
      </c>
      <c r="S54" s="883" t="e">
        <f t="shared" si="8"/>
        <v>#REF!</v>
      </c>
      <c r="T54" s="461"/>
      <c r="U54" s="574"/>
      <c r="V54" s="461"/>
      <c r="W54" s="461"/>
      <c r="X54" s="461"/>
      <c r="Y54" s="461"/>
      <c r="Z54" s="461"/>
      <c r="AA54" s="461"/>
      <c r="AB54" s="461"/>
      <c r="AC54" s="461"/>
    </row>
    <row r="55" spans="1:29" s="489" customFormat="1" ht="11.25" customHeight="1">
      <c r="A55" s="544"/>
      <c r="B55" s="1055">
        <v>45737</v>
      </c>
      <c r="C55" s="916" t="s">
        <v>250</v>
      </c>
      <c r="D55" s="922"/>
      <c r="E55" s="917">
        <v>30</v>
      </c>
      <c r="F55" s="1052" t="s">
        <v>107</v>
      </c>
      <c r="G55" s="569"/>
      <c r="H55" s="986"/>
      <c r="I55" s="968"/>
      <c r="J55" s="986"/>
      <c r="K55" s="918">
        <v>3.6</v>
      </c>
      <c r="L55" s="542" t="e">
        <f>'통장내역(환율표)'!#REF!</f>
        <v>#REF!</v>
      </c>
      <c r="M55" s="1092" t="e">
        <f t="shared" si="9"/>
        <v>#REF!</v>
      </c>
      <c r="N55" s="928">
        <f t="shared" si="10"/>
        <v>368741.96000000054</v>
      </c>
      <c r="O55" s="928" t="e">
        <f t="shared" si="11"/>
        <v>#REF!</v>
      </c>
      <c r="P55" s="911" t="s">
        <v>1134</v>
      </c>
      <c r="Q55" s="641"/>
      <c r="R55" s="911" t="s">
        <v>1391</v>
      </c>
      <c r="S55" s="883" t="e">
        <f t="shared" si="8"/>
        <v>#REF!</v>
      </c>
      <c r="T55" s="461"/>
      <c r="U55" s="574"/>
      <c r="V55" s="461"/>
      <c r="W55" s="461"/>
      <c r="X55" s="461"/>
      <c r="Y55" s="461"/>
      <c r="Z55" s="461"/>
      <c r="AA55" s="461"/>
      <c r="AB55" s="461"/>
      <c r="AC55" s="461"/>
    </row>
    <row r="56" spans="1:29" s="489" customFormat="1" ht="11.25" customHeight="1">
      <c r="A56" s="544"/>
      <c r="B56" s="1055">
        <v>45737</v>
      </c>
      <c r="C56" s="916" t="s">
        <v>1403</v>
      </c>
      <c r="D56" s="922"/>
      <c r="E56" s="917">
        <v>31</v>
      </c>
      <c r="F56" s="1052" t="s">
        <v>146</v>
      </c>
      <c r="G56" s="569" t="s">
        <v>147</v>
      </c>
      <c r="H56" s="986"/>
      <c r="I56" s="968"/>
      <c r="J56" s="986"/>
      <c r="K56" s="918">
        <v>6381.8</v>
      </c>
      <c r="L56" s="542" t="e">
        <f>'통장내역(환율표)'!#REF!</f>
        <v>#REF!</v>
      </c>
      <c r="M56" s="1092" t="e">
        <f t="shared" si="9"/>
        <v>#REF!</v>
      </c>
      <c r="N56" s="928">
        <f t="shared" si="10"/>
        <v>362360.16000000056</v>
      </c>
      <c r="O56" s="928" t="e">
        <f t="shared" si="11"/>
        <v>#REF!</v>
      </c>
      <c r="P56" s="911" t="s">
        <v>1134</v>
      </c>
      <c r="Q56" s="641"/>
      <c r="R56" s="911" t="s">
        <v>211</v>
      </c>
      <c r="S56" s="883" t="e">
        <f t="shared" si="8"/>
        <v>#REF!</v>
      </c>
      <c r="T56" s="461"/>
      <c r="U56" s="574"/>
      <c r="V56" s="461"/>
      <c r="W56" s="461"/>
      <c r="X56" s="461"/>
      <c r="Y56" s="461"/>
      <c r="Z56" s="461"/>
      <c r="AA56" s="461"/>
      <c r="AB56" s="461"/>
      <c r="AC56" s="461"/>
    </row>
    <row r="57" spans="1:29" s="489" customFormat="1" ht="11.25" customHeight="1">
      <c r="A57" s="544"/>
      <c r="B57" s="1055">
        <v>45737</v>
      </c>
      <c r="C57" s="916" t="s">
        <v>11</v>
      </c>
      <c r="D57" s="922"/>
      <c r="E57" s="917">
        <v>32</v>
      </c>
      <c r="F57" s="1052" t="s">
        <v>125</v>
      </c>
      <c r="G57" s="569" t="s">
        <v>145</v>
      </c>
      <c r="H57" s="986"/>
      <c r="I57" s="968"/>
      <c r="J57" s="986"/>
      <c r="K57" s="918">
        <v>8423</v>
      </c>
      <c r="L57" s="542" t="e">
        <f>'통장내역(환율표)'!#REF!</f>
        <v>#REF!</v>
      </c>
      <c r="M57" s="1092">
        <v>1154.7</v>
      </c>
      <c r="N57" s="928">
        <f t="shared" si="10"/>
        <v>353937.16000000056</v>
      </c>
      <c r="O57" s="928" t="e">
        <f t="shared" si="11"/>
        <v>#REF!</v>
      </c>
      <c r="P57" s="911" t="s">
        <v>1134</v>
      </c>
      <c r="Q57" s="641"/>
      <c r="R57" s="911" t="s">
        <v>211</v>
      </c>
      <c r="S57" s="883" t="e">
        <f t="shared" si="8"/>
        <v>#REF!</v>
      </c>
      <c r="T57" s="461"/>
      <c r="U57" s="574"/>
      <c r="V57" s="461"/>
      <c r="W57" s="461"/>
      <c r="X57" s="461"/>
      <c r="Y57" s="461"/>
      <c r="Z57" s="461"/>
      <c r="AA57" s="461"/>
      <c r="AB57" s="461"/>
      <c r="AC57" s="461"/>
    </row>
    <row r="58" spans="1:29" s="489" customFormat="1" ht="11.25" customHeight="1">
      <c r="A58" s="544"/>
      <c r="B58" s="1055">
        <v>45737</v>
      </c>
      <c r="C58" s="916" t="s">
        <v>19</v>
      </c>
      <c r="D58" s="922"/>
      <c r="E58" s="917">
        <v>33</v>
      </c>
      <c r="F58" s="1052" t="s">
        <v>116</v>
      </c>
      <c r="G58" s="569" t="s">
        <v>140</v>
      </c>
      <c r="H58" s="986"/>
      <c r="I58" s="968"/>
      <c r="J58" s="986"/>
      <c r="K58" s="918">
        <v>300</v>
      </c>
      <c r="L58" s="542" t="e">
        <f>'통장내역(환율표)'!#REF!</f>
        <v>#REF!</v>
      </c>
      <c r="M58" s="1092">
        <v>41.125999999999998</v>
      </c>
      <c r="N58" s="928">
        <f t="shared" si="10"/>
        <v>353637.16000000056</v>
      </c>
      <c r="O58" s="928" t="e">
        <f t="shared" si="11"/>
        <v>#REF!</v>
      </c>
      <c r="P58" s="911" t="s">
        <v>1134</v>
      </c>
      <c r="Q58" s="641"/>
      <c r="R58" s="911" t="s">
        <v>211</v>
      </c>
      <c r="S58" s="883" t="e">
        <f t="shared" si="8"/>
        <v>#REF!</v>
      </c>
      <c r="T58" s="461"/>
      <c r="U58" s="574"/>
      <c r="V58" s="461"/>
      <c r="W58" s="461"/>
      <c r="X58" s="461"/>
      <c r="Y58" s="461"/>
      <c r="Z58" s="461"/>
      <c r="AA58" s="461"/>
      <c r="AB58" s="461"/>
      <c r="AC58" s="461"/>
    </row>
    <row r="59" spans="1:29" s="489" customFormat="1" ht="11.25" customHeight="1">
      <c r="A59" s="544"/>
      <c r="B59" s="1055">
        <v>45737</v>
      </c>
      <c r="C59" s="916" t="s">
        <v>1424</v>
      </c>
      <c r="D59" s="922"/>
      <c r="E59" s="917">
        <v>34</v>
      </c>
      <c r="F59" s="1052" t="s">
        <v>107</v>
      </c>
      <c r="G59" s="569"/>
      <c r="H59" s="986"/>
      <c r="I59" s="968"/>
      <c r="J59" s="986"/>
      <c r="K59" s="918" t="e">
        <f>L59*M59</f>
        <v>#REF!</v>
      </c>
      <c r="L59" s="542" t="e">
        <f>'통장내역(환율표)'!#REF!</f>
        <v>#REF!</v>
      </c>
      <c r="M59" s="1092">
        <v>1035.8240610959388</v>
      </c>
      <c r="N59" s="928" t="e">
        <f t="shared" si="10"/>
        <v>#REF!</v>
      </c>
      <c r="O59" s="928" t="e">
        <f t="shared" si="11"/>
        <v>#REF!</v>
      </c>
      <c r="P59" s="911" t="s">
        <v>1134</v>
      </c>
      <c r="Q59" s="641"/>
      <c r="R59" s="911" t="s">
        <v>211</v>
      </c>
      <c r="S59" s="883" t="e">
        <f t="shared" si="8"/>
        <v>#REF!</v>
      </c>
      <c r="T59" s="461"/>
      <c r="U59" s="574"/>
      <c r="V59" s="461"/>
      <c r="W59" s="461"/>
      <c r="X59" s="461"/>
      <c r="Y59" s="461"/>
      <c r="Z59" s="461"/>
      <c r="AA59" s="461"/>
      <c r="AB59" s="461"/>
      <c r="AC59" s="461"/>
    </row>
    <row r="60" spans="1:29" s="489" customFormat="1" ht="11.25" customHeight="1">
      <c r="A60" s="544"/>
      <c r="B60" s="1055">
        <v>45737</v>
      </c>
      <c r="C60" s="916" t="s">
        <v>1424</v>
      </c>
      <c r="D60" s="922"/>
      <c r="E60" s="917">
        <v>34</v>
      </c>
      <c r="F60" s="1052" t="s">
        <v>107</v>
      </c>
      <c r="G60" s="569"/>
      <c r="H60" s="986"/>
      <c r="I60" s="968"/>
      <c r="J60" s="986"/>
      <c r="K60" s="918" t="e">
        <f>65100-K59</f>
        <v>#REF!</v>
      </c>
      <c r="L60" s="542" t="e">
        <f>'통장내역(환율표)'!#REF!</f>
        <v>#REF!</v>
      </c>
      <c r="M60" s="1093" t="e">
        <f t="shared" ref="M60:M94" si="12">K60/L60</f>
        <v>#REF!</v>
      </c>
      <c r="N60" s="928" t="e">
        <f t="shared" si="10"/>
        <v>#REF!</v>
      </c>
      <c r="O60" s="928" t="e">
        <f t="shared" si="11"/>
        <v>#REF!</v>
      </c>
      <c r="P60" s="911" t="s">
        <v>1260</v>
      </c>
      <c r="Q60" s="641"/>
      <c r="R60" s="911" t="s">
        <v>211</v>
      </c>
      <c r="S60" s="883" t="e">
        <f>47952-M60</f>
        <v>#REF!</v>
      </c>
      <c r="T60" s="461"/>
      <c r="U60" s="574"/>
      <c r="V60" s="461"/>
      <c r="W60" s="461"/>
      <c r="X60" s="461"/>
      <c r="Y60" s="461"/>
      <c r="Z60" s="461"/>
      <c r="AA60" s="461"/>
      <c r="AB60" s="461"/>
      <c r="AC60" s="461"/>
    </row>
    <row r="61" spans="1:29" s="489" customFormat="1" ht="11.25" customHeight="1">
      <c r="A61" s="544"/>
      <c r="B61" s="1055">
        <v>45737</v>
      </c>
      <c r="C61" s="916" t="s">
        <v>250</v>
      </c>
      <c r="D61" s="922"/>
      <c r="E61" s="917">
        <v>35</v>
      </c>
      <c r="F61" s="1052" t="s">
        <v>107</v>
      </c>
      <c r="G61" s="569"/>
      <c r="H61" s="986"/>
      <c r="I61" s="968"/>
      <c r="J61" s="986"/>
      <c r="K61" s="918">
        <v>14.4</v>
      </c>
      <c r="L61" s="542" t="e">
        <f>'통장내역(환율표)'!#REF!</f>
        <v>#REF!</v>
      </c>
      <c r="M61" s="1093" t="e">
        <f t="shared" si="12"/>
        <v>#REF!</v>
      </c>
      <c r="N61" s="928" t="e">
        <f t="shared" si="10"/>
        <v>#REF!</v>
      </c>
      <c r="O61" s="928" t="e">
        <f t="shared" si="11"/>
        <v>#REF!</v>
      </c>
      <c r="P61" s="911" t="s">
        <v>1260</v>
      </c>
      <c r="Q61" s="641"/>
      <c r="R61" s="911" t="s">
        <v>211</v>
      </c>
      <c r="S61" s="883" t="e">
        <f>S60-M61</f>
        <v>#REF!</v>
      </c>
      <c r="T61" s="461"/>
      <c r="U61" s="574"/>
      <c r="V61" s="461"/>
      <c r="W61" s="461"/>
      <c r="X61" s="461"/>
      <c r="Y61" s="461"/>
      <c r="Z61" s="461"/>
      <c r="AA61" s="461"/>
      <c r="AB61" s="461"/>
      <c r="AC61" s="461"/>
    </row>
    <row r="62" spans="1:29" s="489" customFormat="1" ht="11.25" customHeight="1">
      <c r="A62" s="544"/>
      <c r="B62" s="1055">
        <v>45737</v>
      </c>
      <c r="C62" s="916" t="s">
        <v>1405</v>
      </c>
      <c r="D62" s="922"/>
      <c r="E62" s="917">
        <v>36</v>
      </c>
      <c r="F62" s="1052" t="s">
        <v>107</v>
      </c>
      <c r="G62" s="569"/>
      <c r="H62" s="986"/>
      <c r="I62" s="968"/>
      <c r="J62" s="986"/>
      <c r="K62" s="918">
        <v>413.9</v>
      </c>
      <c r="L62" s="542" t="e">
        <f>'통장내역(환율표)'!#REF!</f>
        <v>#REF!</v>
      </c>
      <c r="M62" s="1093" t="e">
        <f t="shared" si="12"/>
        <v>#REF!</v>
      </c>
      <c r="N62" s="928" t="e">
        <f t="shared" si="10"/>
        <v>#REF!</v>
      </c>
      <c r="O62" s="928" t="e">
        <f t="shared" si="11"/>
        <v>#REF!</v>
      </c>
      <c r="P62" s="911" t="s">
        <v>1260</v>
      </c>
      <c r="Q62" s="641"/>
      <c r="R62" s="911" t="s">
        <v>1394</v>
      </c>
      <c r="S62" s="883" t="e">
        <f t="shared" ref="S62:S104" si="13">S61-M62</f>
        <v>#REF!</v>
      </c>
      <c r="T62" s="461"/>
      <c r="U62" s="574"/>
      <c r="V62" s="461"/>
      <c r="W62" s="461"/>
      <c r="X62" s="461"/>
      <c r="Y62" s="461"/>
      <c r="Z62" s="461"/>
      <c r="AA62" s="461"/>
      <c r="AB62" s="461"/>
      <c r="AC62" s="461"/>
    </row>
    <row r="63" spans="1:29" s="489" customFormat="1" ht="11.25" customHeight="1">
      <c r="A63" s="544"/>
      <c r="B63" s="1055">
        <v>45737</v>
      </c>
      <c r="C63" s="916" t="s">
        <v>1409</v>
      </c>
      <c r="D63" s="922"/>
      <c r="E63" s="917">
        <v>37</v>
      </c>
      <c r="F63" s="1052" t="s">
        <v>107</v>
      </c>
      <c r="G63" s="569"/>
      <c r="H63" s="986"/>
      <c r="I63" s="968"/>
      <c r="J63" s="986"/>
      <c r="K63" s="918">
        <v>13.8</v>
      </c>
      <c r="L63" s="542" t="e">
        <f>'통장내역(환율표)'!#REF!</f>
        <v>#REF!</v>
      </c>
      <c r="M63" s="1093" t="e">
        <f t="shared" si="12"/>
        <v>#REF!</v>
      </c>
      <c r="N63" s="928" t="e">
        <f t="shared" si="10"/>
        <v>#REF!</v>
      </c>
      <c r="O63" s="928" t="e">
        <f t="shared" si="11"/>
        <v>#REF!</v>
      </c>
      <c r="P63" s="911" t="s">
        <v>1260</v>
      </c>
      <c r="Q63" s="641"/>
      <c r="R63" s="911" t="s">
        <v>1394</v>
      </c>
      <c r="S63" s="883" t="e">
        <f t="shared" si="13"/>
        <v>#REF!</v>
      </c>
      <c r="T63" s="461"/>
      <c r="U63" s="574"/>
      <c r="V63" s="461"/>
      <c r="W63" s="461"/>
      <c r="X63" s="461"/>
      <c r="Y63" s="461"/>
      <c r="Z63" s="461"/>
      <c r="AA63" s="461"/>
      <c r="AB63" s="461"/>
      <c r="AC63" s="461"/>
    </row>
    <row r="64" spans="1:29" s="489" customFormat="1" ht="11.25" customHeight="1">
      <c r="A64" s="544"/>
      <c r="B64" s="1055">
        <v>45737</v>
      </c>
      <c r="C64" s="916" t="s">
        <v>564</v>
      </c>
      <c r="D64" s="922"/>
      <c r="E64" s="917">
        <v>38</v>
      </c>
      <c r="F64" s="1052" t="s">
        <v>107</v>
      </c>
      <c r="G64" s="569"/>
      <c r="H64" s="986"/>
      <c r="I64" s="968"/>
      <c r="J64" s="986"/>
      <c r="K64" s="1057">
        <v>359</v>
      </c>
      <c r="L64" s="542" t="e">
        <f>'통장내역(환율표)'!#REF!</f>
        <v>#REF!</v>
      </c>
      <c r="M64" s="1093" t="e">
        <f t="shared" si="12"/>
        <v>#REF!</v>
      </c>
      <c r="N64" s="928" t="e">
        <f t="shared" si="10"/>
        <v>#REF!</v>
      </c>
      <c r="O64" s="928" t="e">
        <f t="shared" si="11"/>
        <v>#REF!</v>
      </c>
      <c r="P64" s="911" t="s">
        <v>1260</v>
      </c>
      <c r="Q64" s="641"/>
      <c r="R64" s="911" t="s">
        <v>1394</v>
      </c>
      <c r="S64" s="883" t="e">
        <f t="shared" si="13"/>
        <v>#REF!</v>
      </c>
      <c r="T64" s="461"/>
      <c r="U64" s="574"/>
      <c r="V64" s="461"/>
      <c r="W64" s="461"/>
      <c r="X64" s="461"/>
      <c r="Y64" s="461"/>
      <c r="Z64" s="461"/>
      <c r="AA64" s="461"/>
      <c r="AB64" s="461"/>
      <c r="AC64" s="461"/>
    </row>
    <row r="65" spans="1:29" s="489" customFormat="1" ht="11.25" customHeight="1">
      <c r="A65" s="544"/>
      <c r="B65" s="1055">
        <v>45737</v>
      </c>
      <c r="C65" s="916" t="s">
        <v>19</v>
      </c>
      <c r="D65" s="922"/>
      <c r="E65" s="917">
        <v>39</v>
      </c>
      <c r="F65" s="1052" t="s">
        <v>116</v>
      </c>
      <c r="G65" s="569" t="s">
        <v>140</v>
      </c>
      <c r="H65" s="986"/>
      <c r="I65" s="968"/>
      <c r="J65" s="986"/>
      <c r="K65" s="918">
        <v>169</v>
      </c>
      <c r="L65" s="542" t="e">
        <f>'통장내역(환율표)'!#REF!</f>
        <v>#REF!</v>
      </c>
      <c r="M65" s="1093" t="e">
        <f t="shared" si="12"/>
        <v>#REF!</v>
      </c>
      <c r="N65" s="928" t="e">
        <f t="shared" si="10"/>
        <v>#REF!</v>
      </c>
      <c r="O65" s="928" t="e">
        <f t="shared" si="11"/>
        <v>#REF!</v>
      </c>
      <c r="P65" s="911" t="s">
        <v>1260</v>
      </c>
      <c r="Q65" s="641"/>
      <c r="R65" s="911" t="s">
        <v>1394</v>
      </c>
      <c r="S65" s="883" t="e">
        <f t="shared" si="13"/>
        <v>#REF!</v>
      </c>
      <c r="T65" s="461"/>
      <c r="U65" s="574"/>
      <c r="V65" s="461"/>
      <c r="W65" s="461"/>
      <c r="X65" s="461"/>
      <c r="Y65" s="461"/>
      <c r="Z65" s="461"/>
      <c r="AA65" s="461"/>
      <c r="AB65" s="461"/>
      <c r="AC65" s="461"/>
    </row>
    <row r="66" spans="1:29" s="489" customFormat="1" ht="11.25" customHeight="1">
      <c r="A66" s="544"/>
      <c r="B66" s="1055">
        <v>45737</v>
      </c>
      <c r="C66" s="916" t="s">
        <v>1404</v>
      </c>
      <c r="D66" s="922"/>
      <c r="E66" s="917">
        <v>40</v>
      </c>
      <c r="F66" s="1052" t="s">
        <v>146</v>
      </c>
      <c r="G66" s="569" t="s">
        <v>147</v>
      </c>
      <c r="H66" s="986"/>
      <c r="I66" s="968"/>
      <c r="J66" s="986"/>
      <c r="K66" s="918">
        <v>432.12</v>
      </c>
      <c r="L66" s="542" t="e">
        <f>'통장내역(환율표)'!#REF!</f>
        <v>#REF!</v>
      </c>
      <c r="M66" s="1093" t="e">
        <f t="shared" si="12"/>
        <v>#REF!</v>
      </c>
      <c r="N66" s="928" t="e">
        <f t="shared" si="10"/>
        <v>#REF!</v>
      </c>
      <c r="O66" s="928" t="e">
        <f t="shared" si="11"/>
        <v>#REF!</v>
      </c>
      <c r="P66" s="911" t="s">
        <v>1260</v>
      </c>
      <c r="Q66" s="641"/>
      <c r="R66" s="911" t="s">
        <v>1394</v>
      </c>
      <c r="S66" s="883" t="e">
        <f t="shared" si="13"/>
        <v>#REF!</v>
      </c>
      <c r="T66" s="461"/>
      <c r="U66" s="574"/>
      <c r="V66" s="461"/>
      <c r="W66" s="461"/>
      <c r="X66" s="461"/>
      <c r="Y66" s="461"/>
      <c r="Z66" s="461"/>
      <c r="AA66" s="461"/>
      <c r="AB66" s="461"/>
      <c r="AC66" s="461"/>
    </row>
    <row r="67" spans="1:29" s="489" customFormat="1" ht="11.25" customHeight="1">
      <c r="A67" s="544"/>
      <c r="B67" s="1055">
        <v>45737</v>
      </c>
      <c r="C67" s="916" t="s">
        <v>1403</v>
      </c>
      <c r="D67" s="922"/>
      <c r="E67" s="917">
        <v>41</v>
      </c>
      <c r="F67" s="1052" t="s">
        <v>146</v>
      </c>
      <c r="G67" s="569" t="s">
        <v>147</v>
      </c>
      <c r="H67" s="986"/>
      <c r="I67" s="968"/>
      <c r="J67" s="986"/>
      <c r="K67" s="918">
        <v>10460.81</v>
      </c>
      <c r="L67" s="542" t="e">
        <f>'통장내역(환율표)'!#REF!</f>
        <v>#REF!</v>
      </c>
      <c r="M67" s="1093" t="e">
        <f t="shared" si="12"/>
        <v>#REF!</v>
      </c>
      <c r="N67" s="928" t="e">
        <f t="shared" si="10"/>
        <v>#REF!</v>
      </c>
      <c r="O67" s="928" t="e">
        <f t="shared" si="11"/>
        <v>#REF!</v>
      </c>
      <c r="P67" s="911" t="s">
        <v>1260</v>
      </c>
      <c r="Q67" s="641"/>
      <c r="R67" s="911" t="s">
        <v>1394</v>
      </c>
      <c r="S67" s="883" t="e">
        <f t="shared" si="13"/>
        <v>#REF!</v>
      </c>
      <c r="T67" s="461"/>
      <c r="U67" s="574"/>
      <c r="V67" s="461"/>
      <c r="W67" s="461"/>
      <c r="X67" s="461"/>
      <c r="Y67" s="461"/>
      <c r="Z67" s="461"/>
      <c r="AA67" s="461"/>
      <c r="AB67" s="461"/>
      <c r="AC67" s="461"/>
    </row>
    <row r="68" spans="1:29" s="489" customFormat="1" ht="11.25" customHeight="1">
      <c r="A68" s="544"/>
      <c r="B68" s="1055">
        <v>45737</v>
      </c>
      <c r="C68" s="916" t="s">
        <v>250</v>
      </c>
      <c r="D68" s="922"/>
      <c r="E68" s="917">
        <v>42</v>
      </c>
      <c r="F68" s="1052" t="s">
        <v>107</v>
      </c>
      <c r="G68" s="569"/>
      <c r="H68" s="986"/>
      <c r="I68" s="968"/>
      <c r="J68" s="986"/>
      <c r="K68" s="918">
        <v>7.2</v>
      </c>
      <c r="L68" s="542" t="e">
        <f>'통장내역(환율표)'!#REF!</f>
        <v>#REF!</v>
      </c>
      <c r="M68" s="1093" t="e">
        <f t="shared" si="12"/>
        <v>#REF!</v>
      </c>
      <c r="N68" s="928" t="e">
        <f t="shared" si="10"/>
        <v>#REF!</v>
      </c>
      <c r="O68" s="928" t="e">
        <f t="shared" si="11"/>
        <v>#REF!</v>
      </c>
      <c r="P68" s="911" t="s">
        <v>1260</v>
      </c>
      <c r="Q68" s="641"/>
      <c r="R68" s="911" t="s">
        <v>1394</v>
      </c>
      <c r="S68" s="883" t="e">
        <f t="shared" si="13"/>
        <v>#REF!</v>
      </c>
      <c r="T68" s="461"/>
      <c r="U68" s="574"/>
      <c r="V68" s="461"/>
      <c r="W68" s="461"/>
      <c r="X68" s="461"/>
      <c r="Y68" s="461"/>
      <c r="Z68" s="461"/>
      <c r="AA68" s="461"/>
      <c r="AB68" s="461"/>
      <c r="AC68" s="461"/>
    </row>
    <row r="69" spans="1:29" ht="11.25" customHeight="1">
      <c r="B69" s="1055">
        <v>45737</v>
      </c>
      <c r="C69" s="916" t="s">
        <v>1406</v>
      </c>
      <c r="D69" s="922"/>
      <c r="E69" s="917">
        <v>43</v>
      </c>
      <c r="F69" s="1052" t="s">
        <v>146</v>
      </c>
      <c r="G69" s="569" t="s">
        <v>147</v>
      </c>
      <c r="H69" s="986"/>
      <c r="I69" s="968"/>
      <c r="J69" s="986"/>
      <c r="K69" s="918">
        <v>2800</v>
      </c>
      <c r="L69" s="542" t="e">
        <f>'통장내역(환율표)'!#REF!</f>
        <v>#REF!</v>
      </c>
      <c r="M69" s="1093" t="e">
        <f t="shared" si="12"/>
        <v>#REF!</v>
      </c>
      <c r="N69" s="928" t="e">
        <f t="shared" si="10"/>
        <v>#REF!</v>
      </c>
      <c r="O69" s="928" t="e">
        <f t="shared" si="11"/>
        <v>#REF!</v>
      </c>
      <c r="P69" s="911" t="s">
        <v>1260</v>
      </c>
      <c r="Q69" s="641"/>
      <c r="R69" s="911" t="s">
        <v>1392</v>
      </c>
      <c r="S69" s="883" t="e">
        <f t="shared" si="13"/>
        <v>#REF!</v>
      </c>
    </row>
    <row r="70" spans="1:29" ht="11.25" customHeight="1">
      <c r="B70" s="1055">
        <v>45737</v>
      </c>
      <c r="C70" s="916" t="s">
        <v>1407</v>
      </c>
      <c r="D70" s="922"/>
      <c r="E70" s="917">
        <v>44</v>
      </c>
      <c r="F70" s="1052" t="s">
        <v>146</v>
      </c>
      <c r="G70" s="569" t="s">
        <v>147</v>
      </c>
      <c r="H70" s="986"/>
      <c r="I70" s="968"/>
      <c r="J70" s="986"/>
      <c r="K70" s="918">
        <v>191</v>
      </c>
      <c r="L70" s="542" t="e">
        <f>'통장내역(환율표)'!#REF!</f>
        <v>#REF!</v>
      </c>
      <c r="M70" s="1093" t="e">
        <f t="shared" si="12"/>
        <v>#REF!</v>
      </c>
      <c r="N70" s="928" t="e">
        <f t="shared" si="10"/>
        <v>#REF!</v>
      </c>
      <c r="O70" s="928" t="e">
        <f t="shared" si="11"/>
        <v>#REF!</v>
      </c>
      <c r="P70" s="911" t="s">
        <v>1260</v>
      </c>
      <c r="Q70" s="641"/>
      <c r="R70" s="911" t="s">
        <v>1392</v>
      </c>
      <c r="S70" s="883" t="e">
        <f t="shared" si="13"/>
        <v>#REF!</v>
      </c>
    </row>
    <row r="71" spans="1:29" ht="11.25" customHeight="1">
      <c r="B71" s="1055">
        <v>45737</v>
      </c>
      <c r="C71" s="916" t="s">
        <v>1425</v>
      </c>
      <c r="D71" s="922"/>
      <c r="E71" s="917">
        <v>45</v>
      </c>
      <c r="F71" s="1052" t="s">
        <v>146</v>
      </c>
      <c r="G71" s="569" t="s">
        <v>147</v>
      </c>
      <c r="H71" s="986"/>
      <c r="I71" s="968"/>
      <c r="J71" s="986"/>
      <c r="K71" s="918">
        <v>98</v>
      </c>
      <c r="L71" s="542" t="e">
        <f>'통장내역(환율표)'!#REF!</f>
        <v>#REF!</v>
      </c>
      <c r="M71" s="1093" t="e">
        <f t="shared" si="12"/>
        <v>#REF!</v>
      </c>
      <c r="N71" s="928" t="e">
        <f t="shared" si="10"/>
        <v>#REF!</v>
      </c>
      <c r="O71" s="928" t="e">
        <f t="shared" si="11"/>
        <v>#REF!</v>
      </c>
      <c r="P71" s="911" t="s">
        <v>1260</v>
      </c>
      <c r="Q71" s="641"/>
      <c r="R71" s="911" t="s">
        <v>1392</v>
      </c>
      <c r="S71" s="883" t="e">
        <f t="shared" si="13"/>
        <v>#REF!</v>
      </c>
    </row>
    <row r="72" spans="1:29" ht="11.25" customHeight="1">
      <c r="B72" s="1055">
        <v>45737</v>
      </c>
      <c r="C72" s="916" t="s">
        <v>1408</v>
      </c>
      <c r="D72" s="922"/>
      <c r="E72" s="917">
        <v>46</v>
      </c>
      <c r="F72" s="1052" t="s">
        <v>146</v>
      </c>
      <c r="G72" s="569" t="s">
        <v>147</v>
      </c>
      <c r="H72" s="986"/>
      <c r="I72" s="968"/>
      <c r="J72" s="986"/>
      <c r="K72" s="918">
        <v>800</v>
      </c>
      <c r="L72" s="542" t="e">
        <f>'통장내역(환율표)'!#REF!</f>
        <v>#REF!</v>
      </c>
      <c r="M72" s="1093" t="e">
        <f t="shared" si="12"/>
        <v>#REF!</v>
      </c>
      <c r="N72" s="928" t="e">
        <f t="shared" si="10"/>
        <v>#REF!</v>
      </c>
      <c r="O72" s="928" t="e">
        <f t="shared" si="11"/>
        <v>#REF!</v>
      </c>
      <c r="P72" s="911" t="s">
        <v>1260</v>
      </c>
      <c r="Q72" s="641"/>
      <c r="R72" s="911" t="s">
        <v>1392</v>
      </c>
      <c r="S72" s="883" t="e">
        <f t="shared" si="13"/>
        <v>#REF!</v>
      </c>
    </row>
    <row r="73" spans="1:29" ht="11.25" customHeight="1">
      <c r="B73" s="1055">
        <v>45737</v>
      </c>
      <c r="C73" s="916" t="s">
        <v>250</v>
      </c>
      <c r="D73" s="922"/>
      <c r="E73" s="917">
        <v>47</v>
      </c>
      <c r="F73" s="1052" t="s">
        <v>107</v>
      </c>
      <c r="G73" s="569"/>
      <c r="H73" s="986"/>
      <c r="I73" s="968"/>
      <c r="J73" s="986"/>
      <c r="K73" s="918">
        <v>3.6</v>
      </c>
      <c r="L73" s="542" t="e">
        <f>'통장내역(환율표)'!#REF!</f>
        <v>#REF!</v>
      </c>
      <c r="M73" s="1093" t="e">
        <f t="shared" si="12"/>
        <v>#REF!</v>
      </c>
      <c r="N73" s="928" t="e">
        <f t="shared" si="10"/>
        <v>#REF!</v>
      </c>
      <c r="O73" s="928" t="e">
        <f t="shared" si="11"/>
        <v>#REF!</v>
      </c>
      <c r="P73" s="911" t="s">
        <v>1260</v>
      </c>
      <c r="Q73" s="641"/>
      <c r="R73" s="911" t="s">
        <v>1392</v>
      </c>
      <c r="S73" s="883" t="e">
        <f t="shared" si="13"/>
        <v>#REF!</v>
      </c>
    </row>
    <row r="74" spans="1:29" ht="11.25" customHeight="1">
      <c r="B74" s="1055">
        <v>45737</v>
      </c>
      <c r="C74" s="916" t="s">
        <v>1406</v>
      </c>
      <c r="D74" s="922"/>
      <c r="E74" s="917">
        <v>48</v>
      </c>
      <c r="F74" s="1052" t="s">
        <v>146</v>
      </c>
      <c r="G74" s="569" t="s">
        <v>147</v>
      </c>
      <c r="H74" s="986"/>
      <c r="I74" s="968"/>
      <c r="J74" s="986"/>
      <c r="K74" s="918">
        <v>2779</v>
      </c>
      <c r="L74" s="542" t="e">
        <f>'통장내역(환율표)'!#REF!</f>
        <v>#REF!</v>
      </c>
      <c r="M74" s="1093" t="e">
        <f t="shared" si="12"/>
        <v>#REF!</v>
      </c>
      <c r="N74" s="928" t="e">
        <f t="shared" si="10"/>
        <v>#REF!</v>
      </c>
      <c r="O74" s="928" t="e">
        <f t="shared" si="11"/>
        <v>#REF!</v>
      </c>
      <c r="P74" s="911" t="s">
        <v>1260</v>
      </c>
      <c r="Q74" s="641"/>
      <c r="R74" s="911" t="s">
        <v>1393</v>
      </c>
      <c r="S74" s="883" t="e">
        <f t="shared" si="13"/>
        <v>#REF!</v>
      </c>
    </row>
    <row r="75" spans="1:29" ht="11.25" customHeight="1">
      <c r="B75" s="1055">
        <v>45737</v>
      </c>
      <c r="C75" s="916" t="s">
        <v>1425</v>
      </c>
      <c r="D75" s="922"/>
      <c r="E75" s="917">
        <v>49</v>
      </c>
      <c r="F75" s="1052" t="s">
        <v>146</v>
      </c>
      <c r="G75" s="569" t="s">
        <v>147</v>
      </c>
      <c r="H75" s="986"/>
      <c r="I75" s="968"/>
      <c r="J75" s="986"/>
      <c r="K75" s="918">
        <v>98</v>
      </c>
      <c r="L75" s="542" t="e">
        <f>'통장내역(환율표)'!#REF!</f>
        <v>#REF!</v>
      </c>
      <c r="M75" s="1093" t="e">
        <f t="shared" si="12"/>
        <v>#REF!</v>
      </c>
      <c r="N75" s="928" t="e">
        <f t="shared" si="10"/>
        <v>#REF!</v>
      </c>
      <c r="O75" s="928" t="e">
        <f t="shared" si="11"/>
        <v>#REF!</v>
      </c>
      <c r="P75" s="911" t="s">
        <v>1260</v>
      </c>
      <c r="Q75" s="641"/>
      <c r="R75" s="911" t="s">
        <v>1393</v>
      </c>
      <c r="S75" s="883" t="e">
        <f t="shared" si="13"/>
        <v>#REF!</v>
      </c>
    </row>
    <row r="76" spans="1:29" ht="11.25" customHeight="1">
      <c r="B76" s="1055">
        <v>45737</v>
      </c>
      <c r="C76" s="916" t="s">
        <v>1408</v>
      </c>
      <c r="D76" s="922"/>
      <c r="E76" s="917">
        <v>50</v>
      </c>
      <c r="F76" s="1052" t="s">
        <v>146</v>
      </c>
      <c r="G76" s="569" t="s">
        <v>147</v>
      </c>
      <c r="H76" s="986"/>
      <c r="I76" s="968"/>
      <c r="J76" s="986"/>
      <c r="K76" s="918">
        <v>743</v>
      </c>
      <c r="L76" s="542" t="e">
        <f>'통장내역(환율표)'!#REF!</f>
        <v>#REF!</v>
      </c>
      <c r="M76" s="1093" t="e">
        <f t="shared" si="12"/>
        <v>#REF!</v>
      </c>
      <c r="N76" s="928" t="e">
        <f t="shared" si="10"/>
        <v>#REF!</v>
      </c>
      <c r="O76" s="928" t="e">
        <f t="shared" si="11"/>
        <v>#REF!</v>
      </c>
      <c r="P76" s="911" t="s">
        <v>1260</v>
      </c>
      <c r="Q76" s="641"/>
      <c r="R76" s="911" t="s">
        <v>1393</v>
      </c>
      <c r="S76" s="883" t="e">
        <f t="shared" si="13"/>
        <v>#REF!</v>
      </c>
    </row>
    <row r="77" spans="1:29" ht="11.25" customHeight="1">
      <c r="B77" s="1055">
        <v>45737</v>
      </c>
      <c r="C77" s="916" t="s">
        <v>1407</v>
      </c>
      <c r="D77" s="922"/>
      <c r="E77" s="917">
        <v>51</v>
      </c>
      <c r="F77" s="1052" t="s">
        <v>146</v>
      </c>
      <c r="G77" s="569" t="s">
        <v>147</v>
      </c>
      <c r="H77" s="986"/>
      <c r="I77" s="968"/>
      <c r="J77" s="986"/>
      <c r="K77" s="918">
        <v>291</v>
      </c>
      <c r="L77" s="542" t="e">
        <f>'통장내역(환율표)'!#REF!</f>
        <v>#REF!</v>
      </c>
      <c r="M77" s="1093" t="e">
        <f t="shared" si="12"/>
        <v>#REF!</v>
      </c>
      <c r="N77" s="928" t="e">
        <f t="shared" si="10"/>
        <v>#REF!</v>
      </c>
      <c r="O77" s="928" t="e">
        <f t="shared" si="11"/>
        <v>#REF!</v>
      </c>
      <c r="P77" s="911" t="s">
        <v>1260</v>
      </c>
      <c r="Q77" s="641"/>
      <c r="R77" s="911" t="s">
        <v>1393</v>
      </c>
      <c r="S77" s="883" t="e">
        <f t="shared" si="13"/>
        <v>#REF!</v>
      </c>
    </row>
    <row r="78" spans="1:29" ht="11.25" customHeight="1">
      <c r="B78" s="1055">
        <v>45737</v>
      </c>
      <c r="C78" s="916" t="s">
        <v>250</v>
      </c>
      <c r="D78" s="922"/>
      <c r="E78" s="917">
        <v>52</v>
      </c>
      <c r="F78" s="1052" t="s">
        <v>107</v>
      </c>
      <c r="G78" s="569"/>
      <c r="H78" s="986"/>
      <c r="I78" s="968"/>
      <c r="J78" s="986"/>
      <c r="K78" s="918">
        <v>3.6</v>
      </c>
      <c r="L78" s="542" t="e">
        <f>'통장내역(환율표)'!#REF!</f>
        <v>#REF!</v>
      </c>
      <c r="M78" s="1093" t="e">
        <f t="shared" si="12"/>
        <v>#REF!</v>
      </c>
      <c r="N78" s="928" t="e">
        <f t="shared" si="10"/>
        <v>#REF!</v>
      </c>
      <c r="O78" s="928" t="e">
        <f t="shared" si="11"/>
        <v>#REF!</v>
      </c>
      <c r="P78" s="911" t="s">
        <v>1260</v>
      </c>
      <c r="Q78" s="641"/>
      <c r="R78" s="911" t="s">
        <v>1393</v>
      </c>
      <c r="S78" s="883" t="e">
        <f t="shared" si="13"/>
        <v>#REF!</v>
      </c>
    </row>
    <row r="79" spans="1:29" ht="11.25" customHeight="1">
      <c r="B79" s="1055">
        <v>45740</v>
      </c>
      <c r="C79" s="916" t="s">
        <v>885</v>
      </c>
      <c r="D79" s="922"/>
      <c r="E79" s="917">
        <v>53</v>
      </c>
      <c r="F79" s="1052" t="s">
        <v>107</v>
      </c>
      <c r="G79" s="569"/>
      <c r="H79" s="986"/>
      <c r="I79" s="968"/>
      <c r="J79" s="986"/>
      <c r="K79" s="918">
        <v>16000</v>
      </c>
      <c r="L79" s="542" t="e">
        <f>'통장내역(환율표)'!#REF!</f>
        <v>#REF!</v>
      </c>
      <c r="M79" s="1093" t="e">
        <f t="shared" si="12"/>
        <v>#REF!</v>
      </c>
      <c r="N79" s="928" t="e">
        <f t="shared" si="10"/>
        <v>#REF!</v>
      </c>
      <c r="O79" s="928" t="e">
        <f t="shared" si="11"/>
        <v>#REF!</v>
      </c>
      <c r="P79" s="911" t="s">
        <v>1260</v>
      </c>
      <c r="Q79" s="641"/>
      <c r="R79" s="911" t="s">
        <v>211</v>
      </c>
      <c r="S79" s="883" t="e">
        <f t="shared" si="13"/>
        <v>#REF!</v>
      </c>
    </row>
    <row r="80" spans="1:29" ht="11.25" customHeight="1">
      <c r="B80" s="1055">
        <v>45740</v>
      </c>
      <c r="C80" s="916" t="s">
        <v>938</v>
      </c>
      <c r="D80" s="922"/>
      <c r="E80" s="917">
        <v>53</v>
      </c>
      <c r="F80" s="1052" t="s">
        <v>107</v>
      </c>
      <c r="G80" s="569"/>
      <c r="H80" s="986"/>
      <c r="I80" s="968"/>
      <c r="J80" s="986"/>
      <c r="K80" s="918">
        <v>24000</v>
      </c>
      <c r="L80" s="542" t="e">
        <f>'통장내역(환율표)'!#REF!</f>
        <v>#REF!</v>
      </c>
      <c r="M80" s="1093" t="e">
        <f t="shared" si="12"/>
        <v>#REF!</v>
      </c>
      <c r="N80" s="928" t="e">
        <f t="shared" si="10"/>
        <v>#REF!</v>
      </c>
      <c r="O80" s="928" t="e">
        <f t="shared" si="11"/>
        <v>#REF!</v>
      </c>
      <c r="P80" s="911" t="s">
        <v>1260</v>
      </c>
      <c r="Q80" s="641"/>
      <c r="R80" s="911" t="s">
        <v>211</v>
      </c>
      <c r="S80" s="883" t="e">
        <f t="shared" si="13"/>
        <v>#REF!</v>
      </c>
    </row>
    <row r="81" spans="2:19" ht="11.25" customHeight="1">
      <c r="B81" s="1055">
        <v>45740</v>
      </c>
      <c r="C81" s="916" t="s">
        <v>887</v>
      </c>
      <c r="D81" s="922"/>
      <c r="E81" s="917">
        <v>53</v>
      </c>
      <c r="F81" s="1052" t="s">
        <v>107</v>
      </c>
      <c r="G81" s="569"/>
      <c r="H81" s="986"/>
      <c r="I81" s="968"/>
      <c r="J81" s="986"/>
      <c r="K81" s="918">
        <v>5305.1900000000005</v>
      </c>
      <c r="L81" s="542" t="e">
        <f>'통장내역(환율표)'!#REF!</f>
        <v>#REF!</v>
      </c>
      <c r="M81" s="1093" t="e">
        <f t="shared" si="12"/>
        <v>#REF!</v>
      </c>
      <c r="N81" s="928" t="e">
        <f t="shared" si="10"/>
        <v>#REF!</v>
      </c>
      <c r="O81" s="928" t="e">
        <f t="shared" si="11"/>
        <v>#REF!</v>
      </c>
      <c r="P81" s="911" t="s">
        <v>1260</v>
      </c>
      <c r="Q81" s="641"/>
      <c r="R81" s="911" t="s">
        <v>211</v>
      </c>
      <c r="S81" s="883" t="e">
        <f t="shared" si="13"/>
        <v>#REF!</v>
      </c>
    </row>
    <row r="82" spans="2:19" ht="11.25" customHeight="1">
      <c r="B82" s="1055">
        <v>45740</v>
      </c>
      <c r="C82" s="916" t="s">
        <v>888</v>
      </c>
      <c r="D82" s="922"/>
      <c r="E82" s="917">
        <v>53</v>
      </c>
      <c r="F82" s="1052" t="s">
        <v>107</v>
      </c>
      <c r="G82" s="569"/>
      <c r="H82" s="986"/>
      <c r="I82" s="968"/>
      <c r="J82" s="986"/>
      <c r="K82" s="918">
        <v>3336.7999999999993</v>
      </c>
      <c r="L82" s="542" t="e">
        <f>'통장내역(환율표)'!#REF!</f>
        <v>#REF!</v>
      </c>
      <c r="M82" s="1093" t="e">
        <f t="shared" si="12"/>
        <v>#REF!</v>
      </c>
      <c r="N82" s="928" t="e">
        <f t="shared" si="10"/>
        <v>#REF!</v>
      </c>
      <c r="O82" s="928" t="e">
        <f t="shared" si="11"/>
        <v>#REF!</v>
      </c>
      <c r="P82" s="911" t="s">
        <v>1260</v>
      </c>
      <c r="Q82" s="641"/>
      <c r="R82" s="911" t="s">
        <v>211</v>
      </c>
      <c r="S82" s="883" t="e">
        <f t="shared" si="13"/>
        <v>#REF!</v>
      </c>
    </row>
    <row r="83" spans="2:19" ht="11.25" customHeight="1">
      <c r="B83" s="1055">
        <v>45740</v>
      </c>
      <c r="C83" s="916" t="s">
        <v>892</v>
      </c>
      <c r="D83" s="922"/>
      <c r="E83" s="917">
        <v>53</v>
      </c>
      <c r="F83" s="1052" t="s">
        <v>107</v>
      </c>
      <c r="G83" s="569"/>
      <c r="H83" s="986"/>
      <c r="I83" s="968"/>
      <c r="J83" s="986"/>
      <c r="K83" s="918">
        <v>300</v>
      </c>
      <c r="L83" s="542" t="e">
        <f>'통장내역(환율표)'!#REF!</f>
        <v>#REF!</v>
      </c>
      <c r="M83" s="1093" t="e">
        <f t="shared" si="12"/>
        <v>#REF!</v>
      </c>
      <c r="N83" s="928" t="e">
        <f t="shared" si="10"/>
        <v>#REF!</v>
      </c>
      <c r="O83" s="928" t="e">
        <f t="shared" si="11"/>
        <v>#REF!</v>
      </c>
      <c r="P83" s="911" t="s">
        <v>1260</v>
      </c>
      <c r="Q83" s="641"/>
      <c r="R83" s="911" t="s">
        <v>211</v>
      </c>
      <c r="S83" s="883" t="e">
        <f t="shared" si="13"/>
        <v>#REF!</v>
      </c>
    </row>
    <row r="84" spans="2:19" ht="11.25" customHeight="1">
      <c r="B84" s="1055">
        <v>45740</v>
      </c>
      <c r="C84" s="916" t="s">
        <v>885</v>
      </c>
      <c r="D84" s="922"/>
      <c r="E84" s="917">
        <v>53</v>
      </c>
      <c r="F84" s="1052" t="s">
        <v>107</v>
      </c>
      <c r="G84" s="569"/>
      <c r="H84" s="986"/>
      <c r="I84" s="968"/>
      <c r="J84" s="986"/>
      <c r="K84" s="918">
        <v>16000</v>
      </c>
      <c r="L84" s="542" t="e">
        <f>'통장내역(환율표)'!#REF!</f>
        <v>#REF!</v>
      </c>
      <c r="M84" s="1093" t="e">
        <f t="shared" si="12"/>
        <v>#REF!</v>
      </c>
      <c r="N84" s="928" t="e">
        <f t="shared" ref="N84:N104" si="14">N83+H84-K84</f>
        <v>#REF!</v>
      </c>
      <c r="O84" s="928" t="e">
        <f t="shared" ref="O84:O104" si="15">O83+J84-M84</f>
        <v>#REF!</v>
      </c>
      <c r="P84" s="911" t="s">
        <v>1260</v>
      </c>
      <c r="Q84" s="641"/>
      <c r="R84" s="911" t="s">
        <v>188</v>
      </c>
      <c r="S84" s="883" t="e">
        <f t="shared" si="13"/>
        <v>#REF!</v>
      </c>
    </row>
    <row r="85" spans="2:19" ht="11.25" customHeight="1">
      <c r="B85" s="1055">
        <v>45740</v>
      </c>
      <c r="C85" s="916" t="s">
        <v>938</v>
      </c>
      <c r="D85" s="922"/>
      <c r="E85" s="917">
        <v>53</v>
      </c>
      <c r="F85" s="1052" t="s">
        <v>107</v>
      </c>
      <c r="G85" s="569"/>
      <c r="H85" s="986"/>
      <c r="I85" s="968"/>
      <c r="J85" s="986"/>
      <c r="K85" s="918">
        <v>24000</v>
      </c>
      <c r="L85" s="542" t="e">
        <f>'통장내역(환율표)'!#REF!</f>
        <v>#REF!</v>
      </c>
      <c r="M85" s="1093" t="e">
        <f t="shared" si="12"/>
        <v>#REF!</v>
      </c>
      <c r="N85" s="928" t="e">
        <f t="shared" si="14"/>
        <v>#REF!</v>
      </c>
      <c r="O85" s="928" t="e">
        <f t="shared" si="15"/>
        <v>#REF!</v>
      </c>
      <c r="P85" s="911" t="s">
        <v>1260</v>
      </c>
      <c r="Q85" s="641"/>
      <c r="R85" s="911" t="s">
        <v>188</v>
      </c>
      <c r="S85" s="883" t="e">
        <f t="shared" si="13"/>
        <v>#REF!</v>
      </c>
    </row>
    <row r="86" spans="2:19" ht="11.25" customHeight="1">
      <c r="B86" s="1055">
        <v>45740</v>
      </c>
      <c r="C86" s="916" t="s">
        <v>887</v>
      </c>
      <c r="D86" s="922"/>
      <c r="E86" s="917">
        <v>53</v>
      </c>
      <c r="F86" s="1052" t="s">
        <v>107</v>
      </c>
      <c r="G86" s="569"/>
      <c r="H86" s="986"/>
      <c r="I86" s="968"/>
      <c r="J86" s="986"/>
      <c r="K86" s="918">
        <v>10463.189999999999</v>
      </c>
      <c r="L86" s="542" t="e">
        <f>'통장내역(환율표)'!#REF!</f>
        <v>#REF!</v>
      </c>
      <c r="M86" s="1093" t="e">
        <f t="shared" si="12"/>
        <v>#REF!</v>
      </c>
      <c r="N86" s="928" t="e">
        <f t="shared" si="14"/>
        <v>#REF!</v>
      </c>
      <c r="O86" s="928" t="e">
        <f t="shared" si="15"/>
        <v>#REF!</v>
      </c>
      <c r="P86" s="911" t="s">
        <v>1260</v>
      </c>
      <c r="Q86" s="641"/>
      <c r="R86" s="911" t="s">
        <v>188</v>
      </c>
      <c r="S86" s="883" t="e">
        <f t="shared" si="13"/>
        <v>#REF!</v>
      </c>
    </row>
    <row r="87" spans="2:19" ht="11.25" customHeight="1">
      <c r="B87" s="1055">
        <v>45740</v>
      </c>
      <c r="C87" s="916" t="s">
        <v>888</v>
      </c>
      <c r="D87" s="922"/>
      <c r="E87" s="917">
        <v>53</v>
      </c>
      <c r="F87" s="1052" t="s">
        <v>107</v>
      </c>
      <c r="G87" s="569"/>
      <c r="H87" s="986"/>
      <c r="I87" s="968"/>
      <c r="J87" s="986"/>
      <c r="K87" s="918">
        <v>3100.3999999999996</v>
      </c>
      <c r="L87" s="542" t="e">
        <f>'통장내역(환율표)'!#REF!</f>
        <v>#REF!</v>
      </c>
      <c r="M87" s="1093" t="e">
        <f t="shared" si="12"/>
        <v>#REF!</v>
      </c>
      <c r="N87" s="928" t="e">
        <f t="shared" si="14"/>
        <v>#REF!</v>
      </c>
      <c r="O87" s="928" t="e">
        <f t="shared" si="15"/>
        <v>#REF!</v>
      </c>
      <c r="P87" s="911" t="s">
        <v>1260</v>
      </c>
      <c r="Q87" s="641"/>
      <c r="R87" s="911" t="s">
        <v>188</v>
      </c>
      <c r="S87" s="883" t="e">
        <f t="shared" si="13"/>
        <v>#REF!</v>
      </c>
    </row>
    <row r="88" spans="2:19" ht="11.25" customHeight="1">
      <c r="B88" s="1055">
        <v>45740</v>
      </c>
      <c r="C88" s="916" t="s">
        <v>892</v>
      </c>
      <c r="D88" s="922"/>
      <c r="E88" s="917">
        <v>53</v>
      </c>
      <c r="F88" s="1052" t="s">
        <v>107</v>
      </c>
      <c r="G88" s="569"/>
      <c r="H88" s="986"/>
      <c r="I88" s="968"/>
      <c r="J88" s="986"/>
      <c r="K88" s="918">
        <v>300</v>
      </c>
      <c r="L88" s="542" t="e">
        <f>'통장내역(환율표)'!#REF!</f>
        <v>#REF!</v>
      </c>
      <c r="M88" s="1093" t="e">
        <f t="shared" si="12"/>
        <v>#REF!</v>
      </c>
      <c r="N88" s="928" t="e">
        <f t="shared" si="14"/>
        <v>#REF!</v>
      </c>
      <c r="O88" s="928" t="e">
        <f t="shared" si="15"/>
        <v>#REF!</v>
      </c>
      <c r="P88" s="911" t="s">
        <v>1260</v>
      </c>
      <c r="Q88" s="641"/>
      <c r="R88" s="911" t="s">
        <v>188</v>
      </c>
      <c r="S88" s="883" t="e">
        <f t="shared" si="13"/>
        <v>#REF!</v>
      </c>
    </row>
    <row r="89" spans="2:19" ht="11.25" customHeight="1">
      <c r="B89" s="1055">
        <v>45740</v>
      </c>
      <c r="C89" s="916" t="s">
        <v>891</v>
      </c>
      <c r="D89" s="922"/>
      <c r="E89" s="917">
        <v>53</v>
      </c>
      <c r="F89" s="1052" t="s">
        <v>107</v>
      </c>
      <c r="G89" s="569"/>
      <c r="H89" s="986"/>
      <c r="I89" s="968"/>
      <c r="J89" s="986"/>
      <c r="K89" s="918">
        <v>25750</v>
      </c>
      <c r="L89" s="542" t="e">
        <f>'통장내역(환율표)'!#REF!</f>
        <v>#REF!</v>
      </c>
      <c r="M89" s="1093" t="e">
        <f t="shared" si="12"/>
        <v>#REF!</v>
      </c>
      <c r="N89" s="928" t="e">
        <f t="shared" si="14"/>
        <v>#REF!</v>
      </c>
      <c r="O89" s="928" t="e">
        <f t="shared" si="15"/>
        <v>#REF!</v>
      </c>
      <c r="P89" s="911" t="s">
        <v>1260</v>
      </c>
      <c r="Q89" s="641"/>
      <c r="R89" s="911" t="s">
        <v>1389</v>
      </c>
      <c r="S89" s="883" t="e">
        <f t="shared" si="13"/>
        <v>#REF!</v>
      </c>
    </row>
    <row r="90" spans="2:19" ht="11.25" customHeight="1">
      <c r="B90" s="1055">
        <v>45740</v>
      </c>
      <c r="C90" s="916" t="s">
        <v>939</v>
      </c>
      <c r="D90" s="922"/>
      <c r="E90" s="917">
        <v>53</v>
      </c>
      <c r="F90" s="1052" t="s">
        <v>107</v>
      </c>
      <c r="G90" s="569"/>
      <c r="H90" s="986"/>
      <c r="I90" s="968"/>
      <c r="J90" s="986"/>
      <c r="K90" s="918">
        <v>7431.44</v>
      </c>
      <c r="L90" s="542" t="e">
        <f>'통장내역(환율표)'!#REF!</f>
        <v>#REF!</v>
      </c>
      <c r="M90" s="1093" t="e">
        <f t="shared" si="12"/>
        <v>#REF!</v>
      </c>
      <c r="N90" s="928" t="e">
        <f t="shared" si="14"/>
        <v>#REF!</v>
      </c>
      <c r="O90" s="928" t="e">
        <f t="shared" si="15"/>
        <v>#REF!</v>
      </c>
      <c r="P90" s="911" t="s">
        <v>1260</v>
      </c>
      <c r="Q90" s="641"/>
      <c r="R90" s="911" t="s">
        <v>1389</v>
      </c>
      <c r="S90" s="883" t="e">
        <f t="shared" si="13"/>
        <v>#REF!</v>
      </c>
    </row>
    <row r="91" spans="2:19" ht="11.25" customHeight="1">
      <c r="B91" s="1055">
        <v>45740</v>
      </c>
      <c r="C91" s="916" t="s">
        <v>892</v>
      </c>
      <c r="D91" s="922"/>
      <c r="E91" s="917">
        <v>53</v>
      </c>
      <c r="F91" s="1052" t="s">
        <v>107</v>
      </c>
      <c r="G91" s="569"/>
      <c r="H91" s="986"/>
      <c r="I91" s="968"/>
      <c r="J91" s="986"/>
      <c r="K91" s="918">
        <v>300</v>
      </c>
      <c r="L91" s="542" t="e">
        <f>'통장내역(환율표)'!#REF!</f>
        <v>#REF!</v>
      </c>
      <c r="M91" s="1093" t="e">
        <f t="shared" si="12"/>
        <v>#REF!</v>
      </c>
      <c r="N91" s="928" t="e">
        <f t="shared" si="14"/>
        <v>#REF!</v>
      </c>
      <c r="O91" s="928" t="e">
        <f t="shared" si="15"/>
        <v>#REF!</v>
      </c>
      <c r="P91" s="911" t="s">
        <v>1260</v>
      </c>
      <c r="Q91" s="641"/>
      <c r="R91" s="911" t="s">
        <v>1389</v>
      </c>
      <c r="S91" s="883" t="e">
        <f t="shared" si="13"/>
        <v>#REF!</v>
      </c>
    </row>
    <row r="92" spans="2:19" ht="11.25" customHeight="1">
      <c r="B92" s="1055">
        <v>45740</v>
      </c>
      <c r="C92" s="916" t="s">
        <v>983</v>
      </c>
      <c r="D92" s="922"/>
      <c r="E92" s="917">
        <v>53</v>
      </c>
      <c r="F92" s="1052" t="s">
        <v>107</v>
      </c>
      <c r="G92" s="569"/>
      <c r="H92" s="986"/>
      <c r="I92" s="968"/>
      <c r="J92" s="986"/>
      <c r="K92" s="918">
        <v>300</v>
      </c>
      <c r="L92" s="542" t="e">
        <f>'통장내역(환율표)'!#REF!</f>
        <v>#REF!</v>
      </c>
      <c r="M92" s="1093" t="e">
        <f t="shared" si="12"/>
        <v>#REF!</v>
      </c>
      <c r="N92" s="928" t="e">
        <f t="shared" si="14"/>
        <v>#REF!</v>
      </c>
      <c r="O92" s="928" t="e">
        <f t="shared" si="15"/>
        <v>#REF!</v>
      </c>
      <c r="P92" s="911" t="s">
        <v>1260</v>
      </c>
      <c r="Q92" s="641"/>
      <c r="R92" s="911" t="s">
        <v>1389</v>
      </c>
      <c r="S92" s="883" t="e">
        <f t="shared" si="13"/>
        <v>#REF!</v>
      </c>
    </row>
    <row r="93" spans="2:19" ht="11.25" customHeight="1">
      <c r="B93" s="1055">
        <v>45740</v>
      </c>
      <c r="C93" s="916" t="s">
        <v>891</v>
      </c>
      <c r="D93" s="922"/>
      <c r="E93" s="917">
        <v>53</v>
      </c>
      <c r="F93" s="1052" t="s">
        <v>107</v>
      </c>
      <c r="G93" s="569"/>
      <c r="H93" s="986"/>
      <c r="I93" s="968"/>
      <c r="J93" s="986"/>
      <c r="K93" s="918">
        <v>13390</v>
      </c>
      <c r="L93" s="542" t="e">
        <f>'통장내역(환율표)'!#REF!</f>
        <v>#REF!</v>
      </c>
      <c r="M93" s="1093" t="e">
        <f t="shared" si="12"/>
        <v>#REF!</v>
      </c>
      <c r="N93" s="928" t="e">
        <f t="shared" si="14"/>
        <v>#REF!</v>
      </c>
      <c r="O93" s="928" t="e">
        <f t="shared" si="15"/>
        <v>#REF!</v>
      </c>
      <c r="P93" s="911" t="s">
        <v>1260</v>
      </c>
      <c r="Q93" s="641"/>
      <c r="R93" s="911" t="s">
        <v>1390</v>
      </c>
      <c r="S93" s="883" t="e">
        <f t="shared" si="13"/>
        <v>#REF!</v>
      </c>
    </row>
    <row r="94" spans="2:19" ht="11.25" customHeight="1">
      <c r="B94" s="1055">
        <v>45740</v>
      </c>
      <c r="C94" s="916" t="s">
        <v>939</v>
      </c>
      <c r="D94" s="922"/>
      <c r="E94" s="917">
        <v>53</v>
      </c>
      <c r="F94" s="1052" t="s">
        <v>107</v>
      </c>
      <c r="G94" s="569"/>
      <c r="H94" s="986"/>
      <c r="I94" s="968"/>
      <c r="J94" s="986"/>
      <c r="K94" s="918">
        <v>3281.57</v>
      </c>
      <c r="L94" s="542" t="e">
        <f>'통장내역(환율표)'!#REF!</f>
        <v>#REF!</v>
      </c>
      <c r="M94" s="1093" t="e">
        <f t="shared" si="12"/>
        <v>#REF!</v>
      </c>
      <c r="N94" s="928" t="e">
        <f t="shared" si="14"/>
        <v>#REF!</v>
      </c>
      <c r="O94" s="928" t="e">
        <f t="shared" si="15"/>
        <v>#REF!</v>
      </c>
      <c r="P94" s="911" t="s">
        <v>1260</v>
      </c>
      <c r="Q94" s="641"/>
      <c r="R94" s="911" t="s">
        <v>1390</v>
      </c>
      <c r="S94" s="883" t="e">
        <f t="shared" si="13"/>
        <v>#REF!</v>
      </c>
    </row>
    <row r="95" spans="2:19" ht="11.25" customHeight="1">
      <c r="B95" s="1055">
        <v>45740</v>
      </c>
      <c r="C95" s="916" t="s">
        <v>892</v>
      </c>
      <c r="D95" s="922"/>
      <c r="E95" s="917">
        <v>53</v>
      </c>
      <c r="F95" s="1052" t="s">
        <v>107</v>
      </c>
      <c r="G95" s="569"/>
      <c r="H95" s="986"/>
      <c r="I95" s="968"/>
      <c r="J95" s="986"/>
      <c r="K95" s="918">
        <v>300</v>
      </c>
      <c r="L95" s="542" t="e">
        <f>'통장내역(환율표)'!#REF!</f>
        <v>#REF!</v>
      </c>
      <c r="M95" s="1093">
        <v>41.56</v>
      </c>
      <c r="N95" s="928" t="e">
        <f t="shared" si="14"/>
        <v>#REF!</v>
      </c>
      <c r="O95" s="928" t="e">
        <f t="shared" si="15"/>
        <v>#REF!</v>
      </c>
      <c r="P95" s="911" t="s">
        <v>1260</v>
      </c>
      <c r="Q95" s="641"/>
      <c r="R95" s="911" t="s">
        <v>1390</v>
      </c>
      <c r="S95" s="883" t="e">
        <f t="shared" si="13"/>
        <v>#REF!</v>
      </c>
    </row>
    <row r="96" spans="2:19" ht="11.25" customHeight="1">
      <c r="B96" s="1055">
        <v>45740</v>
      </c>
      <c r="C96" s="916" t="s">
        <v>983</v>
      </c>
      <c r="D96" s="922"/>
      <c r="E96" s="917">
        <v>53</v>
      </c>
      <c r="F96" s="1052" t="s">
        <v>107</v>
      </c>
      <c r="G96" s="569"/>
      <c r="H96" s="986"/>
      <c r="I96" s="968"/>
      <c r="J96" s="986"/>
      <c r="K96" s="918">
        <v>900</v>
      </c>
      <c r="L96" s="542" t="e">
        <f>'통장내역(환율표)'!#REF!</f>
        <v>#REF!</v>
      </c>
      <c r="M96" s="1093" t="e">
        <f t="shared" ref="M96:M104" si="16">K96/L96</f>
        <v>#REF!</v>
      </c>
      <c r="N96" s="928" t="e">
        <f t="shared" si="14"/>
        <v>#REF!</v>
      </c>
      <c r="O96" s="928" t="e">
        <f t="shared" si="15"/>
        <v>#REF!</v>
      </c>
      <c r="P96" s="911" t="s">
        <v>1260</v>
      </c>
      <c r="Q96" s="641"/>
      <c r="R96" s="911" t="s">
        <v>1390</v>
      </c>
      <c r="S96" s="883" t="e">
        <f t="shared" si="13"/>
        <v>#REF!</v>
      </c>
    </row>
    <row r="97" spans="2:19" ht="11.25" customHeight="1">
      <c r="B97" s="1055">
        <v>45740</v>
      </c>
      <c r="C97" s="916" t="s">
        <v>891</v>
      </c>
      <c r="D97" s="922"/>
      <c r="E97" s="917">
        <v>53</v>
      </c>
      <c r="F97" s="1052" t="s">
        <v>107</v>
      </c>
      <c r="G97" s="569"/>
      <c r="H97" s="986"/>
      <c r="I97" s="968"/>
      <c r="J97" s="986"/>
      <c r="K97" s="918">
        <v>25750</v>
      </c>
      <c r="L97" s="542" t="e">
        <f>'통장내역(환율표)'!#REF!</f>
        <v>#REF!</v>
      </c>
      <c r="M97" s="1093" t="e">
        <f t="shared" si="16"/>
        <v>#REF!</v>
      </c>
      <c r="N97" s="928" t="e">
        <f t="shared" si="14"/>
        <v>#REF!</v>
      </c>
      <c r="O97" s="928" t="e">
        <f t="shared" si="15"/>
        <v>#REF!</v>
      </c>
      <c r="P97" s="911" t="s">
        <v>1260</v>
      </c>
      <c r="Q97" s="641"/>
      <c r="R97" s="911" t="s">
        <v>1277</v>
      </c>
      <c r="S97" s="883" t="e">
        <f t="shared" si="13"/>
        <v>#REF!</v>
      </c>
    </row>
    <row r="98" spans="2:19" ht="11.25" customHeight="1">
      <c r="B98" s="1055">
        <v>45740</v>
      </c>
      <c r="C98" s="916" t="s">
        <v>939</v>
      </c>
      <c r="D98" s="922"/>
      <c r="E98" s="917">
        <v>53</v>
      </c>
      <c r="F98" s="1052" t="s">
        <v>107</v>
      </c>
      <c r="G98" s="569"/>
      <c r="H98" s="986"/>
      <c r="I98" s="968"/>
      <c r="J98" s="986"/>
      <c r="K98" s="918">
        <v>7431.44</v>
      </c>
      <c r="L98" s="542" t="e">
        <f>'통장내역(환율표)'!#REF!</f>
        <v>#REF!</v>
      </c>
      <c r="M98" s="1093" t="e">
        <f t="shared" si="16"/>
        <v>#REF!</v>
      </c>
      <c r="N98" s="928" t="e">
        <f t="shared" si="14"/>
        <v>#REF!</v>
      </c>
      <c r="O98" s="928" t="e">
        <f t="shared" si="15"/>
        <v>#REF!</v>
      </c>
      <c r="P98" s="911" t="s">
        <v>1260</v>
      </c>
      <c r="Q98" s="641"/>
      <c r="R98" s="911" t="s">
        <v>1277</v>
      </c>
      <c r="S98" s="883" t="e">
        <f t="shared" si="13"/>
        <v>#REF!</v>
      </c>
    </row>
    <row r="99" spans="2:19" ht="11.25" customHeight="1">
      <c r="B99" s="1055">
        <v>45740</v>
      </c>
      <c r="C99" s="916" t="s">
        <v>892</v>
      </c>
      <c r="D99" s="922"/>
      <c r="E99" s="917">
        <v>53</v>
      </c>
      <c r="F99" s="1052" t="s">
        <v>107</v>
      </c>
      <c r="G99" s="569"/>
      <c r="H99" s="986"/>
      <c r="I99" s="968"/>
      <c r="J99" s="986"/>
      <c r="K99" s="918">
        <v>300</v>
      </c>
      <c r="L99" s="542" t="e">
        <f>'통장내역(환율표)'!#REF!</f>
        <v>#REF!</v>
      </c>
      <c r="M99" s="1093" t="e">
        <f t="shared" si="16"/>
        <v>#REF!</v>
      </c>
      <c r="N99" s="928" t="e">
        <f t="shared" si="14"/>
        <v>#REF!</v>
      </c>
      <c r="O99" s="928" t="e">
        <f t="shared" si="15"/>
        <v>#REF!</v>
      </c>
      <c r="P99" s="911" t="s">
        <v>1260</v>
      </c>
      <c r="Q99" s="641"/>
      <c r="R99" s="911" t="s">
        <v>1277</v>
      </c>
      <c r="S99" s="883" t="e">
        <f t="shared" si="13"/>
        <v>#REF!</v>
      </c>
    </row>
    <row r="100" spans="2:19" ht="11.25" customHeight="1">
      <c r="B100" s="1055">
        <v>45740</v>
      </c>
      <c r="C100" s="916" t="s">
        <v>891</v>
      </c>
      <c r="D100" s="922"/>
      <c r="E100" s="917">
        <v>53</v>
      </c>
      <c r="F100" s="1052" t="s">
        <v>107</v>
      </c>
      <c r="G100" s="569"/>
      <c r="H100" s="986"/>
      <c r="I100" s="968"/>
      <c r="J100" s="986"/>
      <c r="K100" s="918">
        <v>21300</v>
      </c>
      <c r="L100" s="542" t="e">
        <f>'통장내역(환율표)'!#REF!</f>
        <v>#REF!</v>
      </c>
      <c r="M100" s="1093" t="e">
        <f t="shared" si="16"/>
        <v>#REF!</v>
      </c>
      <c r="N100" s="928" t="e">
        <f t="shared" si="14"/>
        <v>#REF!</v>
      </c>
      <c r="O100" s="928" t="e">
        <f t="shared" si="15"/>
        <v>#REF!</v>
      </c>
      <c r="P100" s="911" t="s">
        <v>1260</v>
      </c>
      <c r="Q100" s="641"/>
      <c r="R100" s="911" t="s">
        <v>1427</v>
      </c>
      <c r="S100" s="883" t="e">
        <f t="shared" si="13"/>
        <v>#REF!</v>
      </c>
    </row>
    <row r="101" spans="2:19" ht="11.25" customHeight="1">
      <c r="B101" s="1055">
        <v>45740</v>
      </c>
      <c r="C101" s="916" t="s">
        <v>939</v>
      </c>
      <c r="D101" s="922"/>
      <c r="E101" s="917">
        <v>53</v>
      </c>
      <c r="F101" s="1052" t="s">
        <v>107</v>
      </c>
      <c r="G101" s="569"/>
      <c r="H101" s="986"/>
      <c r="I101" s="968"/>
      <c r="J101" s="986"/>
      <c r="K101" s="918">
        <v>5941.29</v>
      </c>
      <c r="L101" s="542" t="e">
        <f>'통장내역(환율표)'!#REF!</f>
        <v>#REF!</v>
      </c>
      <c r="M101" s="1093" t="e">
        <f t="shared" si="16"/>
        <v>#REF!</v>
      </c>
      <c r="N101" s="928" t="e">
        <f t="shared" si="14"/>
        <v>#REF!</v>
      </c>
      <c r="O101" s="928" t="e">
        <f t="shared" si="15"/>
        <v>#REF!</v>
      </c>
      <c r="P101" s="911" t="s">
        <v>1260</v>
      </c>
      <c r="Q101" s="641"/>
      <c r="R101" s="911" t="s">
        <v>1427</v>
      </c>
      <c r="S101" s="883" t="e">
        <f t="shared" si="13"/>
        <v>#REF!</v>
      </c>
    </row>
    <row r="102" spans="2:19" ht="11.25" customHeight="1">
      <c r="B102" s="1055">
        <v>45740</v>
      </c>
      <c r="C102" s="916" t="s">
        <v>892</v>
      </c>
      <c r="D102" s="922"/>
      <c r="E102" s="917">
        <v>53</v>
      </c>
      <c r="F102" s="1052" t="s">
        <v>107</v>
      </c>
      <c r="G102" s="569"/>
      <c r="H102" s="986"/>
      <c r="I102" s="968"/>
      <c r="J102" s="986"/>
      <c r="K102" s="918">
        <v>300</v>
      </c>
      <c r="L102" s="542" t="e">
        <f>'통장내역(환율표)'!#REF!</f>
        <v>#REF!</v>
      </c>
      <c r="M102" s="1093" t="e">
        <f t="shared" si="16"/>
        <v>#REF!</v>
      </c>
      <c r="N102" s="928" t="e">
        <f t="shared" si="14"/>
        <v>#REF!</v>
      </c>
      <c r="O102" s="928" t="e">
        <f t="shared" si="15"/>
        <v>#REF!</v>
      </c>
      <c r="P102" s="911" t="s">
        <v>1260</v>
      </c>
      <c r="Q102" s="641"/>
      <c r="R102" s="911" t="s">
        <v>1427</v>
      </c>
      <c r="S102" s="883" t="e">
        <f t="shared" si="13"/>
        <v>#REF!</v>
      </c>
    </row>
    <row r="103" spans="2:19" ht="11.25" customHeight="1">
      <c r="B103" s="1055">
        <v>45740</v>
      </c>
      <c r="C103" s="916" t="s">
        <v>983</v>
      </c>
      <c r="D103" s="922"/>
      <c r="E103" s="917">
        <v>53</v>
      </c>
      <c r="F103" s="1052" t="s">
        <v>107</v>
      </c>
      <c r="G103" s="569"/>
      <c r="H103" s="986"/>
      <c r="I103" s="968"/>
      <c r="J103" s="986"/>
      <c r="K103" s="918">
        <v>1000</v>
      </c>
      <c r="L103" s="542" t="e">
        <f>'통장내역(환율표)'!#REF!</f>
        <v>#REF!</v>
      </c>
      <c r="M103" s="1093" t="e">
        <f t="shared" si="16"/>
        <v>#REF!</v>
      </c>
      <c r="N103" s="928" t="e">
        <f t="shared" si="14"/>
        <v>#REF!</v>
      </c>
      <c r="O103" s="928" t="e">
        <f t="shared" si="15"/>
        <v>#REF!</v>
      </c>
      <c r="P103" s="911" t="s">
        <v>1260</v>
      </c>
      <c r="Q103" s="641"/>
      <c r="R103" s="911" t="s">
        <v>1427</v>
      </c>
      <c r="S103" s="883" t="e">
        <f t="shared" si="13"/>
        <v>#REF!</v>
      </c>
    </row>
    <row r="104" spans="2:19" ht="11.25" customHeight="1">
      <c r="B104" s="1055">
        <v>45740</v>
      </c>
      <c r="C104" s="916" t="s">
        <v>250</v>
      </c>
      <c r="D104" s="922"/>
      <c r="E104" s="917">
        <v>54</v>
      </c>
      <c r="F104" s="1052" t="s">
        <v>107</v>
      </c>
      <c r="G104" s="569"/>
      <c r="H104" s="986"/>
      <c r="I104" s="968"/>
      <c r="J104" s="986"/>
      <c r="K104" s="918">
        <v>12</v>
      </c>
      <c r="L104" s="542" t="e">
        <f>'통장내역(환율표)'!#REF!</f>
        <v>#REF!</v>
      </c>
      <c r="M104" s="1093" t="e">
        <f t="shared" si="16"/>
        <v>#REF!</v>
      </c>
      <c r="N104" s="909" t="e">
        <f t="shared" si="14"/>
        <v>#REF!</v>
      </c>
      <c r="O104" s="909" t="e">
        <f t="shared" si="15"/>
        <v>#REF!</v>
      </c>
      <c r="P104" s="911" t="s">
        <v>1260</v>
      </c>
      <c r="Q104" s="641"/>
      <c r="R104" s="641"/>
      <c r="S104" s="1086" t="e">
        <f t="shared" si="13"/>
        <v>#REF!</v>
      </c>
    </row>
    <row r="105" spans="2:19" ht="11.25" customHeight="1">
      <c r="M105" s="852"/>
    </row>
    <row r="106" spans="2:19" ht="11.25" customHeight="1">
      <c r="M106" s="852"/>
    </row>
  </sheetData>
  <autoFilter ref="B18:R104" xr:uid="{00000000-0009-0000-0000-000001000000}">
    <filterColumn colId="14" showButton="0"/>
    <sortState xmlns:xlrd2="http://schemas.microsoft.com/office/spreadsheetml/2017/richdata2" ref="B19:R104">
      <sortCondition sortBy="cellColor" ref="M18:M104" dxfId="14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26-74E3-42DD-8E91-4C195E9DC0DB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520" customWidth="1"/>
    <col min="4" max="4" width="9.69921875" style="461" customWidth="1"/>
    <col min="5" max="5" width="12.09765625" style="461" customWidth="1"/>
    <col min="6" max="6" width="12.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890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1066"/>
      <c r="D1" s="451"/>
      <c r="E1" s="453"/>
      <c r="F1" s="453"/>
      <c r="G1" s="454"/>
      <c r="H1" s="453"/>
      <c r="I1" s="453"/>
      <c r="J1" s="455"/>
      <c r="K1" s="1072"/>
      <c r="L1" s="456"/>
      <c r="M1" s="457"/>
      <c r="N1" s="457"/>
      <c r="O1" s="451"/>
      <c r="P1" s="458"/>
      <c r="Q1" s="458"/>
      <c r="R1" s="459"/>
      <c r="S1" s="460"/>
    </row>
    <row r="2" spans="1:29" ht="15" customHeight="1">
      <c r="B2" s="1053" t="s">
        <v>1430</v>
      </c>
      <c r="D2" s="520"/>
      <c r="F2" s="1004"/>
      <c r="G2" s="489" t="s">
        <v>1047</v>
      </c>
      <c r="H2" s="1005" t="s">
        <v>1398</v>
      </c>
      <c r="I2" s="525"/>
      <c r="J2" s="525"/>
      <c r="K2" s="1073"/>
      <c r="L2" s="525"/>
      <c r="M2" s="525"/>
      <c r="N2" s="767"/>
      <c r="O2" s="1006"/>
      <c r="Q2" s="1007"/>
    </row>
    <row r="3" spans="1:29" s="483" customFormat="1" ht="11.25" customHeight="1">
      <c r="A3" s="475"/>
      <c r="B3" s="476" t="s">
        <v>1423</v>
      </c>
      <c r="C3" s="477"/>
      <c r="D3" s="477"/>
      <c r="E3" s="477"/>
      <c r="F3" s="983">
        <v>1446.3</v>
      </c>
      <c r="G3" s="480"/>
      <c r="H3" s="476" t="s">
        <v>1431</v>
      </c>
      <c r="I3" s="477"/>
      <c r="K3" s="1074"/>
      <c r="L3" s="983">
        <v>1482.9</v>
      </c>
      <c r="N3" s="476"/>
      <c r="O3" s="476"/>
      <c r="P3" s="476"/>
      <c r="Q3" s="476"/>
      <c r="R3" s="476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1067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476"/>
      <c r="O4" s="476"/>
      <c r="P4" s="476"/>
      <c r="Q4" s="476"/>
      <c r="R4" s="476"/>
      <c r="U4" s="461"/>
    </row>
    <row r="5" spans="1:29" ht="11.25" customHeight="1">
      <c r="A5" s="492">
        <v>51131050</v>
      </c>
      <c r="B5" s="493" t="s">
        <v>1052</v>
      </c>
      <c r="C5" s="494" t="s">
        <v>12</v>
      </c>
      <c r="D5" s="500"/>
      <c r="E5" s="496"/>
      <c r="F5" s="497">
        <f>ROUND(E5*$F$3,0)</f>
        <v>0</v>
      </c>
      <c r="G5" s="498"/>
      <c r="H5" s="499" t="s">
        <v>11</v>
      </c>
      <c r="I5" s="499" t="s">
        <v>12</v>
      </c>
      <c r="J5" s="693">
        <v>19195.400000000001</v>
      </c>
      <c r="K5" s="1075">
        <v>2619.0300000000002</v>
      </c>
      <c r="L5" s="651">
        <f>ROUND(K5*$L$3,0)</f>
        <v>3883760</v>
      </c>
      <c r="M5" s="851">
        <f>L5+F5</f>
        <v>3883760</v>
      </c>
      <c r="N5" s="476"/>
      <c r="O5" s="476"/>
      <c r="P5" s="476"/>
      <c r="Q5" s="476"/>
      <c r="R5" s="476"/>
      <c r="S5" s="1036">
        <f>F5+L5+R5</f>
        <v>3883760</v>
      </c>
      <c r="U5" s="461"/>
    </row>
    <row r="6" spans="1:29" ht="11.25" customHeight="1">
      <c r="A6" s="492">
        <v>51061030</v>
      </c>
      <c r="B6" s="493" t="s">
        <v>1053</v>
      </c>
      <c r="C6" s="494" t="s">
        <v>1054</v>
      </c>
      <c r="D6" s="500"/>
      <c r="E6" s="500"/>
      <c r="F6" s="497">
        <f t="shared" ref="F6:F12" si="0">ROUND(E6*$F$3,0)</f>
        <v>0</v>
      </c>
      <c r="G6" s="502"/>
      <c r="H6" s="499" t="s">
        <v>13</v>
      </c>
      <c r="I6" s="499" t="s">
        <v>14</v>
      </c>
      <c r="J6" s="693">
        <v>30648.809999999998</v>
      </c>
      <c r="K6" s="1075">
        <v>4181.74</v>
      </c>
      <c r="L6" s="651">
        <f t="shared" ref="L6:L12" si="1">ROUND(K6*$L$3,0)</f>
        <v>6201102</v>
      </c>
      <c r="M6" s="851">
        <f t="shared" ref="M6:M13" si="2">L6+F6</f>
        <v>6201102</v>
      </c>
      <c r="N6" s="476"/>
      <c r="O6" s="476"/>
      <c r="P6" s="476"/>
      <c r="Q6" s="476"/>
      <c r="R6" s="476"/>
      <c r="S6" s="1036">
        <f t="shared" ref="S6:S13" si="3">F6+L6+R6</f>
        <v>6201102</v>
      </c>
      <c r="U6" s="461"/>
      <c r="AB6" s="525"/>
      <c r="AC6" s="489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142.16999999999999</v>
      </c>
      <c r="E7" s="500">
        <v>19.7</v>
      </c>
      <c r="F7" s="497">
        <f t="shared" si="0"/>
        <v>28492</v>
      </c>
      <c r="G7" s="503"/>
      <c r="H7" s="499" t="s">
        <v>15</v>
      </c>
      <c r="I7" s="499" t="s">
        <v>1055</v>
      </c>
      <c r="J7" s="694">
        <v>24914.83</v>
      </c>
      <c r="K7" s="1076">
        <v>3399.39</v>
      </c>
      <c r="L7" s="651">
        <f t="shared" si="1"/>
        <v>5040955</v>
      </c>
      <c r="M7" s="851">
        <f t="shared" si="2"/>
        <v>5069447</v>
      </c>
      <c r="N7" s="476"/>
      <c r="O7" s="476"/>
      <c r="P7" s="476"/>
      <c r="Q7" s="476"/>
      <c r="R7" s="476"/>
      <c r="S7" s="1036">
        <f t="shared" si="3"/>
        <v>5069447</v>
      </c>
      <c r="U7" s="461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17500</v>
      </c>
      <c r="K8" s="1076">
        <v>2387.71</v>
      </c>
      <c r="L8" s="651">
        <f t="shared" si="1"/>
        <v>3540735</v>
      </c>
      <c r="M8" s="851">
        <f t="shared" si="2"/>
        <v>3540735</v>
      </c>
      <c r="N8" s="476"/>
      <c r="O8" s="476"/>
      <c r="P8" s="476"/>
      <c r="Q8" s="476"/>
      <c r="R8" s="476"/>
      <c r="S8" s="1036">
        <f t="shared" si="3"/>
        <v>3540735</v>
      </c>
      <c r="U8" s="461"/>
    </row>
    <row r="9" spans="1:29" ht="11.25" customHeight="1">
      <c r="A9" s="492">
        <v>51071700</v>
      </c>
      <c r="B9" s="493" t="s">
        <v>19</v>
      </c>
      <c r="C9" s="494" t="s">
        <v>20</v>
      </c>
      <c r="D9" s="500"/>
      <c r="E9" s="500"/>
      <c r="F9" s="497">
        <f t="shared" si="0"/>
        <v>0</v>
      </c>
      <c r="G9" s="504"/>
      <c r="H9" s="499" t="s">
        <v>19</v>
      </c>
      <c r="I9" s="494" t="s">
        <v>20</v>
      </c>
      <c r="J9" s="694">
        <v>1469.1</v>
      </c>
      <c r="K9" s="1076">
        <v>200.44</v>
      </c>
      <c r="L9" s="651">
        <f t="shared" si="1"/>
        <v>297232</v>
      </c>
      <c r="M9" s="851">
        <f t="shared" si="2"/>
        <v>297232</v>
      </c>
      <c r="N9" s="476"/>
      <c r="O9" s="476"/>
      <c r="P9" s="476"/>
      <c r="Q9" s="476"/>
      <c r="R9" s="476"/>
      <c r="S9" s="1036">
        <f t="shared" si="3"/>
        <v>297232</v>
      </c>
      <c r="U9" s="461"/>
    </row>
    <row r="10" spans="1:29" ht="11.25" customHeight="1">
      <c r="A10" s="492">
        <v>51321010</v>
      </c>
      <c r="B10" s="493" t="s">
        <v>21</v>
      </c>
      <c r="C10" s="494"/>
      <c r="D10" s="500">
        <v>52250.879999999997</v>
      </c>
      <c r="E10" s="500">
        <v>7239.17</v>
      </c>
      <c r="F10" s="497">
        <f t="shared" si="0"/>
        <v>10470012</v>
      </c>
      <c r="G10" s="505"/>
      <c r="H10" s="499" t="s">
        <v>21</v>
      </c>
      <c r="I10" s="499"/>
      <c r="J10" s="693">
        <v>265516.81</v>
      </c>
      <c r="K10" s="1075">
        <v>36252.26</v>
      </c>
      <c r="L10" s="651">
        <f t="shared" si="1"/>
        <v>53758476</v>
      </c>
      <c r="M10" s="851">
        <f t="shared" si="2"/>
        <v>64228488</v>
      </c>
      <c r="N10" s="476"/>
      <c r="O10" s="476"/>
      <c r="P10" s="476"/>
      <c r="Q10" s="476"/>
      <c r="R10" s="476"/>
      <c r="S10" s="1036">
        <f t="shared" si="3"/>
        <v>64228488</v>
      </c>
      <c r="U10" s="461"/>
      <c r="AB10" s="525"/>
      <c r="AC10" s="489"/>
    </row>
    <row r="11" spans="1:29" ht="11.25" customHeight="1">
      <c r="A11" s="492">
        <v>51031020</v>
      </c>
      <c r="B11" s="507" t="s">
        <v>1057</v>
      </c>
      <c r="C11" s="1068" t="s">
        <v>1058</v>
      </c>
      <c r="D11" s="507"/>
      <c r="E11" s="507"/>
      <c r="F11" s="509"/>
      <c r="G11" s="510">
        <f>G13/G12</f>
        <v>1446.3000439462342</v>
      </c>
      <c r="H11" s="507" t="s">
        <v>1057</v>
      </c>
      <c r="I11" s="507" t="s">
        <v>1279</v>
      </c>
      <c r="J11" s="511"/>
      <c r="K11" s="1077"/>
      <c r="L11" s="854">
        <f t="shared" si="1"/>
        <v>0</v>
      </c>
      <c r="M11" s="851">
        <f t="shared" si="2"/>
        <v>0</v>
      </c>
      <c r="N11" s="476"/>
      <c r="O11" s="844"/>
      <c r="P11" s="844"/>
      <c r="Q11" s="844"/>
      <c r="R11" s="476"/>
      <c r="S11" s="1036">
        <f t="shared" si="3"/>
        <v>0</v>
      </c>
      <c r="U11" s="461"/>
      <c r="AB11" s="525"/>
      <c r="AC11" s="489"/>
    </row>
    <row r="12" spans="1:29" ht="11.25" customHeight="1">
      <c r="A12" s="492">
        <v>52981010</v>
      </c>
      <c r="B12" s="499" t="s">
        <v>1059</v>
      </c>
      <c r="C12" s="494" t="s">
        <v>1060</v>
      </c>
      <c r="D12" s="926"/>
      <c r="E12" s="500"/>
      <c r="F12" s="497">
        <f t="shared" si="0"/>
        <v>0</v>
      </c>
      <c r="G12" s="512">
        <f>E13+Q13+AB13</f>
        <v>7258.87</v>
      </c>
      <c r="H12" s="499" t="s">
        <v>1059</v>
      </c>
      <c r="I12" s="499" t="s">
        <v>1060</v>
      </c>
      <c r="J12" s="495"/>
      <c r="K12" s="1078"/>
      <c r="L12" s="651">
        <f t="shared" si="1"/>
        <v>0</v>
      </c>
      <c r="M12" s="851">
        <f t="shared" si="2"/>
        <v>0</v>
      </c>
      <c r="N12" s="476"/>
      <c r="O12" s="844"/>
      <c r="P12" s="844"/>
      <c r="Q12" s="844"/>
      <c r="R12" s="476"/>
      <c r="S12" s="1036">
        <f t="shared" si="3"/>
        <v>0</v>
      </c>
      <c r="U12" s="461"/>
      <c r="AB12" s="525"/>
      <c r="AC12" s="489"/>
    </row>
    <row r="13" spans="1:29" s="489" customFormat="1" ht="11.25" customHeight="1">
      <c r="A13" s="867"/>
      <c r="B13" s="868" t="s">
        <v>22</v>
      </c>
      <c r="C13" s="1069"/>
      <c r="D13" s="515">
        <f>SUM(D5:D11)-D12</f>
        <v>52393.049999999996</v>
      </c>
      <c r="E13" s="1089">
        <f>SUM(E5:E11)-E12</f>
        <v>7258.87</v>
      </c>
      <c r="F13" s="870">
        <f>SUM(F5:F11)-F12</f>
        <v>10498504</v>
      </c>
      <c r="G13" s="518">
        <f>F13+R13+AC13</f>
        <v>10498504</v>
      </c>
      <c r="H13" s="868" t="s">
        <v>22</v>
      </c>
      <c r="I13" s="869"/>
      <c r="J13" s="515">
        <f>SUM(J5:J11)-J12</f>
        <v>359244.95</v>
      </c>
      <c r="K13" s="490">
        <f>SUM(K5:K11)-K12</f>
        <v>49040.57</v>
      </c>
      <c r="L13" s="870">
        <f>SUM(L5:L11)-L12</f>
        <v>72722260</v>
      </c>
      <c r="M13" s="889">
        <f t="shared" si="2"/>
        <v>83220764</v>
      </c>
      <c r="N13" s="476"/>
      <c r="O13" s="844"/>
      <c r="P13" s="844"/>
      <c r="Q13" s="844"/>
      <c r="R13" s="476"/>
      <c r="S13" s="1036">
        <f t="shared" si="3"/>
        <v>83220764</v>
      </c>
      <c r="U13" s="850"/>
      <c r="X13" s="844">
        <f>F13+R13</f>
        <v>10498504</v>
      </c>
      <c r="Y13" s="876"/>
      <c r="Z13" s="890"/>
      <c r="AB13" s="526"/>
    </row>
    <row r="14" spans="1:29" ht="14.25" customHeight="1">
      <c r="A14" s="449"/>
      <c r="D14" s="1088"/>
      <c r="E14" s="1088"/>
      <c r="F14" s="1090"/>
      <c r="G14" s="524"/>
      <c r="J14" s="929">
        <f>J13+D13+P13</f>
        <v>411638</v>
      </c>
      <c r="K14" s="1079">
        <f>K13+E13+Q13</f>
        <v>56299.44</v>
      </c>
      <c r="L14" s="904">
        <f>L13+F13+R13</f>
        <v>83220764</v>
      </c>
      <c r="M14" s="865" t="e">
        <f>M16-E12</f>
        <v>#REF!</v>
      </c>
      <c r="N14" s="476"/>
      <c r="O14" s="844"/>
      <c r="P14" s="844"/>
      <c r="Q14" s="844"/>
      <c r="R14" s="476"/>
      <c r="X14" s="525"/>
      <c r="Y14" s="525"/>
      <c r="AB14" s="525"/>
      <c r="AC14" s="489"/>
    </row>
    <row r="15" spans="1:29" ht="14.25" customHeight="1">
      <c r="A15" s="449"/>
      <c r="D15" s="1088"/>
      <c r="E15" s="1088"/>
      <c r="F15" s="1088"/>
      <c r="G15" s="524"/>
      <c r="J15" s="865" t="e">
        <f>J16-#REF!</f>
        <v>#REF!</v>
      </c>
      <c r="K15" s="865" t="e">
        <f>K16-#REF!</f>
        <v>#REF!</v>
      </c>
      <c r="L15" s="865" t="e">
        <f>L16-#REF!</f>
        <v>#REF!</v>
      </c>
      <c r="M15" s="865" t="e">
        <f>M16-#REF!</f>
        <v>#REF!</v>
      </c>
      <c r="O15" s="844"/>
      <c r="P15" s="844"/>
      <c r="Q15" s="844"/>
      <c r="R15" s="845"/>
      <c r="X15" s="525"/>
      <c r="Y15" s="525"/>
      <c r="AB15" s="525"/>
      <c r="AC15" s="489"/>
    </row>
    <row r="16" spans="1:29" ht="18.75" customHeight="1">
      <c r="A16" s="449"/>
      <c r="D16" s="520"/>
      <c r="E16" s="523"/>
      <c r="F16" s="523"/>
      <c r="G16" s="524"/>
      <c r="I16" s="525"/>
      <c r="J16" s="526"/>
      <c r="K16" s="1080">
        <f>SUBTOTAL(9,K19:K105)</f>
        <v>123285</v>
      </c>
      <c r="L16" s="1009"/>
      <c r="M16" s="1080" t="e">
        <f>SUBTOTAL(9,M19:M105)</f>
        <v>#REF!</v>
      </c>
      <c r="N16" s="525"/>
      <c r="Q16" s="525"/>
    </row>
    <row r="17" spans="1:29" ht="11.25" customHeight="1">
      <c r="A17" s="449"/>
      <c r="B17" s="1038" t="s">
        <v>24</v>
      </c>
      <c r="C17" s="1070" t="s">
        <v>25</v>
      </c>
      <c r="D17" s="1039" t="s">
        <v>1061</v>
      </c>
      <c r="E17" s="1040" t="s">
        <v>26</v>
      </c>
      <c r="F17" s="1039" t="s">
        <v>1</v>
      </c>
      <c r="G17" s="1041" t="s">
        <v>2</v>
      </c>
      <c r="H17" s="2083" t="s">
        <v>29</v>
      </c>
      <c r="I17" s="2083"/>
      <c r="J17" s="2083"/>
      <c r="K17" s="2083" t="s">
        <v>30</v>
      </c>
      <c r="L17" s="2083"/>
      <c r="M17" s="2084"/>
      <c r="N17" s="2085" t="s">
        <v>31</v>
      </c>
      <c r="O17" s="2085"/>
      <c r="P17" s="2086"/>
      <c r="Q17" s="2086"/>
      <c r="R17" s="1041" t="s">
        <v>1062</v>
      </c>
    </row>
    <row r="18" spans="1:29" ht="11.25" customHeight="1">
      <c r="A18" s="449"/>
      <c r="B18" s="1042" t="s">
        <v>1063</v>
      </c>
      <c r="C18" s="1071" t="s">
        <v>1064</v>
      </c>
      <c r="D18" s="1043" t="s">
        <v>1065</v>
      </c>
      <c r="E18" s="1044" t="s">
        <v>1066</v>
      </c>
      <c r="F18" s="1043" t="s">
        <v>1067</v>
      </c>
      <c r="G18" s="1045" t="s">
        <v>1068</v>
      </c>
      <c r="H18" s="1046" t="s">
        <v>1069</v>
      </c>
      <c r="I18" s="1046" t="s">
        <v>1070</v>
      </c>
      <c r="J18" s="1047" t="s">
        <v>34</v>
      </c>
      <c r="K18" s="1047" t="s">
        <v>1069</v>
      </c>
      <c r="L18" s="1046" t="s">
        <v>1070</v>
      </c>
      <c r="M18" s="1085" t="s">
        <v>34</v>
      </c>
      <c r="N18" s="1048" t="s">
        <v>1069</v>
      </c>
      <c r="O18" s="1048" t="s">
        <v>34</v>
      </c>
      <c r="P18" s="2087" t="s">
        <v>32</v>
      </c>
      <c r="Q18" s="2087"/>
      <c r="R18" s="1045" t="s">
        <v>1062</v>
      </c>
    </row>
    <row r="19" spans="1:29" ht="11.25" hidden="1" customHeight="1">
      <c r="B19" s="657">
        <v>45747</v>
      </c>
      <c r="C19" s="660"/>
      <c r="D19" s="658"/>
      <c r="E19" s="660"/>
      <c r="F19" s="863"/>
      <c r="G19" s="661"/>
      <c r="H19" s="662"/>
      <c r="I19" s="658"/>
      <c r="J19" s="661"/>
      <c r="K19" s="1107"/>
      <c r="L19" s="663"/>
      <c r="M19" s="906"/>
      <c r="N19" s="907">
        <v>52366.410000000564</v>
      </c>
      <c r="O19" s="907">
        <v>7258.8679692091628</v>
      </c>
      <c r="P19" s="908"/>
      <c r="Q19" s="660"/>
      <c r="R19" s="665"/>
      <c r="S19" s="846">
        <v>7258.866444387002</v>
      </c>
    </row>
    <row r="20" spans="1:29" s="574" customFormat="1" ht="12" hidden="1" customHeight="1">
      <c r="A20" s="544"/>
      <c r="B20" s="1055">
        <v>45757</v>
      </c>
      <c r="C20" s="1097" t="s">
        <v>1432</v>
      </c>
      <c r="D20" s="1207"/>
      <c r="E20" s="917">
        <v>1</v>
      </c>
      <c r="F20" s="986" t="s">
        <v>107</v>
      </c>
      <c r="G20" s="986"/>
      <c r="H20" s="986"/>
      <c r="I20" s="986"/>
      <c r="J20" s="986"/>
      <c r="K20" s="1108">
        <v>52250.879999999997</v>
      </c>
      <c r="L20" s="542" t="e">
        <f>'통장내역(환율표)'!#REF!</f>
        <v>#REF!</v>
      </c>
      <c r="M20" s="1093" t="e">
        <f t="shared" ref="M20" si="4">K20/L20</f>
        <v>#REF!</v>
      </c>
      <c r="N20" s="928">
        <f t="shared" ref="N20" si="5">N19+H20-K20</f>
        <v>115.53000000056636</v>
      </c>
      <c r="O20" s="928" t="e">
        <f t="shared" ref="O20" si="6">O19+J20-M20</f>
        <v>#REF!</v>
      </c>
      <c r="P20" s="911" t="s">
        <v>1260</v>
      </c>
      <c r="Q20" s="641"/>
      <c r="R20" s="641"/>
      <c r="S20" s="883" t="e">
        <f>S19-M20+J20</f>
        <v>#REF!</v>
      </c>
      <c r="T20" s="461"/>
      <c r="V20" s="461"/>
      <c r="W20" s="461"/>
      <c r="X20" s="461"/>
      <c r="Y20" s="461"/>
      <c r="Z20" s="461"/>
      <c r="AA20" s="461"/>
      <c r="AB20" s="461"/>
      <c r="AC20" s="461"/>
    </row>
    <row r="21" spans="1:29" s="574" customFormat="1" ht="12" hidden="1" customHeight="1">
      <c r="A21" s="544"/>
      <c r="B21" s="1094">
        <v>45757</v>
      </c>
      <c r="C21" s="1098" t="s">
        <v>823</v>
      </c>
      <c r="D21" s="1095"/>
      <c r="E21" s="914">
        <v>2</v>
      </c>
      <c r="F21" s="1082"/>
      <c r="G21" s="1082"/>
      <c r="H21" s="1099">
        <v>404322.65</v>
      </c>
      <c r="I21" s="1100"/>
      <c r="J21" s="1099">
        <v>55191</v>
      </c>
      <c r="K21" s="1109"/>
      <c r="L21" s="706"/>
      <c r="M21" s="948"/>
      <c r="N21" s="928">
        <f t="shared" ref="N21:N23" si="7">N20+H21-K21</f>
        <v>404438.18000000058</v>
      </c>
      <c r="O21" s="928" t="e">
        <f t="shared" ref="O21:O23" si="8">O20+J21-M21</f>
        <v>#REF!</v>
      </c>
      <c r="P21" s="927"/>
      <c r="Q21" s="710"/>
      <c r="R21" s="710"/>
      <c r="S21" s="883"/>
      <c r="T21" s="461"/>
      <c r="V21" s="461"/>
      <c r="W21" s="461"/>
      <c r="X21" s="461"/>
      <c r="Y21" s="461"/>
      <c r="Z21" s="461"/>
      <c r="AA21" s="461"/>
      <c r="AB21" s="461"/>
      <c r="AC21" s="461"/>
    </row>
    <row r="22" spans="1:29" s="574" customFormat="1" ht="12" hidden="1" customHeight="1">
      <c r="A22" s="544"/>
      <c r="B22" s="1094">
        <v>45757</v>
      </c>
      <c r="C22" s="946" t="s">
        <v>250</v>
      </c>
      <c r="D22" s="1095"/>
      <c r="E22" s="914"/>
      <c r="F22" s="1082" t="s">
        <v>107</v>
      </c>
      <c r="G22" s="1082"/>
      <c r="H22" s="1099"/>
      <c r="I22" s="1100"/>
      <c r="J22" s="1099"/>
      <c r="K22" s="1109"/>
      <c r="L22" s="706"/>
      <c r="M22" s="1096">
        <v>25</v>
      </c>
      <c r="N22" s="928">
        <f t="shared" si="7"/>
        <v>404438.18000000058</v>
      </c>
      <c r="O22" s="928" t="e">
        <f t="shared" si="8"/>
        <v>#REF!</v>
      </c>
      <c r="P22" s="927" t="s">
        <v>1445</v>
      </c>
      <c r="Q22" s="710"/>
      <c r="R22" s="710"/>
      <c r="S22" s="883"/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2" hidden="1" customHeight="1">
      <c r="A23" s="544"/>
      <c r="B23" s="1055">
        <v>45762</v>
      </c>
      <c r="C23" s="964" t="s">
        <v>1352</v>
      </c>
      <c r="D23" s="922"/>
      <c r="E23" s="917">
        <v>3</v>
      </c>
      <c r="F23" s="986" t="s">
        <v>105</v>
      </c>
      <c r="G23" s="986" t="s">
        <v>1122</v>
      </c>
      <c r="H23" s="986"/>
      <c r="I23" s="986"/>
      <c r="J23" s="986"/>
      <c r="K23" s="1083" t="e">
        <f>L23*M23</f>
        <v>#REF!</v>
      </c>
      <c r="L23" s="542" t="e">
        <f>'통장내역(환율표)'!#REF!</f>
        <v>#REF!</v>
      </c>
      <c r="M23" s="1093">
        <v>19.696706274948156</v>
      </c>
      <c r="N23" s="928" t="e">
        <f t="shared" si="7"/>
        <v>#REF!</v>
      </c>
      <c r="O23" s="928" t="e">
        <f t="shared" si="8"/>
        <v>#REF!</v>
      </c>
      <c r="P23" s="911" t="s">
        <v>1260</v>
      </c>
      <c r="Q23" s="641"/>
      <c r="R23" s="641"/>
      <c r="S23" s="883"/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hidden="1" customHeight="1">
      <c r="A24" s="544"/>
      <c r="B24" s="1055">
        <v>45762</v>
      </c>
      <c r="C24" s="964" t="s">
        <v>1352</v>
      </c>
      <c r="D24" s="922"/>
      <c r="E24" s="917">
        <v>3</v>
      </c>
      <c r="F24" s="986" t="s">
        <v>105</v>
      </c>
      <c r="G24" s="986" t="s">
        <v>1122</v>
      </c>
      <c r="H24" s="986"/>
      <c r="I24" s="986"/>
      <c r="J24" s="986"/>
      <c r="K24" s="1083" t="e">
        <f>25057-K23</f>
        <v>#REF!</v>
      </c>
      <c r="L24" s="542" t="e">
        <f>'통장내역(환율표)'!#REF!</f>
        <v>#REF!</v>
      </c>
      <c r="M24" s="1096" t="e">
        <f t="shared" ref="M24" si="9">K24/L24</f>
        <v>#REF!</v>
      </c>
      <c r="N24" s="928" t="e">
        <f t="shared" ref="N24:N87" si="10">N23+H24-K24</f>
        <v>#REF!</v>
      </c>
      <c r="O24" s="928" t="e">
        <f t="shared" ref="O24:O87" si="11">O23+J24-M24</f>
        <v>#REF!</v>
      </c>
      <c r="P24" s="911" t="s">
        <v>1445</v>
      </c>
      <c r="Q24" s="641"/>
      <c r="R24" s="1102"/>
      <c r="S24" s="883" t="e">
        <f>55166-M24</f>
        <v>#REF!</v>
      </c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2" hidden="1" customHeight="1">
      <c r="A25" s="544"/>
      <c r="B25" s="1055">
        <v>45762</v>
      </c>
      <c r="C25" s="916" t="s">
        <v>250</v>
      </c>
      <c r="D25" s="1207"/>
      <c r="E25" s="917">
        <v>4</v>
      </c>
      <c r="F25" s="986" t="s">
        <v>107</v>
      </c>
      <c r="G25" s="986"/>
      <c r="H25" s="986"/>
      <c r="I25" s="986"/>
      <c r="J25" s="986"/>
      <c r="K25" s="1108">
        <v>7.2</v>
      </c>
      <c r="L25" s="542" t="e">
        <f>'통장내역(환율표)'!#REF!</f>
        <v>#REF!</v>
      </c>
      <c r="M25" s="1096" t="e">
        <f t="shared" ref="M25:M88" si="12">K25/L25</f>
        <v>#REF!</v>
      </c>
      <c r="N25" s="928" t="e">
        <f t="shared" si="10"/>
        <v>#REF!</v>
      </c>
      <c r="O25" s="928" t="e">
        <f t="shared" si="11"/>
        <v>#REF!</v>
      </c>
      <c r="P25" s="911" t="s">
        <v>1445</v>
      </c>
      <c r="Q25" s="641"/>
      <c r="R25" s="1102"/>
      <c r="S25" s="883" t="e">
        <f>S24-M25+J25</f>
        <v>#REF!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574" customFormat="1" ht="12" hidden="1" customHeight="1">
      <c r="A26" s="544"/>
      <c r="B26" s="1055">
        <v>45762</v>
      </c>
      <c r="C26" s="964" t="s">
        <v>1276</v>
      </c>
      <c r="D26" s="922"/>
      <c r="E26" s="917">
        <v>5</v>
      </c>
      <c r="F26" s="1052" t="s">
        <v>146</v>
      </c>
      <c r="G26" s="569" t="s">
        <v>147</v>
      </c>
      <c r="H26" s="986"/>
      <c r="I26" s="986"/>
      <c r="J26" s="986"/>
      <c r="K26" s="1083">
        <v>1600</v>
      </c>
      <c r="L26" s="542" t="e">
        <f>'통장내역(환율표)'!#REF!</f>
        <v>#REF!</v>
      </c>
      <c r="M26" s="1096" t="e">
        <f t="shared" si="12"/>
        <v>#REF!</v>
      </c>
      <c r="N26" s="928" t="e">
        <f t="shared" si="10"/>
        <v>#REF!</v>
      </c>
      <c r="O26" s="928" t="e">
        <f t="shared" si="11"/>
        <v>#REF!</v>
      </c>
      <c r="P26" s="911" t="s">
        <v>1445</v>
      </c>
      <c r="Q26" s="641"/>
      <c r="R26" s="1102"/>
      <c r="S26" s="883" t="e">
        <f t="shared" ref="S26:S89" si="13">S25-M26+J26</f>
        <v>#REF!</v>
      </c>
      <c r="T26" s="461"/>
      <c r="V26" s="461"/>
      <c r="W26" s="461"/>
      <c r="X26" s="461"/>
      <c r="Y26" s="461"/>
      <c r="Z26" s="461"/>
      <c r="AA26" s="461"/>
      <c r="AB26" s="461"/>
      <c r="AC26" s="461"/>
    </row>
    <row r="27" spans="1:29" s="574" customFormat="1" ht="12" hidden="1" customHeight="1">
      <c r="A27" s="544"/>
      <c r="B27" s="1055">
        <v>45762</v>
      </c>
      <c r="C27" s="916" t="s">
        <v>250</v>
      </c>
      <c r="D27" s="1207"/>
      <c r="E27" s="917">
        <v>6</v>
      </c>
      <c r="F27" s="986" t="s">
        <v>107</v>
      </c>
      <c r="G27" s="986"/>
      <c r="H27" s="986"/>
      <c r="I27" s="986"/>
      <c r="J27" s="986"/>
      <c r="K27" s="1083">
        <v>3.6</v>
      </c>
      <c r="L27" s="542" t="e">
        <f>'통장내역(환율표)'!#REF!</f>
        <v>#REF!</v>
      </c>
      <c r="M27" s="1096" t="e">
        <f t="shared" si="12"/>
        <v>#REF!</v>
      </c>
      <c r="N27" s="928" t="e">
        <f t="shared" si="10"/>
        <v>#REF!</v>
      </c>
      <c r="O27" s="928" t="e">
        <f t="shared" si="11"/>
        <v>#REF!</v>
      </c>
      <c r="P27" s="911" t="s">
        <v>1445</v>
      </c>
      <c r="Q27" s="641"/>
      <c r="R27" s="1102"/>
      <c r="S27" s="883" t="e">
        <f t="shared" si="13"/>
        <v>#REF!</v>
      </c>
      <c r="T27" s="461"/>
      <c r="V27" s="461"/>
      <c r="W27" s="461"/>
      <c r="X27" s="461"/>
      <c r="Y27" s="461"/>
      <c r="Z27" s="461"/>
      <c r="AA27" s="461"/>
      <c r="AB27" s="461"/>
      <c r="AC27" s="461"/>
    </row>
    <row r="28" spans="1:29" s="574" customFormat="1" ht="12" hidden="1" customHeight="1">
      <c r="A28" s="544"/>
      <c r="B28" s="1055">
        <v>45768</v>
      </c>
      <c r="C28" s="964" t="s">
        <v>242</v>
      </c>
      <c r="D28" s="1207"/>
      <c r="E28" s="917">
        <v>7</v>
      </c>
      <c r="F28" s="986" t="s">
        <v>107</v>
      </c>
      <c r="G28" s="986"/>
      <c r="H28" s="986"/>
      <c r="I28" s="986"/>
      <c r="J28" s="986"/>
      <c r="K28" s="1083">
        <v>1010</v>
      </c>
      <c r="L28" s="542" t="e">
        <f>'통장내역(환율표)'!#REF!</f>
        <v>#REF!</v>
      </c>
      <c r="M28" s="1096" t="e">
        <f t="shared" si="12"/>
        <v>#REF!</v>
      </c>
      <c r="N28" s="928" t="e">
        <f t="shared" si="10"/>
        <v>#REF!</v>
      </c>
      <c r="O28" s="928" t="e">
        <f t="shared" si="11"/>
        <v>#REF!</v>
      </c>
      <c r="P28" s="911" t="s">
        <v>1445</v>
      </c>
      <c r="Q28" s="641"/>
      <c r="R28" s="1102"/>
      <c r="S28" s="883" t="e">
        <f t="shared" si="13"/>
        <v>#REF!</v>
      </c>
      <c r="T28" s="461"/>
      <c r="V28" s="461"/>
      <c r="W28" s="461"/>
      <c r="X28" s="461"/>
      <c r="Y28" s="461"/>
      <c r="Z28" s="461"/>
      <c r="AA28" s="461"/>
      <c r="AB28" s="461"/>
      <c r="AC28" s="461"/>
    </row>
    <row r="29" spans="1:29" s="574" customFormat="1" ht="12" hidden="1" customHeight="1">
      <c r="A29" s="544"/>
      <c r="B29" s="1055">
        <v>45768</v>
      </c>
      <c r="C29" s="916" t="s">
        <v>250</v>
      </c>
      <c r="D29" s="1207"/>
      <c r="E29" s="917">
        <v>8</v>
      </c>
      <c r="F29" s="986" t="s">
        <v>107</v>
      </c>
      <c r="G29" s="986"/>
      <c r="H29" s="986"/>
      <c r="I29" s="986"/>
      <c r="J29" s="986"/>
      <c r="K29" s="1083">
        <v>3.6</v>
      </c>
      <c r="L29" s="542" t="e">
        <f>'통장내역(환율표)'!#REF!</f>
        <v>#REF!</v>
      </c>
      <c r="M29" s="1096" t="e">
        <f t="shared" si="12"/>
        <v>#REF!</v>
      </c>
      <c r="N29" s="928" t="e">
        <f t="shared" si="10"/>
        <v>#REF!</v>
      </c>
      <c r="O29" s="928" t="e">
        <f t="shared" si="11"/>
        <v>#REF!</v>
      </c>
      <c r="P29" s="911" t="s">
        <v>1445</v>
      </c>
      <c r="Q29" s="641"/>
      <c r="R29" s="1102"/>
      <c r="S29" s="883" t="e">
        <f t="shared" si="13"/>
        <v>#REF!</v>
      </c>
      <c r="T29" s="461"/>
      <c r="V29" s="461"/>
      <c r="W29" s="461"/>
      <c r="X29" s="461"/>
      <c r="Y29" s="461"/>
      <c r="Z29" s="461"/>
      <c r="AA29" s="461"/>
      <c r="AB29" s="461"/>
      <c r="AC29" s="461"/>
    </row>
    <row r="30" spans="1:29" s="489" customFormat="1" ht="11.25" hidden="1" customHeight="1">
      <c r="A30" s="544"/>
      <c r="B30" s="1055">
        <v>45768</v>
      </c>
      <c r="C30" s="916" t="s">
        <v>305</v>
      </c>
      <c r="D30" s="922"/>
      <c r="E30" s="922">
        <v>9</v>
      </c>
      <c r="F30" s="1052" t="s">
        <v>105</v>
      </c>
      <c r="G30" s="569" t="s">
        <v>227</v>
      </c>
      <c r="H30" s="923"/>
      <c r="I30" s="988"/>
      <c r="J30" s="988"/>
      <c r="K30" s="918">
        <v>10500</v>
      </c>
      <c r="L30" s="542" t="e">
        <f>'통장내역(환율표)'!#REF!</f>
        <v>#REF!</v>
      </c>
      <c r="M30" s="1096" t="e">
        <f t="shared" si="12"/>
        <v>#REF!</v>
      </c>
      <c r="N30" s="928" t="e">
        <f t="shared" si="10"/>
        <v>#REF!</v>
      </c>
      <c r="O30" s="928" t="e">
        <f t="shared" si="11"/>
        <v>#REF!</v>
      </c>
      <c r="P30" s="911" t="s">
        <v>1445</v>
      </c>
      <c r="Q30" s="641"/>
      <c r="R30" s="1102"/>
      <c r="S30" s="883" t="e">
        <f t="shared" si="13"/>
        <v>#REF!</v>
      </c>
      <c r="T30" s="461"/>
      <c r="U30" s="574"/>
      <c r="V30" s="461"/>
      <c r="W30" s="461"/>
      <c r="X30" s="461"/>
      <c r="Y30" s="461"/>
      <c r="Z30" s="461"/>
      <c r="AA30" s="461"/>
      <c r="AB30" s="461"/>
      <c r="AC30" s="461"/>
    </row>
    <row r="31" spans="1:29" s="489" customFormat="1" ht="11.25" hidden="1" customHeight="1">
      <c r="A31" s="544"/>
      <c r="B31" s="1055">
        <v>45768</v>
      </c>
      <c r="C31" s="916" t="s">
        <v>1107</v>
      </c>
      <c r="D31" s="1207"/>
      <c r="E31" s="922">
        <v>9</v>
      </c>
      <c r="F31" s="1052" t="s">
        <v>107</v>
      </c>
      <c r="G31" s="569"/>
      <c r="H31" s="923"/>
      <c r="I31" s="988"/>
      <c r="J31" s="988"/>
      <c r="K31" s="918">
        <v>6000</v>
      </c>
      <c r="L31" s="542" t="e">
        <f>'통장내역(환율표)'!#REF!</f>
        <v>#REF!</v>
      </c>
      <c r="M31" s="1096" t="e">
        <f t="shared" si="12"/>
        <v>#REF!</v>
      </c>
      <c r="N31" s="928" t="e">
        <f t="shared" si="10"/>
        <v>#REF!</v>
      </c>
      <c r="O31" s="928" t="e">
        <f t="shared" si="11"/>
        <v>#REF!</v>
      </c>
      <c r="P31" s="911" t="s">
        <v>1445</v>
      </c>
      <c r="Q31" s="641"/>
      <c r="R31" s="1102"/>
      <c r="S31" s="883" t="e">
        <f t="shared" si="13"/>
        <v>#REF!</v>
      </c>
      <c r="T31" s="461"/>
      <c r="U31" s="574"/>
      <c r="V31" s="461"/>
      <c r="W31" s="461"/>
      <c r="X31" s="461"/>
      <c r="Y31" s="461"/>
      <c r="Z31" s="461"/>
      <c r="AA31" s="461"/>
      <c r="AB31" s="461"/>
      <c r="AC31" s="461"/>
    </row>
    <row r="32" spans="1:29" s="489" customFormat="1" ht="11.25" hidden="1" customHeight="1">
      <c r="A32" s="544"/>
      <c r="B32" s="1055">
        <v>45768</v>
      </c>
      <c r="C32" s="916" t="s">
        <v>1108</v>
      </c>
      <c r="D32" s="1207"/>
      <c r="E32" s="922">
        <v>9</v>
      </c>
      <c r="F32" s="1052" t="s">
        <v>107</v>
      </c>
      <c r="G32" s="569"/>
      <c r="H32" s="923"/>
      <c r="I32" s="988"/>
      <c r="J32" s="988"/>
      <c r="K32" s="918">
        <v>470</v>
      </c>
      <c r="L32" s="542" t="e">
        <f>'통장내역(환율표)'!#REF!</f>
        <v>#REF!</v>
      </c>
      <c r="M32" s="1096" t="e">
        <f t="shared" si="12"/>
        <v>#REF!</v>
      </c>
      <c r="N32" s="928" t="e">
        <f t="shared" si="10"/>
        <v>#REF!</v>
      </c>
      <c r="O32" s="928" t="e">
        <f t="shared" si="11"/>
        <v>#REF!</v>
      </c>
      <c r="P32" s="911" t="s">
        <v>1445</v>
      </c>
      <c r="Q32" s="641"/>
      <c r="R32" s="1102"/>
      <c r="S32" s="883" t="e">
        <f t="shared" si="13"/>
        <v>#REF!</v>
      </c>
      <c r="T32" s="461"/>
      <c r="U32" s="574"/>
      <c r="V32" s="461"/>
      <c r="W32" s="461"/>
      <c r="X32" s="461"/>
      <c r="Y32" s="461"/>
      <c r="Z32" s="461"/>
      <c r="AA32" s="461"/>
      <c r="AB32" s="461"/>
      <c r="AC32" s="461"/>
    </row>
    <row r="33" spans="1:29" s="489" customFormat="1" ht="11.25" hidden="1" customHeight="1">
      <c r="A33" s="544"/>
      <c r="B33" s="1055">
        <v>45768</v>
      </c>
      <c r="C33" s="916" t="s">
        <v>305</v>
      </c>
      <c r="D33" s="922"/>
      <c r="E33" s="922">
        <v>9</v>
      </c>
      <c r="F33" s="1052" t="s">
        <v>105</v>
      </c>
      <c r="G33" s="569" t="s">
        <v>227</v>
      </c>
      <c r="H33" s="923"/>
      <c r="I33" s="988"/>
      <c r="J33" s="988"/>
      <c r="K33" s="918">
        <v>7000</v>
      </c>
      <c r="L33" s="542" t="e">
        <f>'통장내역(환율표)'!#REF!</f>
        <v>#REF!</v>
      </c>
      <c r="M33" s="1096" t="e">
        <f t="shared" si="12"/>
        <v>#REF!</v>
      </c>
      <c r="N33" s="928" t="e">
        <f t="shared" si="10"/>
        <v>#REF!</v>
      </c>
      <c r="O33" s="928" t="e">
        <f t="shared" si="11"/>
        <v>#REF!</v>
      </c>
      <c r="P33" s="911" t="s">
        <v>1445</v>
      </c>
      <c r="Q33" s="641"/>
      <c r="R33" s="1102"/>
      <c r="S33" s="883" t="e">
        <f t="shared" si="13"/>
        <v>#REF!</v>
      </c>
      <c r="T33" s="461"/>
      <c r="U33" s="574"/>
      <c r="V33" s="461"/>
      <c r="W33" s="461"/>
      <c r="X33" s="461"/>
      <c r="Y33" s="461"/>
      <c r="Z33" s="461"/>
      <c r="AA33" s="461"/>
      <c r="AB33" s="461"/>
      <c r="AC33" s="461"/>
    </row>
    <row r="34" spans="1:29" s="489" customFormat="1" ht="11.25" hidden="1" customHeight="1">
      <c r="A34" s="544"/>
      <c r="B34" s="1055">
        <v>45768</v>
      </c>
      <c r="C34" s="916" t="s">
        <v>1107</v>
      </c>
      <c r="D34" s="1207"/>
      <c r="E34" s="922">
        <v>9</v>
      </c>
      <c r="F34" s="1052" t="s">
        <v>107</v>
      </c>
      <c r="G34" s="569"/>
      <c r="H34" s="923"/>
      <c r="I34" s="988"/>
      <c r="J34" s="988"/>
      <c r="K34" s="918">
        <v>6000</v>
      </c>
      <c r="L34" s="542" t="e">
        <f>'통장내역(환율표)'!#REF!</f>
        <v>#REF!</v>
      </c>
      <c r="M34" s="1096" t="e">
        <f t="shared" si="12"/>
        <v>#REF!</v>
      </c>
      <c r="N34" s="928" t="e">
        <f t="shared" si="10"/>
        <v>#REF!</v>
      </c>
      <c r="O34" s="928" t="e">
        <f t="shared" si="11"/>
        <v>#REF!</v>
      </c>
      <c r="P34" s="911" t="s">
        <v>1445</v>
      </c>
      <c r="Q34" s="641"/>
      <c r="R34" s="1102"/>
      <c r="S34" s="883" t="e">
        <f t="shared" si="13"/>
        <v>#REF!</v>
      </c>
      <c r="T34" s="461"/>
      <c r="U34" s="574"/>
      <c r="V34" s="461"/>
      <c r="W34" s="461"/>
      <c r="X34" s="461"/>
      <c r="Y34" s="461"/>
      <c r="Z34" s="461"/>
      <c r="AA34" s="461"/>
      <c r="AB34" s="461"/>
      <c r="AC34" s="461"/>
    </row>
    <row r="35" spans="1:29" s="489" customFormat="1" ht="11.25" hidden="1" customHeight="1">
      <c r="A35" s="544"/>
      <c r="B35" s="1055">
        <v>45768</v>
      </c>
      <c r="C35" s="916" t="s">
        <v>1108</v>
      </c>
      <c r="D35" s="1207"/>
      <c r="E35" s="922">
        <v>9</v>
      </c>
      <c r="F35" s="1052" t="s">
        <v>107</v>
      </c>
      <c r="G35" s="569"/>
      <c r="H35" s="923"/>
      <c r="I35" s="988"/>
      <c r="J35" s="988"/>
      <c r="K35" s="918">
        <v>400</v>
      </c>
      <c r="L35" s="542" t="e">
        <f>'통장내역(환율표)'!#REF!</f>
        <v>#REF!</v>
      </c>
      <c r="M35" s="1096" t="e">
        <f t="shared" si="12"/>
        <v>#REF!</v>
      </c>
      <c r="N35" s="928" t="e">
        <f t="shared" si="10"/>
        <v>#REF!</v>
      </c>
      <c r="O35" s="928" t="e">
        <f t="shared" si="11"/>
        <v>#REF!</v>
      </c>
      <c r="P35" s="911" t="s">
        <v>1445</v>
      </c>
      <c r="Q35" s="641"/>
      <c r="R35" s="1102"/>
      <c r="S35" s="883" t="e">
        <f t="shared" si="13"/>
        <v>#REF!</v>
      </c>
      <c r="T35" s="461"/>
      <c r="U35" s="574"/>
      <c r="V35" s="461"/>
      <c r="W35" s="461"/>
      <c r="X35" s="461"/>
      <c r="Y35" s="461"/>
      <c r="Z35" s="461"/>
      <c r="AA35" s="461"/>
      <c r="AB35" s="461"/>
      <c r="AC35" s="461"/>
    </row>
    <row r="36" spans="1:29" s="489" customFormat="1" ht="11.25" hidden="1" customHeight="1">
      <c r="A36" s="544"/>
      <c r="B36" s="1055">
        <v>45768</v>
      </c>
      <c r="C36" s="916" t="s">
        <v>250</v>
      </c>
      <c r="D36" s="1207"/>
      <c r="E36" s="922">
        <v>10</v>
      </c>
      <c r="F36" s="1052" t="s">
        <v>107</v>
      </c>
      <c r="G36" s="569"/>
      <c r="H36" s="923"/>
      <c r="I36" s="988"/>
      <c r="J36" s="988"/>
      <c r="K36" s="1083">
        <v>7.2</v>
      </c>
      <c r="L36" s="542" t="e">
        <f>'통장내역(환율표)'!#REF!</f>
        <v>#REF!</v>
      </c>
      <c r="M36" s="1096" t="e">
        <f t="shared" si="12"/>
        <v>#REF!</v>
      </c>
      <c r="N36" s="928" t="e">
        <f t="shared" si="10"/>
        <v>#REF!</v>
      </c>
      <c r="O36" s="928" t="e">
        <f t="shared" si="11"/>
        <v>#REF!</v>
      </c>
      <c r="P36" s="911" t="s">
        <v>1445</v>
      </c>
      <c r="Q36" s="641"/>
      <c r="R36" s="1102"/>
      <c r="S36" s="883" t="e">
        <f t="shared" si="13"/>
        <v>#REF!</v>
      </c>
      <c r="T36" s="461"/>
      <c r="U36" s="574"/>
      <c r="V36" s="461"/>
      <c r="W36" s="461"/>
      <c r="X36" s="461"/>
      <c r="Y36" s="461"/>
      <c r="Z36" s="461"/>
      <c r="AA36" s="461"/>
      <c r="AB36" s="461"/>
      <c r="AC36" s="461"/>
    </row>
    <row r="37" spans="1:29" s="489" customFormat="1" ht="11.25" hidden="1" customHeight="1">
      <c r="A37" s="544"/>
      <c r="B37" s="1055">
        <v>45768</v>
      </c>
      <c r="C37" s="916" t="s">
        <v>1414</v>
      </c>
      <c r="D37" s="1101"/>
      <c r="E37" s="917">
        <v>11</v>
      </c>
      <c r="F37" s="986" t="s">
        <v>116</v>
      </c>
      <c r="G37" s="986" t="s">
        <v>140</v>
      </c>
      <c r="H37" s="986"/>
      <c r="I37" s="986"/>
      <c r="J37" s="986"/>
      <c r="K37" s="919">
        <v>418</v>
      </c>
      <c r="L37" s="542" t="e">
        <f>'통장내역(환율표)'!#REF!</f>
        <v>#REF!</v>
      </c>
      <c r="M37" s="1096" t="e">
        <f t="shared" si="12"/>
        <v>#REF!</v>
      </c>
      <c r="N37" s="928" t="e">
        <f t="shared" si="10"/>
        <v>#REF!</v>
      </c>
      <c r="O37" s="928" t="e">
        <f t="shared" si="11"/>
        <v>#REF!</v>
      </c>
      <c r="P37" s="911" t="s">
        <v>1445</v>
      </c>
      <c r="Q37" s="641"/>
      <c r="R37" s="1103" t="s">
        <v>247</v>
      </c>
      <c r="S37" s="883" t="e">
        <f t="shared" si="13"/>
        <v>#REF!</v>
      </c>
      <c r="T37" s="461"/>
      <c r="U37" s="574"/>
      <c r="V37" s="461"/>
      <c r="W37" s="461"/>
      <c r="X37" s="461"/>
      <c r="Y37" s="461"/>
      <c r="Z37" s="461"/>
      <c r="AA37" s="461"/>
      <c r="AB37" s="461"/>
      <c r="AC37" s="461"/>
    </row>
    <row r="38" spans="1:29" s="489" customFormat="1" ht="11.25" hidden="1" customHeight="1">
      <c r="A38" s="544"/>
      <c r="B38" s="1055">
        <v>45768</v>
      </c>
      <c r="C38" s="916" t="s">
        <v>250</v>
      </c>
      <c r="D38" s="1207"/>
      <c r="E38" s="917">
        <v>12</v>
      </c>
      <c r="F38" s="986" t="s">
        <v>107</v>
      </c>
      <c r="G38" s="986"/>
      <c r="H38" s="986"/>
      <c r="I38" s="986"/>
      <c r="J38" s="986"/>
      <c r="K38" s="919">
        <v>3.6</v>
      </c>
      <c r="L38" s="542" t="e">
        <f>'통장내역(환율표)'!#REF!</f>
        <v>#REF!</v>
      </c>
      <c r="M38" s="1096" t="e">
        <f t="shared" si="12"/>
        <v>#REF!</v>
      </c>
      <c r="N38" s="928" t="e">
        <f t="shared" si="10"/>
        <v>#REF!</v>
      </c>
      <c r="O38" s="928" t="e">
        <f t="shared" si="11"/>
        <v>#REF!</v>
      </c>
      <c r="P38" s="911" t="s">
        <v>1445</v>
      </c>
      <c r="Q38" s="641"/>
      <c r="R38" s="1103" t="s">
        <v>247</v>
      </c>
      <c r="S38" s="883" t="e">
        <f t="shared" si="13"/>
        <v>#REF!</v>
      </c>
      <c r="T38" s="461"/>
      <c r="U38" s="574"/>
      <c r="V38" s="461"/>
      <c r="W38" s="461"/>
      <c r="X38" s="461"/>
      <c r="Y38" s="461"/>
      <c r="Z38" s="461"/>
      <c r="AA38" s="461"/>
      <c r="AB38" s="461"/>
      <c r="AC38" s="461"/>
    </row>
    <row r="39" spans="1:29" s="489" customFormat="1" ht="11.25" hidden="1" customHeight="1">
      <c r="A39" s="544"/>
      <c r="B39" s="1055">
        <v>45768</v>
      </c>
      <c r="C39" s="916" t="s">
        <v>853</v>
      </c>
      <c r="D39" s="922"/>
      <c r="E39" s="922">
        <v>13</v>
      </c>
      <c r="F39" s="1052" t="s">
        <v>146</v>
      </c>
      <c r="G39" s="569" t="s">
        <v>147</v>
      </c>
      <c r="H39" s="986"/>
      <c r="I39" s="986"/>
      <c r="J39" s="986"/>
      <c r="K39" s="919">
        <v>128.41</v>
      </c>
      <c r="L39" s="542" t="e">
        <f>'통장내역(환율표)'!#REF!</f>
        <v>#REF!</v>
      </c>
      <c r="M39" s="1096" t="e">
        <f t="shared" si="12"/>
        <v>#REF!</v>
      </c>
      <c r="N39" s="928" t="e">
        <f t="shared" si="10"/>
        <v>#REF!</v>
      </c>
      <c r="O39" s="928" t="e">
        <f t="shared" si="11"/>
        <v>#REF!</v>
      </c>
      <c r="P39" s="911" t="s">
        <v>1445</v>
      </c>
      <c r="Q39" s="641"/>
      <c r="R39" s="964" t="s">
        <v>1433</v>
      </c>
      <c r="S39" s="883" t="e">
        <f t="shared" si="13"/>
        <v>#REF!</v>
      </c>
      <c r="T39" s="461"/>
      <c r="U39" s="574"/>
      <c r="V39" s="461"/>
      <c r="W39" s="461"/>
      <c r="X39" s="461"/>
      <c r="Y39" s="461"/>
      <c r="Z39" s="461"/>
      <c r="AA39" s="461"/>
      <c r="AB39" s="461"/>
      <c r="AC39" s="461"/>
    </row>
    <row r="40" spans="1:29" s="489" customFormat="1" ht="11.25" hidden="1" customHeight="1">
      <c r="A40" s="544"/>
      <c r="B40" s="1055">
        <v>45768</v>
      </c>
      <c r="C40" s="916" t="s">
        <v>1153</v>
      </c>
      <c r="D40" s="922"/>
      <c r="E40" s="922">
        <v>14</v>
      </c>
      <c r="F40" s="1052" t="s">
        <v>146</v>
      </c>
      <c r="G40" s="569" t="s">
        <v>147</v>
      </c>
      <c r="H40" s="986"/>
      <c r="I40" s="986"/>
      <c r="J40" s="986"/>
      <c r="K40" s="1110">
        <v>4365.3599999999997</v>
      </c>
      <c r="L40" s="542" t="e">
        <f>'통장내역(환율표)'!#REF!</f>
        <v>#REF!</v>
      </c>
      <c r="M40" s="1096" t="e">
        <f t="shared" si="12"/>
        <v>#REF!</v>
      </c>
      <c r="N40" s="928" t="e">
        <f t="shared" si="10"/>
        <v>#REF!</v>
      </c>
      <c r="O40" s="928" t="e">
        <f t="shared" si="11"/>
        <v>#REF!</v>
      </c>
      <c r="P40" s="911" t="s">
        <v>1445</v>
      </c>
      <c r="Q40" s="641"/>
      <c r="R40" s="964" t="s">
        <v>1433</v>
      </c>
      <c r="S40" s="883" t="e">
        <f t="shared" si="13"/>
        <v>#REF!</v>
      </c>
      <c r="T40" s="461"/>
      <c r="U40" s="574"/>
      <c r="V40" s="461"/>
      <c r="W40" s="461"/>
      <c r="X40" s="461"/>
      <c r="Y40" s="461"/>
      <c r="Z40" s="461"/>
      <c r="AA40" s="461"/>
      <c r="AB40" s="461"/>
      <c r="AC40" s="461"/>
    </row>
    <row r="41" spans="1:29" s="489" customFormat="1" ht="11.25" hidden="1" customHeight="1">
      <c r="A41" s="544"/>
      <c r="B41" s="1055">
        <v>45768</v>
      </c>
      <c r="C41" s="916" t="s">
        <v>851</v>
      </c>
      <c r="D41" s="922"/>
      <c r="E41" s="922">
        <v>15</v>
      </c>
      <c r="F41" s="986" t="s">
        <v>116</v>
      </c>
      <c r="G41" s="986" t="s">
        <v>140</v>
      </c>
      <c r="H41" s="986"/>
      <c r="I41" s="986"/>
      <c r="J41" s="986"/>
      <c r="K41" s="1110">
        <v>153.6</v>
      </c>
      <c r="L41" s="542" t="e">
        <f>'통장내역(환율표)'!#REF!</f>
        <v>#REF!</v>
      </c>
      <c r="M41" s="1096" t="e">
        <f t="shared" si="12"/>
        <v>#REF!</v>
      </c>
      <c r="N41" s="928" t="e">
        <f t="shared" si="10"/>
        <v>#REF!</v>
      </c>
      <c r="O41" s="928" t="e">
        <f t="shared" si="11"/>
        <v>#REF!</v>
      </c>
      <c r="P41" s="911" t="s">
        <v>1445</v>
      </c>
      <c r="Q41" s="641"/>
      <c r="R41" s="964" t="s">
        <v>1433</v>
      </c>
      <c r="S41" s="883" t="e">
        <f t="shared" si="13"/>
        <v>#REF!</v>
      </c>
      <c r="T41" s="461"/>
      <c r="U41" s="574"/>
      <c r="V41" s="461"/>
      <c r="W41" s="461"/>
      <c r="X41" s="461"/>
      <c r="Y41" s="461"/>
      <c r="Z41" s="461"/>
      <c r="AA41" s="461"/>
      <c r="AB41" s="461"/>
      <c r="AC41" s="461"/>
    </row>
    <row r="42" spans="1:29" s="489" customFormat="1" ht="11.25" hidden="1" customHeight="1">
      <c r="A42" s="544"/>
      <c r="B42" s="1055">
        <v>45768</v>
      </c>
      <c r="C42" s="916" t="s">
        <v>852</v>
      </c>
      <c r="D42" s="1207"/>
      <c r="E42" s="922">
        <v>16</v>
      </c>
      <c r="F42" s="986" t="s">
        <v>107</v>
      </c>
      <c r="G42" s="986"/>
      <c r="H42" s="986"/>
      <c r="I42" s="986"/>
      <c r="J42" s="986"/>
      <c r="K42" s="1110">
        <v>135</v>
      </c>
      <c r="L42" s="542" t="e">
        <f>'통장내역(환율표)'!#REF!</f>
        <v>#REF!</v>
      </c>
      <c r="M42" s="1096" t="e">
        <f t="shared" si="12"/>
        <v>#REF!</v>
      </c>
      <c r="N42" s="928" t="e">
        <f t="shared" si="10"/>
        <v>#REF!</v>
      </c>
      <c r="O42" s="928" t="e">
        <f t="shared" si="11"/>
        <v>#REF!</v>
      </c>
      <c r="P42" s="911" t="s">
        <v>1445</v>
      </c>
      <c r="Q42" s="641"/>
      <c r="R42" s="964" t="s">
        <v>1433</v>
      </c>
      <c r="S42" s="883" t="e">
        <f t="shared" si="13"/>
        <v>#REF!</v>
      </c>
      <c r="T42" s="461"/>
      <c r="U42" s="574"/>
      <c r="V42" s="461"/>
      <c r="W42" s="461"/>
      <c r="X42" s="461"/>
      <c r="Y42" s="461"/>
      <c r="Z42" s="461"/>
      <c r="AA42" s="461"/>
      <c r="AB42" s="461"/>
      <c r="AC42" s="461"/>
    </row>
    <row r="43" spans="1:29" s="489" customFormat="1" ht="11.25" hidden="1" customHeight="1">
      <c r="A43" s="544"/>
      <c r="B43" s="1055">
        <v>45768</v>
      </c>
      <c r="C43" s="916" t="s">
        <v>250</v>
      </c>
      <c r="D43" s="1207"/>
      <c r="E43" s="922">
        <v>17</v>
      </c>
      <c r="F43" s="986" t="s">
        <v>107</v>
      </c>
      <c r="G43" s="986"/>
      <c r="H43" s="986"/>
      <c r="I43" s="986"/>
      <c r="J43" s="986"/>
      <c r="K43" s="1110">
        <v>3.6</v>
      </c>
      <c r="L43" s="542" t="e">
        <f>'통장내역(환율표)'!#REF!</f>
        <v>#REF!</v>
      </c>
      <c r="M43" s="1096" t="e">
        <f t="shared" si="12"/>
        <v>#REF!</v>
      </c>
      <c r="N43" s="928" t="e">
        <f t="shared" si="10"/>
        <v>#REF!</v>
      </c>
      <c r="O43" s="928" t="e">
        <f t="shared" si="11"/>
        <v>#REF!</v>
      </c>
      <c r="P43" s="911" t="s">
        <v>1445</v>
      </c>
      <c r="Q43" s="641"/>
      <c r="R43" s="964" t="s">
        <v>1433</v>
      </c>
      <c r="S43" s="883" t="e">
        <f t="shared" si="13"/>
        <v>#REF!</v>
      </c>
      <c r="T43" s="461"/>
      <c r="U43" s="574"/>
      <c r="V43" s="461"/>
      <c r="W43" s="461"/>
      <c r="X43" s="461"/>
      <c r="Y43" s="461"/>
      <c r="Z43" s="461"/>
      <c r="AA43" s="461"/>
      <c r="AB43" s="461"/>
      <c r="AC43" s="461"/>
    </row>
    <row r="44" spans="1:29" s="489" customFormat="1" ht="11.25" hidden="1" customHeight="1">
      <c r="A44" s="544"/>
      <c r="B44" s="1055">
        <v>45768</v>
      </c>
      <c r="C44" s="913" t="s">
        <v>127</v>
      </c>
      <c r="D44" s="922"/>
      <c r="E44" s="922">
        <v>18</v>
      </c>
      <c r="F44" s="1052" t="s">
        <v>146</v>
      </c>
      <c r="G44" s="569" t="s">
        <v>147</v>
      </c>
      <c r="H44" s="986"/>
      <c r="I44" s="986"/>
      <c r="J44" s="986"/>
      <c r="K44" s="919">
        <v>207.37</v>
      </c>
      <c r="L44" s="542" t="e">
        <f>'통장내역(환율표)'!#REF!</f>
        <v>#REF!</v>
      </c>
      <c r="M44" s="1096" t="e">
        <f t="shared" si="12"/>
        <v>#REF!</v>
      </c>
      <c r="N44" s="928" t="e">
        <f t="shared" si="10"/>
        <v>#REF!</v>
      </c>
      <c r="O44" s="928" t="e">
        <f t="shared" si="11"/>
        <v>#REF!</v>
      </c>
      <c r="P44" s="911" t="s">
        <v>1445</v>
      </c>
      <c r="Q44" s="641"/>
      <c r="R44" s="1103" t="s">
        <v>1434</v>
      </c>
      <c r="S44" s="883" t="e">
        <f t="shared" si="13"/>
        <v>#REF!</v>
      </c>
      <c r="T44" s="461"/>
      <c r="U44" s="574"/>
      <c r="V44" s="461"/>
      <c r="W44" s="461"/>
      <c r="X44" s="461"/>
      <c r="Y44" s="461"/>
      <c r="Z44" s="461"/>
      <c r="AA44" s="461"/>
      <c r="AB44" s="461"/>
      <c r="AC44" s="461"/>
    </row>
    <row r="45" spans="1:29" s="489" customFormat="1" ht="11.25" hidden="1" customHeight="1">
      <c r="A45" s="544"/>
      <c r="B45" s="1055">
        <v>45768</v>
      </c>
      <c r="C45" s="964" t="s">
        <v>1403</v>
      </c>
      <c r="D45" s="922"/>
      <c r="E45" s="922">
        <v>19</v>
      </c>
      <c r="F45" s="1052" t="s">
        <v>146</v>
      </c>
      <c r="G45" s="569" t="s">
        <v>147</v>
      </c>
      <c r="H45" s="986"/>
      <c r="I45" s="986"/>
      <c r="J45" s="986"/>
      <c r="K45" s="1110">
        <v>941.79</v>
      </c>
      <c r="L45" s="542" t="e">
        <f>'통장내역(환율표)'!#REF!</f>
        <v>#REF!</v>
      </c>
      <c r="M45" s="1096" t="e">
        <f t="shared" si="12"/>
        <v>#REF!</v>
      </c>
      <c r="N45" s="928" t="e">
        <f t="shared" si="10"/>
        <v>#REF!</v>
      </c>
      <c r="O45" s="928" t="e">
        <f t="shared" si="11"/>
        <v>#REF!</v>
      </c>
      <c r="P45" s="911" t="s">
        <v>1445</v>
      </c>
      <c r="Q45" s="641"/>
      <c r="R45" s="1103" t="s">
        <v>1434</v>
      </c>
      <c r="S45" s="883" t="e">
        <f t="shared" si="13"/>
        <v>#REF!</v>
      </c>
      <c r="T45" s="461"/>
      <c r="U45" s="574"/>
      <c r="V45" s="461"/>
      <c r="W45" s="461"/>
      <c r="X45" s="461"/>
      <c r="Y45" s="461"/>
      <c r="Z45" s="461"/>
      <c r="AA45" s="461"/>
      <c r="AB45" s="461"/>
      <c r="AC45" s="461"/>
    </row>
    <row r="46" spans="1:29" s="489" customFormat="1" ht="11.25" hidden="1" customHeight="1">
      <c r="A46" s="544"/>
      <c r="B46" s="1055">
        <v>45768</v>
      </c>
      <c r="C46" s="964" t="s">
        <v>19</v>
      </c>
      <c r="D46" s="922"/>
      <c r="E46" s="922">
        <v>20</v>
      </c>
      <c r="F46" s="986" t="s">
        <v>116</v>
      </c>
      <c r="G46" s="986" t="s">
        <v>140</v>
      </c>
      <c r="H46" s="986"/>
      <c r="I46" s="986"/>
      <c r="J46" s="986"/>
      <c r="K46" s="1057">
        <v>400</v>
      </c>
      <c r="L46" s="542" t="e">
        <f>'통장내역(환율표)'!#REF!</f>
        <v>#REF!</v>
      </c>
      <c r="M46" s="1096" t="e">
        <f t="shared" si="12"/>
        <v>#REF!</v>
      </c>
      <c r="N46" s="928" t="e">
        <f t="shared" si="10"/>
        <v>#REF!</v>
      </c>
      <c r="O46" s="928" t="e">
        <f t="shared" si="11"/>
        <v>#REF!</v>
      </c>
      <c r="P46" s="911" t="s">
        <v>1445</v>
      </c>
      <c r="Q46" s="641"/>
      <c r="R46" s="1103" t="s">
        <v>1434</v>
      </c>
      <c r="S46" s="883" t="e">
        <f t="shared" si="13"/>
        <v>#REF!</v>
      </c>
      <c r="T46" s="461"/>
      <c r="U46" s="574"/>
      <c r="V46" s="461"/>
      <c r="W46" s="461"/>
      <c r="X46" s="461"/>
      <c r="Y46" s="461"/>
      <c r="Z46" s="461"/>
      <c r="AA46" s="461"/>
      <c r="AB46" s="461"/>
      <c r="AC46" s="461"/>
    </row>
    <row r="47" spans="1:29" s="489" customFormat="1" ht="11.25" hidden="1" customHeight="1">
      <c r="A47" s="544"/>
      <c r="B47" s="1055">
        <v>45768</v>
      </c>
      <c r="C47" s="964" t="s">
        <v>11</v>
      </c>
      <c r="D47" s="922"/>
      <c r="E47" s="922">
        <v>21</v>
      </c>
      <c r="F47" s="986" t="s">
        <v>125</v>
      </c>
      <c r="G47" s="986" t="s">
        <v>145</v>
      </c>
      <c r="H47" s="986"/>
      <c r="I47" s="986"/>
      <c r="J47" s="986"/>
      <c r="K47" s="1057">
        <v>179</v>
      </c>
      <c r="L47" s="542" t="e">
        <f>'통장내역(환율표)'!#REF!</f>
        <v>#REF!</v>
      </c>
      <c r="M47" s="1096" t="e">
        <f t="shared" si="12"/>
        <v>#REF!</v>
      </c>
      <c r="N47" s="928" t="e">
        <f t="shared" si="10"/>
        <v>#REF!</v>
      </c>
      <c r="O47" s="928" t="e">
        <f t="shared" si="11"/>
        <v>#REF!</v>
      </c>
      <c r="P47" s="911" t="s">
        <v>1445</v>
      </c>
      <c r="Q47" s="641"/>
      <c r="R47" s="1103" t="s">
        <v>1434</v>
      </c>
      <c r="S47" s="883" t="e">
        <f t="shared" si="13"/>
        <v>#REF!</v>
      </c>
      <c r="T47" s="461"/>
      <c r="U47" s="574"/>
      <c r="V47" s="461"/>
      <c r="W47" s="461"/>
      <c r="X47" s="461"/>
      <c r="Y47" s="461"/>
      <c r="Z47" s="461"/>
      <c r="AA47" s="461"/>
      <c r="AB47" s="461"/>
      <c r="AC47" s="461"/>
    </row>
    <row r="48" spans="1:29" s="489" customFormat="1" ht="11.25" hidden="1" customHeight="1">
      <c r="A48" s="544"/>
      <c r="B48" s="1055">
        <v>45768</v>
      </c>
      <c r="C48" s="964" t="s">
        <v>1405</v>
      </c>
      <c r="D48" s="1207"/>
      <c r="E48" s="922">
        <v>22</v>
      </c>
      <c r="F48" s="986" t="s">
        <v>107</v>
      </c>
      <c r="G48" s="986"/>
      <c r="H48" s="986"/>
      <c r="I48" s="986"/>
      <c r="J48" s="986"/>
      <c r="K48" s="1057">
        <v>424.55</v>
      </c>
      <c r="L48" s="542" t="e">
        <f>'통장내역(환율표)'!#REF!</f>
        <v>#REF!</v>
      </c>
      <c r="M48" s="1096" t="e">
        <f t="shared" si="12"/>
        <v>#REF!</v>
      </c>
      <c r="N48" s="928" t="e">
        <f t="shared" si="10"/>
        <v>#REF!</v>
      </c>
      <c r="O48" s="928" t="e">
        <f t="shared" si="11"/>
        <v>#REF!</v>
      </c>
      <c r="P48" s="911" t="s">
        <v>1445</v>
      </c>
      <c r="Q48" s="641"/>
      <c r="R48" s="1103" t="s">
        <v>1434</v>
      </c>
      <c r="S48" s="883" t="e">
        <f t="shared" si="13"/>
        <v>#REF!</v>
      </c>
      <c r="T48" s="461"/>
      <c r="U48" s="574"/>
      <c r="V48" s="461"/>
      <c r="W48" s="461"/>
      <c r="X48" s="461"/>
      <c r="Y48" s="461"/>
      <c r="Z48" s="461"/>
      <c r="AA48" s="461"/>
      <c r="AB48" s="461"/>
      <c r="AC48" s="461"/>
    </row>
    <row r="49" spans="1:29" s="489" customFormat="1" ht="11.25" hidden="1" customHeight="1">
      <c r="A49" s="544"/>
      <c r="B49" s="1055">
        <v>45768</v>
      </c>
      <c r="C49" s="964" t="s">
        <v>1386</v>
      </c>
      <c r="D49" s="1207"/>
      <c r="E49" s="922">
        <v>23</v>
      </c>
      <c r="F49" s="986" t="s">
        <v>107</v>
      </c>
      <c r="G49" s="986"/>
      <c r="H49" s="986"/>
      <c r="I49" s="986"/>
      <c r="J49" s="986"/>
      <c r="K49" s="1057">
        <v>127.56</v>
      </c>
      <c r="L49" s="542" t="e">
        <f>'통장내역(환율표)'!#REF!</f>
        <v>#REF!</v>
      </c>
      <c r="M49" s="1096" t="e">
        <f t="shared" si="12"/>
        <v>#REF!</v>
      </c>
      <c r="N49" s="928" t="e">
        <f t="shared" si="10"/>
        <v>#REF!</v>
      </c>
      <c r="O49" s="928" t="e">
        <f t="shared" si="11"/>
        <v>#REF!</v>
      </c>
      <c r="P49" s="911" t="s">
        <v>1445</v>
      </c>
      <c r="Q49" s="641"/>
      <c r="R49" s="1103" t="s">
        <v>1434</v>
      </c>
      <c r="S49" s="883" t="e">
        <f t="shared" si="13"/>
        <v>#REF!</v>
      </c>
      <c r="T49" s="461"/>
      <c r="U49" s="574"/>
      <c r="V49" s="461"/>
      <c r="W49" s="461"/>
      <c r="X49" s="461"/>
      <c r="Y49" s="461"/>
      <c r="Z49" s="461"/>
      <c r="AA49" s="461"/>
      <c r="AB49" s="461"/>
      <c r="AC49" s="461"/>
    </row>
    <row r="50" spans="1:29" s="489" customFormat="1" ht="11.25" hidden="1" customHeight="1">
      <c r="A50" s="544"/>
      <c r="B50" s="1055">
        <v>45768</v>
      </c>
      <c r="C50" s="964" t="s">
        <v>250</v>
      </c>
      <c r="D50" s="1207"/>
      <c r="E50" s="922">
        <v>24</v>
      </c>
      <c r="F50" s="986" t="s">
        <v>107</v>
      </c>
      <c r="G50" s="986"/>
      <c r="H50" s="986"/>
      <c r="I50" s="986"/>
      <c r="J50" s="986"/>
      <c r="K50" s="1057">
        <v>3.6</v>
      </c>
      <c r="L50" s="542" t="e">
        <f>'통장내역(환율표)'!#REF!</f>
        <v>#REF!</v>
      </c>
      <c r="M50" s="1096" t="e">
        <f t="shared" si="12"/>
        <v>#REF!</v>
      </c>
      <c r="N50" s="928" t="e">
        <f t="shared" si="10"/>
        <v>#REF!</v>
      </c>
      <c r="O50" s="928" t="e">
        <f t="shared" si="11"/>
        <v>#REF!</v>
      </c>
      <c r="P50" s="911" t="s">
        <v>1445</v>
      </c>
      <c r="Q50" s="641"/>
      <c r="R50" s="1103" t="s">
        <v>1434</v>
      </c>
      <c r="S50" s="883" t="e">
        <f t="shared" si="13"/>
        <v>#REF!</v>
      </c>
      <c r="T50" s="461"/>
      <c r="U50" s="574"/>
      <c r="V50" s="461"/>
      <c r="W50" s="461"/>
      <c r="X50" s="461"/>
      <c r="Y50" s="461"/>
      <c r="Z50" s="461"/>
      <c r="AA50" s="461"/>
      <c r="AB50" s="461"/>
      <c r="AC50" s="461"/>
    </row>
    <row r="51" spans="1:29" s="489" customFormat="1" ht="11.25" hidden="1" customHeight="1">
      <c r="A51" s="544"/>
      <c r="B51" s="1055">
        <v>45768</v>
      </c>
      <c r="C51" s="964" t="s">
        <v>1428</v>
      </c>
      <c r="D51" s="922"/>
      <c r="E51" s="922">
        <v>25</v>
      </c>
      <c r="F51" s="1052" t="s">
        <v>146</v>
      </c>
      <c r="G51" s="569" t="s">
        <v>147</v>
      </c>
      <c r="H51" s="986"/>
      <c r="I51" s="986"/>
      <c r="J51" s="986"/>
      <c r="K51" s="919">
        <v>663.95</v>
      </c>
      <c r="L51" s="542" t="e">
        <f>'통장내역(환율표)'!#REF!</f>
        <v>#REF!</v>
      </c>
      <c r="M51" s="1096" t="e">
        <f t="shared" si="12"/>
        <v>#REF!</v>
      </c>
      <c r="N51" s="928" t="e">
        <f t="shared" si="10"/>
        <v>#REF!</v>
      </c>
      <c r="O51" s="928" t="e">
        <f t="shared" si="11"/>
        <v>#REF!</v>
      </c>
      <c r="P51" s="911" t="s">
        <v>1445</v>
      </c>
      <c r="Q51" s="641"/>
      <c r="R51" s="911" t="s">
        <v>1435</v>
      </c>
      <c r="S51" s="883" t="e">
        <f t="shared" si="13"/>
        <v>#REF!</v>
      </c>
      <c r="T51" s="461"/>
      <c r="U51" s="574"/>
      <c r="V51" s="461"/>
      <c r="W51" s="461"/>
      <c r="X51" s="461"/>
      <c r="Y51" s="461"/>
      <c r="Z51" s="461"/>
      <c r="AA51" s="461"/>
      <c r="AB51" s="461"/>
      <c r="AC51" s="461"/>
    </row>
    <row r="52" spans="1:29" s="489" customFormat="1" ht="11.25" hidden="1" customHeight="1">
      <c r="A52" s="544"/>
      <c r="B52" s="1055">
        <v>45768</v>
      </c>
      <c r="C52" s="964" t="s">
        <v>19</v>
      </c>
      <c r="D52" s="922"/>
      <c r="E52" s="922">
        <v>26</v>
      </c>
      <c r="F52" s="986" t="s">
        <v>116</v>
      </c>
      <c r="G52" s="986" t="s">
        <v>140</v>
      </c>
      <c r="H52" s="986"/>
      <c r="I52" s="986"/>
      <c r="J52" s="986"/>
      <c r="K52" s="1057">
        <v>299.39999999999998</v>
      </c>
      <c r="L52" s="542" t="e">
        <f>'통장내역(환율표)'!#REF!</f>
        <v>#REF!</v>
      </c>
      <c r="M52" s="1096" t="e">
        <f t="shared" si="12"/>
        <v>#REF!</v>
      </c>
      <c r="N52" s="928" t="e">
        <f t="shared" si="10"/>
        <v>#REF!</v>
      </c>
      <c r="O52" s="928" t="e">
        <f t="shared" si="11"/>
        <v>#REF!</v>
      </c>
      <c r="P52" s="911" t="s">
        <v>1445</v>
      </c>
      <c r="Q52" s="641"/>
      <c r="R52" s="911" t="s">
        <v>1435</v>
      </c>
      <c r="S52" s="883" t="e">
        <f t="shared" si="13"/>
        <v>#REF!</v>
      </c>
      <c r="T52" s="461"/>
      <c r="U52" s="574"/>
      <c r="V52" s="461"/>
      <c r="W52" s="461"/>
      <c r="X52" s="461"/>
      <c r="Y52" s="461"/>
      <c r="Z52" s="461"/>
      <c r="AA52" s="461"/>
      <c r="AB52" s="461"/>
      <c r="AC52" s="461"/>
    </row>
    <row r="53" spans="1:29" s="489" customFormat="1" ht="11.25" hidden="1" customHeight="1">
      <c r="A53" s="544"/>
      <c r="B53" s="1055">
        <v>45768</v>
      </c>
      <c r="C53" s="964" t="s">
        <v>1405</v>
      </c>
      <c r="D53" s="1207"/>
      <c r="E53" s="922">
        <v>27</v>
      </c>
      <c r="F53" s="1052" t="s">
        <v>107</v>
      </c>
      <c r="G53" s="569"/>
      <c r="H53" s="986"/>
      <c r="I53" s="968"/>
      <c r="J53" s="986"/>
      <c r="K53" s="1057">
        <v>36</v>
      </c>
      <c r="L53" s="542" t="e">
        <f>'통장내역(환율표)'!#REF!</f>
        <v>#REF!</v>
      </c>
      <c r="M53" s="1096" t="e">
        <f t="shared" si="12"/>
        <v>#REF!</v>
      </c>
      <c r="N53" s="928" t="e">
        <f t="shared" si="10"/>
        <v>#REF!</v>
      </c>
      <c r="O53" s="928" t="e">
        <f t="shared" si="11"/>
        <v>#REF!</v>
      </c>
      <c r="P53" s="911" t="s">
        <v>1445</v>
      </c>
      <c r="Q53" s="641"/>
      <c r="R53" s="911" t="s">
        <v>1435</v>
      </c>
      <c r="S53" s="883" t="e">
        <f t="shared" si="13"/>
        <v>#REF!</v>
      </c>
      <c r="T53" s="461"/>
      <c r="U53" s="574"/>
      <c r="V53" s="461"/>
      <c r="W53" s="461"/>
      <c r="X53" s="461"/>
      <c r="Y53" s="461"/>
      <c r="Z53" s="461"/>
      <c r="AA53" s="461"/>
      <c r="AB53" s="461"/>
      <c r="AC53" s="461"/>
    </row>
    <row r="54" spans="1:29" s="489" customFormat="1" ht="11.25" hidden="1" customHeight="1">
      <c r="A54" s="544"/>
      <c r="B54" s="1055">
        <v>45768</v>
      </c>
      <c r="C54" s="964" t="s">
        <v>1403</v>
      </c>
      <c r="D54" s="922"/>
      <c r="E54" s="922">
        <v>28</v>
      </c>
      <c r="F54" s="1052" t="s">
        <v>146</v>
      </c>
      <c r="G54" s="569" t="s">
        <v>147</v>
      </c>
      <c r="H54" s="986"/>
      <c r="I54" s="968"/>
      <c r="J54" s="986"/>
      <c r="K54" s="1057">
        <v>4536.3</v>
      </c>
      <c r="L54" s="542" t="e">
        <f>'통장내역(환율표)'!#REF!</f>
        <v>#REF!</v>
      </c>
      <c r="M54" s="1096" t="e">
        <f t="shared" si="12"/>
        <v>#REF!</v>
      </c>
      <c r="N54" s="928" t="e">
        <f t="shared" si="10"/>
        <v>#REF!</v>
      </c>
      <c r="O54" s="928" t="e">
        <f t="shared" si="11"/>
        <v>#REF!</v>
      </c>
      <c r="P54" s="911" t="s">
        <v>1445</v>
      </c>
      <c r="Q54" s="641"/>
      <c r="R54" s="911" t="s">
        <v>1435</v>
      </c>
      <c r="S54" s="883" t="e">
        <f t="shared" si="13"/>
        <v>#REF!</v>
      </c>
      <c r="T54" s="461"/>
      <c r="U54" s="574"/>
      <c r="V54" s="461"/>
      <c r="W54" s="461"/>
      <c r="X54" s="461"/>
      <c r="Y54" s="461"/>
      <c r="Z54" s="461"/>
      <c r="AA54" s="461"/>
      <c r="AB54" s="461"/>
      <c r="AC54" s="461"/>
    </row>
    <row r="55" spans="1:29" s="489" customFormat="1" ht="11.25" hidden="1" customHeight="1">
      <c r="A55" s="544"/>
      <c r="B55" s="1055">
        <v>45768</v>
      </c>
      <c r="C55" s="964" t="s">
        <v>1409</v>
      </c>
      <c r="D55" s="1207"/>
      <c r="E55" s="922">
        <v>29</v>
      </c>
      <c r="F55" s="1052" t="s">
        <v>107</v>
      </c>
      <c r="G55" s="569"/>
      <c r="H55" s="986"/>
      <c r="I55" s="968"/>
      <c r="J55" s="986"/>
      <c r="K55" s="1057">
        <v>172.98</v>
      </c>
      <c r="L55" s="542" t="e">
        <f>'통장내역(환율표)'!#REF!</f>
        <v>#REF!</v>
      </c>
      <c r="M55" s="1096" t="e">
        <f t="shared" si="12"/>
        <v>#REF!</v>
      </c>
      <c r="N55" s="928" t="e">
        <f t="shared" si="10"/>
        <v>#REF!</v>
      </c>
      <c r="O55" s="928" t="e">
        <f t="shared" si="11"/>
        <v>#REF!</v>
      </c>
      <c r="P55" s="911" t="s">
        <v>1445</v>
      </c>
      <c r="Q55" s="641"/>
      <c r="R55" s="911" t="s">
        <v>1435</v>
      </c>
      <c r="S55" s="883" t="e">
        <f t="shared" si="13"/>
        <v>#REF!</v>
      </c>
      <c r="T55" s="461"/>
      <c r="U55" s="574"/>
      <c r="V55" s="461"/>
      <c r="W55" s="461"/>
      <c r="X55" s="461"/>
      <c r="Y55" s="461"/>
      <c r="Z55" s="461"/>
      <c r="AA55" s="461"/>
      <c r="AB55" s="461"/>
      <c r="AC55" s="461"/>
    </row>
    <row r="56" spans="1:29" s="489" customFormat="1" ht="11.25" hidden="1" customHeight="1">
      <c r="A56" s="544"/>
      <c r="B56" s="1055">
        <v>45768</v>
      </c>
      <c r="C56" s="964" t="s">
        <v>11</v>
      </c>
      <c r="D56" s="922"/>
      <c r="E56" s="922">
        <v>30</v>
      </c>
      <c r="F56" s="1052" t="s">
        <v>125</v>
      </c>
      <c r="G56" s="569" t="s">
        <v>145</v>
      </c>
      <c r="H56" s="986"/>
      <c r="I56" s="968"/>
      <c r="J56" s="986"/>
      <c r="K56" s="1057">
        <v>3310.7</v>
      </c>
      <c r="L56" s="542" t="e">
        <f>'통장내역(환율표)'!#REF!</f>
        <v>#REF!</v>
      </c>
      <c r="M56" s="1096" t="e">
        <f t="shared" si="12"/>
        <v>#REF!</v>
      </c>
      <c r="N56" s="928" t="e">
        <f t="shared" si="10"/>
        <v>#REF!</v>
      </c>
      <c r="O56" s="928" t="e">
        <f t="shared" si="11"/>
        <v>#REF!</v>
      </c>
      <c r="P56" s="911" t="s">
        <v>1445</v>
      </c>
      <c r="Q56" s="641"/>
      <c r="R56" s="911" t="s">
        <v>1435</v>
      </c>
      <c r="S56" s="883" t="e">
        <f t="shared" si="13"/>
        <v>#REF!</v>
      </c>
      <c r="T56" s="461"/>
      <c r="U56" s="574"/>
      <c r="V56" s="461"/>
      <c r="W56" s="461"/>
      <c r="X56" s="461"/>
      <c r="Y56" s="461"/>
      <c r="Z56" s="461"/>
      <c r="AA56" s="461"/>
      <c r="AB56" s="461"/>
      <c r="AC56" s="461"/>
    </row>
    <row r="57" spans="1:29" s="489" customFormat="1" ht="11.25" hidden="1" customHeight="1">
      <c r="A57" s="544"/>
      <c r="B57" s="1055">
        <v>45768</v>
      </c>
      <c r="C57" s="964" t="s">
        <v>184</v>
      </c>
      <c r="D57" s="1207"/>
      <c r="E57" s="922">
        <v>31</v>
      </c>
      <c r="F57" s="1052" t="s">
        <v>107</v>
      </c>
      <c r="G57" s="569"/>
      <c r="H57" s="986"/>
      <c r="I57" s="968"/>
      <c r="J57" s="986"/>
      <c r="K57" s="919">
        <v>399</v>
      </c>
      <c r="L57" s="542" t="e">
        <f>'통장내역(환율표)'!#REF!</f>
        <v>#REF!</v>
      </c>
      <c r="M57" s="1096" t="e">
        <f t="shared" si="12"/>
        <v>#REF!</v>
      </c>
      <c r="N57" s="928" t="e">
        <f t="shared" si="10"/>
        <v>#REF!</v>
      </c>
      <c r="O57" s="928" t="e">
        <f t="shared" si="11"/>
        <v>#REF!</v>
      </c>
      <c r="P57" s="911" t="s">
        <v>1445</v>
      </c>
      <c r="Q57" s="641"/>
      <c r="R57" s="911" t="s">
        <v>1435</v>
      </c>
      <c r="S57" s="883" t="e">
        <f t="shared" si="13"/>
        <v>#REF!</v>
      </c>
      <c r="T57" s="461"/>
      <c r="U57" s="574"/>
      <c r="V57" s="461"/>
      <c r="W57" s="461"/>
      <c r="X57" s="461"/>
      <c r="Y57" s="461"/>
      <c r="Z57" s="461"/>
      <c r="AA57" s="461"/>
      <c r="AB57" s="461"/>
      <c r="AC57" s="461"/>
    </row>
    <row r="58" spans="1:29" s="489" customFormat="1" ht="11.25" hidden="1" customHeight="1">
      <c r="A58" s="544"/>
      <c r="B58" s="1055">
        <v>45768</v>
      </c>
      <c r="C58" s="964" t="s">
        <v>250</v>
      </c>
      <c r="D58" s="1207"/>
      <c r="E58" s="922">
        <v>32</v>
      </c>
      <c r="F58" s="1052" t="s">
        <v>107</v>
      </c>
      <c r="G58" s="569"/>
      <c r="H58" s="986"/>
      <c r="I58" s="968"/>
      <c r="J58" s="986"/>
      <c r="K58" s="1057">
        <v>3.6</v>
      </c>
      <c r="L58" s="542" t="e">
        <f>'통장내역(환율표)'!#REF!</f>
        <v>#REF!</v>
      </c>
      <c r="M58" s="1096" t="e">
        <f t="shared" si="12"/>
        <v>#REF!</v>
      </c>
      <c r="N58" s="928" t="e">
        <f t="shared" si="10"/>
        <v>#REF!</v>
      </c>
      <c r="O58" s="928" t="e">
        <f t="shared" si="11"/>
        <v>#REF!</v>
      </c>
      <c r="P58" s="911" t="s">
        <v>1445</v>
      </c>
      <c r="Q58" s="641"/>
      <c r="R58" s="911" t="s">
        <v>1435</v>
      </c>
      <c r="S58" s="883" t="e">
        <f t="shared" si="13"/>
        <v>#REF!</v>
      </c>
      <c r="T58" s="461"/>
      <c r="U58" s="574"/>
      <c r="V58" s="461"/>
      <c r="W58" s="461"/>
      <c r="X58" s="461"/>
      <c r="Y58" s="461"/>
      <c r="Z58" s="461"/>
      <c r="AA58" s="461"/>
      <c r="AB58" s="461"/>
      <c r="AC58" s="461"/>
    </row>
    <row r="59" spans="1:29" s="489" customFormat="1" ht="11.25" hidden="1" customHeight="1">
      <c r="A59" s="544"/>
      <c r="B59" s="1055">
        <v>45768</v>
      </c>
      <c r="C59" s="964" t="s">
        <v>11</v>
      </c>
      <c r="D59" s="922"/>
      <c r="E59" s="922">
        <v>33</v>
      </c>
      <c r="F59" s="1052" t="s">
        <v>125</v>
      </c>
      <c r="G59" s="569" t="s">
        <v>145</v>
      </c>
      <c r="H59" s="986"/>
      <c r="I59" s="968"/>
      <c r="J59" s="986"/>
      <c r="K59" s="1057">
        <v>15594.7</v>
      </c>
      <c r="L59" s="542" t="e">
        <f>'통장내역(환율표)'!#REF!</f>
        <v>#REF!</v>
      </c>
      <c r="M59" s="1096" t="e">
        <f t="shared" si="12"/>
        <v>#REF!</v>
      </c>
      <c r="N59" s="928" t="e">
        <f t="shared" si="10"/>
        <v>#REF!</v>
      </c>
      <c r="O59" s="928" t="e">
        <f t="shared" si="11"/>
        <v>#REF!</v>
      </c>
      <c r="P59" s="911" t="s">
        <v>1445</v>
      </c>
      <c r="Q59" s="641"/>
      <c r="R59" s="911" t="s">
        <v>211</v>
      </c>
      <c r="S59" s="883" t="e">
        <f t="shared" si="13"/>
        <v>#REF!</v>
      </c>
      <c r="T59" s="461"/>
      <c r="U59" s="574"/>
      <c r="V59" s="461"/>
      <c r="W59" s="461"/>
      <c r="X59" s="461"/>
      <c r="Y59" s="461"/>
      <c r="Z59" s="461"/>
      <c r="AA59" s="461"/>
      <c r="AB59" s="461"/>
      <c r="AC59" s="461"/>
    </row>
    <row r="60" spans="1:29" s="489" customFormat="1" ht="11.25" hidden="1" customHeight="1">
      <c r="A60" s="544"/>
      <c r="B60" s="1055">
        <v>45768</v>
      </c>
      <c r="C60" s="964" t="s">
        <v>1403</v>
      </c>
      <c r="D60" s="922"/>
      <c r="E60" s="922">
        <v>34</v>
      </c>
      <c r="F60" s="1052" t="s">
        <v>146</v>
      </c>
      <c r="G60" s="569" t="s">
        <v>147</v>
      </c>
      <c r="H60" s="986"/>
      <c r="I60" s="968"/>
      <c r="J60" s="986"/>
      <c r="K60" s="1057">
        <v>12341.06</v>
      </c>
      <c r="L60" s="542" t="e">
        <f>'통장내역(환율표)'!#REF!</f>
        <v>#REF!</v>
      </c>
      <c r="M60" s="1096" t="e">
        <f t="shared" si="12"/>
        <v>#REF!</v>
      </c>
      <c r="N60" s="928" t="e">
        <f t="shared" si="10"/>
        <v>#REF!</v>
      </c>
      <c r="O60" s="928" t="e">
        <f t="shared" si="11"/>
        <v>#REF!</v>
      </c>
      <c r="P60" s="911" t="s">
        <v>1445</v>
      </c>
      <c r="Q60" s="641"/>
      <c r="R60" s="911" t="s">
        <v>211</v>
      </c>
      <c r="S60" s="883" t="e">
        <f t="shared" si="13"/>
        <v>#REF!</v>
      </c>
      <c r="T60" s="461"/>
      <c r="U60" s="574"/>
      <c r="V60" s="461"/>
      <c r="W60" s="461"/>
      <c r="X60" s="461"/>
      <c r="Y60" s="461"/>
      <c r="Z60" s="461"/>
      <c r="AA60" s="461"/>
      <c r="AB60" s="461"/>
      <c r="AC60" s="461"/>
    </row>
    <row r="61" spans="1:29" s="489" customFormat="1" ht="11.25" hidden="1" customHeight="1">
      <c r="A61" s="544"/>
      <c r="B61" s="1055">
        <v>45768</v>
      </c>
      <c r="C61" s="964" t="s">
        <v>862</v>
      </c>
      <c r="D61" s="1207"/>
      <c r="E61" s="922">
        <v>35</v>
      </c>
      <c r="F61" s="1052" t="s">
        <v>107</v>
      </c>
      <c r="G61" s="569"/>
      <c r="H61" s="986"/>
      <c r="I61" s="968"/>
      <c r="J61" s="986"/>
      <c r="K61" s="1057">
        <v>7.2</v>
      </c>
      <c r="L61" s="542" t="e">
        <f>'통장내역(환율표)'!#REF!</f>
        <v>#REF!</v>
      </c>
      <c r="M61" s="1096" t="e">
        <f t="shared" si="12"/>
        <v>#REF!</v>
      </c>
      <c r="N61" s="928" t="e">
        <f t="shared" si="10"/>
        <v>#REF!</v>
      </c>
      <c r="O61" s="928" t="e">
        <f t="shared" si="11"/>
        <v>#REF!</v>
      </c>
      <c r="P61" s="911" t="s">
        <v>1445</v>
      </c>
      <c r="Q61" s="641"/>
      <c r="R61" s="911" t="s">
        <v>211</v>
      </c>
      <c r="S61" s="883" t="e">
        <f t="shared" si="13"/>
        <v>#REF!</v>
      </c>
      <c r="T61" s="461"/>
      <c r="U61" s="574"/>
      <c r="V61" s="461"/>
      <c r="W61" s="461"/>
      <c r="X61" s="461"/>
      <c r="Y61" s="461"/>
      <c r="Z61" s="461"/>
      <c r="AA61" s="461"/>
      <c r="AB61" s="461"/>
      <c r="AC61" s="461"/>
    </row>
    <row r="62" spans="1:29" s="489" customFormat="1" ht="11.25" hidden="1" customHeight="1">
      <c r="A62" s="544"/>
      <c r="B62" s="1055">
        <v>45768</v>
      </c>
      <c r="C62" s="964" t="s">
        <v>1404</v>
      </c>
      <c r="D62" s="922"/>
      <c r="E62" s="922">
        <v>36</v>
      </c>
      <c r="F62" s="1052" t="s">
        <v>146</v>
      </c>
      <c r="G62" s="569" t="s">
        <v>147</v>
      </c>
      <c r="H62" s="986"/>
      <c r="I62" s="968"/>
      <c r="J62" s="986"/>
      <c r="K62" s="1057">
        <v>15.97</v>
      </c>
      <c r="L62" s="542" t="e">
        <f>'통장내역(환율표)'!#REF!</f>
        <v>#REF!</v>
      </c>
      <c r="M62" s="1096" t="e">
        <f t="shared" si="12"/>
        <v>#REF!</v>
      </c>
      <c r="N62" s="928" t="e">
        <f t="shared" si="10"/>
        <v>#REF!</v>
      </c>
      <c r="O62" s="928" t="e">
        <f t="shared" si="11"/>
        <v>#REF!</v>
      </c>
      <c r="P62" s="911" t="s">
        <v>1445</v>
      </c>
      <c r="Q62" s="641"/>
      <c r="R62" s="911" t="s">
        <v>1436</v>
      </c>
      <c r="S62" s="883" t="e">
        <f t="shared" si="13"/>
        <v>#REF!</v>
      </c>
      <c r="T62" s="461"/>
      <c r="U62" s="574"/>
      <c r="V62" s="461"/>
      <c r="W62" s="461"/>
      <c r="X62" s="461"/>
      <c r="Y62" s="461"/>
      <c r="Z62" s="461"/>
      <c r="AA62" s="461"/>
      <c r="AB62" s="461"/>
      <c r="AC62" s="461"/>
    </row>
    <row r="63" spans="1:29" s="489" customFormat="1" ht="11.25" hidden="1" customHeight="1">
      <c r="A63" s="544"/>
      <c r="B63" s="1055">
        <v>45768</v>
      </c>
      <c r="C63" s="964" t="s">
        <v>11</v>
      </c>
      <c r="D63" s="922"/>
      <c r="E63" s="922">
        <v>37</v>
      </c>
      <c r="F63" s="1052" t="s">
        <v>125</v>
      </c>
      <c r="G63" s="569" t="s">
        <v>145</v>
      </c>
      <c r="H63" s="986"/>
      <c r="I63" s="968"/>
      <c r="J63" s="986"/>
      <c r="K63" s="1057">
        <v>111</v>
      </c>
      <c r="L63" s="542" t="e">
        <f>'통장내역(환율표)'!#REF!</f>
        <v>#REF!</v>
      </c>
      <c r="M63" s="1096" t="e">
        <f t="shared" si="12"/>
        <v>#REF!</v>
      </c>
      <c r="N63" s="928" t="e">
        <f t="shared" si="10"/>
        <v>#REF!</v>
      </c>
      <c r="O63" s="928" t="e">
        <f t="shared" si="11"/>
        <v>#REF!</v>
      </c>
      <c r="P63" s="911" t="s">
        <v>1445</v>
      </c>
      <c r="Q63" s="641"/>
      <c r="R63" s="911" t="s">
        <v>1436</v>
      </c>
      <c r="S63" s="883" t="e">
        <f t="shared" si="13"/>
        <v>#REF!</v>
      </c>
      <c r="T63" s="461"/>
      <c r="U63" s="574"/>
      <c r="V63" s="461"/>
      <c r="W63" s="461"/>
      <c r="X63" s="461"/>
      <c r="Y63" s="461"/>
      <c r="Z63" s="461"/>
      <c r="AA63" s="461"/>
      <c r="AB63" s="461"/>
      <c r="AC63" s="461"/>
    </row>
    <row r="64" spans="1:29" s="489" customFormat="1" ht="11.25" hidden="1" customHeight="1">
      <c r="A64" s="544"/>
      <c r="B64" s="1055">
        <v>45768</v>
      </c>
      <c r="C64" s="964" t="s">
        <v>19</v>
      </c>
      <c r="D64" s="922"/>
      <c r="E64" s="922">
        <v>38</v>
      </c>
      <c r="F64" s="1052" t="s">
        <v>116</v>
      </c>
      <c r="G64" s="569" t="s">
        <v>140</v>
      </c>
      <c r="H64" s="986"/>
      <c r="I64" s="968"/>
      <c r="J64" s="986"/>
      <c r="K64" s="1057">
        <v>198.1</v>
      </c>
      <c r="L64" s="542" t="e">
        <f>'통장내역(환율표)'!#REF!</f>
        <v>#REF!</v>
      </c>
      <c r="M64" s="1096" t="e">
        <f t="shared" si="12"/>
        <v>#REF!</v>
      </c>
      <c r="N64" s="928" t="e">
        <f t="shared" si="10"/>
        <v>#REF!</v>
      </c>
      <c r="O64" s="928" t="e">
        <f t="shared" si="11"/>
        <v>#REF!</v>
      </c>
      <c r="P64" s="911" t="s">
        <v>1445</v>
      </c>
      <c r="Q64" s="641"/>
      <c r="R64" s="911" t="s">
        <v>1436</v>
      </c>
      <c r="S64" s="883" t="e">
        <f t="shared" si="13"/>
        <v>#REF!</v>
      </c>
      <c r="T64" s="461"/>
      <c r="U64" s="574"/>
      <c r="V64" s="461"/>
      <c r="W64" s="461"/>
      <c r="X64" s="461"/>
      <c r="Y64" s="461"/>
      <c r="Z64" s="461"/>
      <c r="AA64" s="461"/>
      <c r="AB64" s="461"/>
      <c r="AC64" s="461"/>
    </row>
    <row r="65" spans="1:29" s="489" customFormat="1" ht="11.25" hidden="1" customHeight="1">
      <c r="A65" s="544"/>
      <c r="B65" s="1055">
        <v>45768</v>
      </c>
      <c r="C65" s="964" t="s">
        <v>1405</v>
      </c>
      <c r="D65" s="1207"/>
      <c r="E65" s="922">
        <v>39</v>
      </c>
      <c r="F65" s="1052" t="s">
        <v>107</v>
      </c>
      <c r="G65" s="569"/>
      <c r="H65" s="986"/>
      <c r="I65" s="968"/>
      <c r="J65" s="986"/>
      <c r="K65" s="1057">
        <v>13</v>
      </c>
      <c r="L65" s="542" t="e">
        <f>'통장내역(환율표)'!#REF!</f>
        <v>#REF!</v>
      </c>
      <c r="M65" s="1096" t="e">
        <f t="shared" si="12"/>
        <v>#REF!</v>
      </c>
      <c r="N65" s="928" t="e">
        <f t="shared" si="10"/>
        <v>#REF!</v>
      </c>
      <c r="O65" s="928" t="e">
        <f t="shared" si="11"/>
        <v>#REF!</v>
      </c>
      <c r="P65" s="911" t="s">
        <v>1445</v>
      </c>
      <c r="Q65" s="641"/>
      <c r="R65" s="911" t="s">
        <v>1436</v>
      </c>
      <c r="S65" s="883" t="e">
        <f t="shared" si="13"/>
        <v>#REF!</v>
      </c>
      <c r="T65" s="461"/>
      <c r="U65" s="574"/>
      <c r="V65" s="461"/>
      <c r="W65" s="461"/>
      <c r="X65" s="461"/>
      <c r="Y65" s="461"/>
      <c r="Z65" s="461"/>
      <c r="AA65" s="461"/>
      <c r="AB65" s="461"/>
      <c r="AC65" s="461"/>
    </row>
    <row r="66" spans="1:29" s="489" customFormat="1" ht="11.25" hidden="1" customHeight="1">
      <c r="A66" s="544"/>
      <c r="B66" s="1055">
        <v>45768</v>
      </c>
      <c r="C66" s="964" t="s">
        <v>250</v>
      </c>
      <c r="D66" s="1207"/>
      <c r="E66" s="922">
        <v>40</v>
      </c>
      <c r="F66" s="1052" t="s">
        <v>107</v>
      </c>
      <c r="G66" s="569"/>
      <c r="H66" s="986"/>
      <c r="I66" s="968"/>
      <c r="J66" s="986"/>
      <c r="K66" s="1057">
        <v>3.6</v>
      </c>
      <c r="L66" s="542" t="e">
        <f>'통장내역(환율표)'!#REF!</f>
        <v>#REF!</v>
      </c>
      <c r="M66" s="1096" t="e">
        <f t="shared" si="12"/>
        <v>#REF!</v>
      </c>
      <c r="N66" s="928" t="e">
        <f t="shared" si="10"/>
        <v>#REF!</v>
      </c>
      <c r="O66" s="928" t="e">
        <f t="shared" si="11"/>
        <v>#REF!</v>
      </c>
      <c r="P66" s="911" t="s">
        <v>1445</v>
      </c>
      <c r="Q66" s="641"/>
      <c r="R66" s="911" t="s">
        <v>1436</v>
      </c>
      <c r="S66" s="883" t="e">
        <f t="shared" si="13"/>
        <v>#REF!</v>
      </c>
      <c r="T66" s="461"/>
      <c r="U66" s="574"/>
      <c r="V66" s="461"/>
      <c r="W66" s="461"/>
      <c r="X66" s="461"/>
      <c r="Y66" s="461"/>
      <c r="Z66" s="461"/>
      <c r="AA66" s="461"/>
      <c r="AB66" s="461"/>
      <c r="AC66" s="461"/>
    </row>
    <row r="67" spans="1:29" s="489" customFormat="1" ht="11.25" hidden="1" customHeight="1">
      <c r="A67" s="544"/>
      <c r="B67" s="1055">
        <v>45768</v>
      </c>
      <c r="C67" s="964" t="s">
        <v>1406</v>
      </c>
      <c r="D67" s="922"/>
      <c r="E67" s="922">
        <v>41</v>
      </c>
      <c r="F67" s="1052" t="s">
        <v>146</v>
      </c>
      <c r="G67" s="569" t="s">
        <v>147</v>
      </c>
      <c r="H67" s="986"/>
      <c r="I67" s="968"/>
      <c r="J67" s="986"/>
      <c r="K67" s="1057">
        <v>2331</v>
      </c>
      <c r="L67" s="542" t="e">
        <f>'통장내역(환율표)'!#REF!</f>
        <v>#REF!</v>
      </c>
      <c r="M67" s="1096" t="e">
        <f t="shared" si="12"/>
        <v>#REF!</v>
      </c>
      <c r="N67" s="928" t="e">
        <f t="shared" si="10"/>
        <v>#REF!</v>
      </c>
      <c r="O67" s="928" t="e">
        <f t="shared" si="11"/>
        <v>#REF!</v>
      </c>
      <c r="P67" s="911" t="s">
        <v>1445</v>
      </c>
      <c r="Q67" s="641"/>
      <c r="R67" s="911" t="s">
        <v>1437</v>
      </c>
      <c r="S67" s="883" t="e">
        <f t="shared" si="13"/>
        <v>#REF!</v>
      </c>
      <c r="T67" s="461"/>
      <c r="U67" s="574"/>
      <c r="V67" s="461"/>
      <c r="W67" s="461"/>
      <c r="X67" s="461"/>
      <c r="Y67" s="461"/>
      <c r="Z67" s="461"/>
      <c r="AA67" s="461"/>
      <c r="AB67" s="461"/>
      <c r="AC67" s="461"/>
    </row>
    <row r="68" spans="1:29" s="489" customFormat="1" ht="11.25" hidden="1" customHeight="1">
      <c r="A68" s="544"/>
      <c r="B68" s="1055">
        <v>45768</v>
      </c>
      <c r="C68" s="964" t="s">
        <v>1407</v>
      </c>
      <c r="D68" s="922"/>
      <c r="E68" s="922">
        <v>42</v>
      </c>
      <c r="F68" s="1052" t="s">
        <v>146</v>
      </c>
      <c r="G68" s="569" t="s">
        <v>147</v>
      </c>
      <c r="H68" s="986"/>
      <c r="I68" s="968"/>
      <c r="J68" s="986"/>
      <c r="K68" s="1057">
        <v>163.6</v>
      </c>
      <c r="L68" s="542" t="e">
        <f>'통장내역(환율표)'!#REF!</f>
        <v>#REF!</v>
      </c>
      <c r="M68" s="1096" t="e">
        <f t="shared" si="12"/>
        <v>#REF!</v>
      </c>
      <c r="N68" s="928" t="e">
        <f t="shared" si="10"/>
        <v>#REF!</v>
      </c>
      <c r="O68" s="928" t="e">
        <f t="shared" si="11"/>
        <v>#REF!</v>
      </c>
      <c r="P68" s="911" t="s">
        <v>1445</v>
      </c>
      <c r="Q68" s="641"/>
      <c r="R68" s="911" t="s">
        <v>1437</v>
      </c>
      <c r="S68" s="883" t="e">
        <f t="shared" si="13"/>
        <v>#REF!</v>
      </c>
      <c r="T68" s="461"/>
      <c r="U68" s="574"/>
      <c r="V68" s="461"/>
      <c r="W68" s="461"/>
      <c r="X68" s="461"/>
      <c r="Y68" s="461"/>
      <c r="Z68" s="461"/>
      <c r="AA68" s="461"/>
      <c r="AB68" s="461"/>
      <c r="AC68" s="461"/>
    </row>
    <row r="69" spans="1:29" s="489" customFormat="1" ht="11.25" hidden="1" customHeight="1">
      <c r="A69" s="544"/>
      <c r="B69" s="1055">
        <v>45768</v>
      </c>
      <c r="C69" s="964" t="s">
        <v>1408</v>
      </c>
      <c r="D69" s="922"/>
      <c r="E69" s="922">
        <v>43</v>
      </c>
      <c r="F69" s="1052" t="s">
        <v>146</v>
      </c>
      <c r="G69" s="569" t="s">
        <v>147</v>
      </c>
      <c r="H69" s="986"/>
      <c r="I69" s="968"/>
      <c r="J69" s="986"/>
      <c r="K69" s="1057">
        <v>369</v>
      </c>
      <c r="L69" s="542" t="e">
        <f>'통장내역(환율표)'!#REF!</f>
        <v>#REF!</v>
      </c>
      <c r="M69" s="1096" t="e">
        <f t="shared" si="12"/>
        <v>#REF!</v>
      </c>
      <c r="N69" s="928" t="e">
        <f t="shared" si="10"/>
        <v>#REF!</v>
      </c>
      <c r="O69" s="928" t="e">
        <f t="shared" si="11"/>
        <v>#REF!</v>
      </c>
      <c r="P69" s="911" t="s">
        <v>1445</v>
      </c>
      <c r="Q69" s="641"/>
      <c r="R69" s="911" t="s">
        <v>1437</v>
      </c>
      <c r="S69" s="883" t="e">
        <f t="shared" si="13"/>
        <v>#REF!</v>
      </c>
      <c r="T69" s="461"/>
      <c r="U69" s="574"/>
      <c r="V69" s="461"/>
      <c r="W69" s="461"/>
      <c r="X69" s="461"/>
      <c r="Y69" s="461"/>
      <c r="Z69" s="461"/>
      <c r="AA69" s="461"/>
      <c r="AB69" s="461"/>
      <c r="AC69" s="461"/>
    </row>
    <row r="70" spans="1:29" s="489" customFormat="1" ht="11.25" hidden="1" customHeight="1">
      <c r="A70" s="544"/>
      <c r="B70" s="1055">
        <v>45768</v>
      </c>
      <c r="C70" s="964" t="s">
        <v>250</v>
      </c>
      <c r="D70" s="1207"/>
      <c r="E70" s="922">
        <v>44</v>
      </c>
      <c r="F70" s="1052" t="s">
        <v>107</v>
      </c>
      <c r="G70" s="569"/>
      <c r="H70" s="986"/>
      <c r="I70" s="968"/>
      <c r="J70" s="986"/>
      <c r="K70" s="1057">
        <v>3.6</v>
      </c>
      <c r="L70" s="542" t="e">
        <f>'통장내역(환율표)'!#REF!</f>
        <v>#REF!</v>
      </c>
      <c r="M70" s="1096" t="e">
        <f t="shared" si="12"/>
        <v>#REF!</v>
      </c>
      <c r="N70" s="928" t="e">
        <f t="shared" si="10"/>
        <v>#REF!</v>
      </c>
      <c r="O70" s="928" t="e">
        <f t="shared" si="11"/>
        <v>#REF!</v>
      </c>
      <c r="P70" s="911" t="s">
        <v>1445</v>
      </c>
      <c r="Q70" s="641"/>
      <c r="R70" s="911" t="s">
        <v>1437</v>
      </c>
      <c r="S70" s="883" t="e">
        <f t="shared" si="13"/>
        <v>#REF!</v>
      </c>
      <c r="T70" s="461"/>
      <c r="U70" s="574"/>
      <c r="V70" s="461"/>
      <c r="W70" s="461"/>
      <c r="X70" s="461"/>
      <c r="Y70" s="461"/>
      <c r="Z70" s="461"/>
      <c r="AA70" s="461"/>
      <c r="AB70" s="461"/>
      <c r="AC70" s="461"/>
    </row>
    <row r="71" spans="1:29" s="489" customFormat="1" ht="11.25" hidden="1" customHeight="1">
      <c r="A71" s="544"/>
      <c r="B71" s="1055">
        <v>45768</v>
      </c>
      <c r="C71" s="964" t="s">
        <v>1408</v>
      </c>
      <c r="D71" s="922"/>
      <c r="E71" s="922">
        <v>45</v>
      </c>
      <c r="F71" s="1052" t="s">
        <v>146</v>
      </c>
      <c r="G71" s="569" t="s">
        <v>147</v>
      </c>
      <c r="H71" s="986"/>
      <c r="I71" s="968"/>
      <c r="J71" s="986"/>
      <c r="K71" s="1057">
        <v>529</v>
      </c>
      <c r="L71" s="542" t="e">
        <f>'통장내역(환율표)'!#REF!</f>
        <v>#REF!</v>
      </c>
      <c r="M71" s="1096" t="e">
        <f t="shared" si="12"/>
        <v>#REF!</v>
      </c>
      <c r="N71" s="928" t="e">
        <f t="shared" si="10"/>
        <v>#REF!</v>
      </c>
      <c r="O71" s="928" t="e">
        <f t="shared" si="11"/>
        <v>#REF!</v>
      </c>
      <c r="P71" s="911" t="s">
        <v>1445</v>
      </c>
      <c r="Q71" s="641"/>
      <c r="R71" s="911" t="s">
        <v>1438</v>
      </c>
      <c r="S71" s="883" t="e">
        <f t="shared" si="13"/>
        <v>#REF!</v>
      </c>
      <c r="T71" s="461"/>
      <c r="U71" s="574"/>
      <c r="V71" s="461"/>
      <c r="W71" s="461"/>
      <c r="X71" s="461"/>
      <c r="Y71" s="461"/>
      <c r="Z71" s="461"/>
      <c r="AA71" s="461"/>
      <c r="AB71" s="461"/>
      <c r="AC71" s="461"/>
    </row>
    <row r="72" spans="1:29" s="489" customFormat="1" ht="11.25" hidden="1" customHeight="1">
      <c r="A72" s="544"/>
      <c r="B72" s="1055">
        <v>45768</v>
      </c>
      <c r="C72" s="964" t="s">
        <v>1406</v>
      </c>
      <c r="D72" s="922"/>
      <c r="E72" s="922">
        <v>46</v>
      </c>
      <c r="F72" s="1052" t="s">
        <v>146</v>
      </c>
      <c r="G72" s="569" t="s">
        <v>147</v>
      </c>
      <c r="H72" s="986"/>
      <c r="I72" s="968"/>
      <c r="J72" s="986"/>
      <c r="K72" s="1057">
        <v>2255</v>
      </c>
      <c r="L72" s="542" t="e">
        <f>'통장내역(환율표)'!#REF!</f>
        <v>#REF!</v>
      </c>
      <c r="M72" s="1096" t="e">
        <f t="shared" si="12"/>
        <v>#REF!</v>
      </c>
      <c r="N72" s="928" t="e">
        <f t="shared" si="10"/>
        <v>#REF!</v>
      </c>
      <c r="O72" s="928" t="e">
        <f t="shared" si="11"/>
        <v>#REF!</v>
      </c>
      <c r="P72" s="911" t="s">
        <v>1445</v>
      </c>
      <c r="Q72" s="641"/>
      <c r="R72" s="911" t="s">
        <v>1438</v>
      </c>
      <c r="S72" s="883" t="e">
        <f t="shared" si="13"/>
        <v>#REF!</v>
      </c>
      <c r="T72" s="461"/>
      <c r="U72" s="574"/>
      <c r="V72" s="461"/>
      <c r="W72" s="461"/>
      <c r="X72" s="461"/>
      <c r="Y72" s="461"/>
      <c r="Z72" s="461"/>
      <c r="AA72" s="461"/>
      <c r="AB72" s="461"/>
      <c r="AC72" s="461"/>
    </row>
    <row r="73" spans="1:29" s="489" customFormat="1" ht="11.25" hidden="1" customHeight="1">
      <c r="A73" s="544"/>
      <c r="B73" s="1055">
        <v>45768</v>
      </c>
      <c r="C73" s="964" t="s">
        <v>1407</v>
      </c>
      <c r="D73" s="922"/>
      <c r="E73" s="922">
        <v>47</v>
      </c>
      <c r="F73" s="1052" t="s">
        <v>146</v>
      </c>
      <c r="G73" s="569" t="s">
        <v>147</v>
      </c>
      <c r="H73" s="986"/>
      <c r="I73" s="968"/>
      <c r="J73" s="986"/>
      <c r="K73" s="1057">
        <v>201</v>
      </c>
      <c r="L73" s="542" t="e">
        <f>'통장내역(환율표)'!#REF!</f>
        <v>#REF!</v>
      </c>
      <c r="M73" s="1096" t="e">
        <f t="shared" si="12"/>
        <v>#REF!</v>
      </c>
      <c r="N73" s="928" t="e">
        <f t="shared" si="10"/>
        <v>#REF!</v>
      </c>
      <c r="O73" s="928" t="e">
        <f t="shared" si="11"/>
        <v>#REF!</v>
      </c>
      <c r="P73" s="911" t="s">
        <v>1445</v>
      </c>
      <c r="Q73" s="641"/>
      <c r="R73" s="911" t="s">
        <v>1438</v>
      </c>
      <c r="S73" s="883" t="e">
        <f t="shared" si="13"/>
        <v>#REF!</v>
      </c>
      <c r="T73" s="461"/>
      <c r="U73" s="574"/>
      <c r="V73" s="461"/>
      <c r="W73" s="461"/>
      <c r="X73" s="461"/>
      <c r="Y73" s="461"/>
      <c r="Z73" s="461"/>
      <c r="AA73" s="461"/>
      <c r="AB73" s="461"/>
      <c r="AC73" s="461"/>
    </row>
    <row r="74" spans="1:29" s="489" customFormat="1" ht="11.25" hidden="1" customHeight="1">
      <c r="A74" s="544"/>
      <c r="B74" s="1055">
        <v>45768</v>
      </c>
      <c r="C74" s="964" t="s">
        <v>250</v>
      </c>
      <c r="D74" s="1207"/>
      <c r="E74" s="922">
        <v>48</v>
      </c>
      <c r="F74" s="1052" t="s">
        <v>107</v>
      </c>
      <c r="G74" s="569"/>
      <c r="H74" s="986"/>
      <c r="I74" s="968"/>
      <c r="J74" s="986"/>
      <c r="K74" s="1057">
        <v>3.6</v>
      </c>
      <c r="L74" s="542" t="e">
        <f>'통장내역(환율표)'!#REF!</f>
        <v>#REF!</v>
      </c>
      <c r="M74" s="1096" t="e">
        <f t="shared" si="12"/>
        <v>#REF!</v>
      </c>
      <c r="N74" s="928" t="e">
        <f t="shared" si="10"/>
        <v>#REF!</v>
      </c>
      <c r="O74" s="928" t="e">
        <f t="shared" si="11"/>
        <v>#REF!</v>
      </c>
      <c r="P74" s="911" t="s">
        <v>1445</v>
      </c>
      <c r="Q74" s="641"/>
      <c r="R74" s="911" t="s">
        <v>1438</v>
      </c>
      <c r="S74" s="883" t="e">
        <f t="shared" si="13"/>
        <v>#REF!</v>
      </c>
      <c r="T74" s="461"/>
      <c r="U74" s="574"/>
      <c r="V74" s="461"/>
      <c r="W74" s="461"/>
      <c r="X74" s="461"/>
      <c r="Y74" s="461"/>
      <c r="Z74" s="461"/>
      <c r="AA74" s="461"/>
      <c r="AB74" s="461"/>
      <c r="AC74" s="461"/>
    </row>
    <row r="75" spans="1:29" s="489" customFormat="1" ht="11.25" hidden="1" customHeight="1">
      <c r="A75" s="544"/>
      <c r="B75" s="1055">
        <v>45768</v>
      </c>
      <c r="C75" s="964" t="s">
        <v>885</v>
      </c>
      <c r="D75" s="1207"/>
      <c r="E75" s="922">
        <v>49</v>
      </c>
      <c r="F75" s="1052" t="s">
        <v>107</v>
      </c>
      <c r="G75" s="569"/>
      <c r="H75" s="986"/>
      <c r="I75" s="968"/>
      <c r="J75" s="986"/>
      <c r="K75" s="596">
        <v>16000</v>
      </c>
      <c r="L75" s="542" t="e">
        <f>'통장내역(환율표)'!#REF!</f>
        <v>#REF!</v>
      </c>
      <c r="M75" s="1096" t="e">
        <f t="shared" si="12"/>
        <v>#REF!</v>
      </c>
      <c r="N75" s="928" t="e">
        <f t="shared" si="10"/>
        <v>#REF!</v>
      </c>
      <c r="O75" s="928" t="e">
        <f t="shared" si="11"/>
        <v>#REF!</v>
      </c>
      <c r="P75" s="911" t="s">
        <v>1445</v>
      </c>
      <c r="Q75" s="641"/>
      <c r="R75" s="1104" t="s">
        <v>1443</v>
      </c>
      <c r="S75" s="883" t="e">
        <f t="shared" si="13"/>
        <v>#REF!</v>
      </c>
      <c r="T75" s="461"/>
      <c r="U75" s="574"/>
      <c r="V75" s="461"/>
      <c r="W75" s="461"/>
      <c r="X75" s="461"/>
      <c r="Y75" s="461"/>
      <c r="Z75" s="461"/>
      <c r="AA75" s="461"/>
      <c r="AB75" s="461"/>
      <c r="AC75" s="461"/>
    </row>
    <row r="76" spans="1:29" s="489" customFormat="1" ht="11.25" hidden="1" customHeight="1">
      <c r="A76" s="544"/>
      <c r="B76" s="1055">
        <v>45768</v>
      </c>
      <c r="C76" s="964" t="s">
        <v>938</v>
      </c>
      <c r="D76" s="1207"/>
      <c r="E76" s="922">
        <v>49</v>
      </c>
      <c r="F76" s="1052" t="s">
        <v>107</v>
      </c>
      <c r="G76" s="569"/>
      <c r="H76" s="986"/>
      <c r="I76" s="968"/>
      <c r="J76" s="986"/>
      <c r="K76" s="596">
        <v>24000</v>
      </c>
      <c r="L76" s="542" t="e">
        <f>'통장내역(환율표)'!#REF!</f>
        <v>#REF!</v>
      </c>
      <c r="M76" s="1096" t="e">
        <f t="shared" si="12"/>
        <v>#REF!</v>
      </c>
      <c r="N76" s="928" t="e">
        <f t="shared" si="10"/>
        <v>#REF!</v>
      </c>
      <c r="O76" s="928" t="e">
        <f t="shared" si="11"/>
        <v>#REF!</v>
      </c>
      <c r="P76" s="911" t="s">
        <v>1445</v>
      </c>
      <c r="Q76" s="641"/>
      <c r="R76" s="1104" t="s">
        <v>1443</v>
      </c>
      <c r="S76" s="883" t="e">
        <f t="shared" si="13"/>
        <v>#REF!</v>
      </c>
      <c r="T76" s="461"/>
      <c r="U76" s="574"/>
      <c r="V76" s="461"/>
      <c r="W76" s="461"/>
      <c r="X76" s="461"/>
      <c r="Y76" s="461"/>
      <c r="Z76" s="461"/>
      <c r="AA76" s="461"/>
      <c r="AB76" s="461"/>
      <c r="AC76" s="461"/>
    </row>
    <row r="77" spans="1:29" s="489" customFormat="1" ht="11.25" hidden="1" customHeight="1">
      <c r="A77" s="544"/>
      <c r="B77" s="1055">
        <v>45768</v>
      </c>
      <c r="C77" s="964" t="s">
        <v>887</v>
      </c>
      <c r="D77" s="1207"/>
      <c r="E77" s="922">
        <v>49</v>
      </c>
      <c r="F77" s="1052" t="s">
        <v>107</v>
      </c>
      <c r="G77" s="569"/>
      <c r="H77" s="986"/>
      <c r="I77" s="968"/>
      <c r="J77" s="986"/>
      <c r="K77" s="596">
        <v>5305.1900000000005</v>
      </c>
      <c r="L77" s="542" t="e">
        <f>'통장내역(환율표)'!#REF!</f>
        <v>#REF!</v>
      </c>
      <c r="M77" s="1096" t="e">
        <f t="shared" si="12"/>
        <v>#REF!</v>
      </c>
      <c r="N77" s="928" t="e">
        <f t="shared" si="10"/>
        <v>#REF!</v>
      </c>
      <c r="O77" s="928" t="e">
        <f t="shared" si="11"/>
        <v>#REF!</v>
      </c>
      <c r="P77" s="911" t="s">
        <v>1445</v>
      </c>
      <c r="Q77" s="641"/>
      <c r="R77" s="1104" t="s">
        <v>1443</v>
      </c>
      <c r="S77" s="883" t="e">
        <f t="shared" si="13"/>
        <v>#REF!</v>
      </c>
      <c r="T77" s="461"/>
      <c r="U77" s="574"/>
      <c r="V77" s="461"/>
      <c r="W77" s="461"/>
      <c r="X77" s="461"/>
      <c r="Y77" s="461"/>
      <c r="Z77" s="461"/>
      <c r="AA77" s="461"/>
      <c r="AB77" s="461"/>
      <c r="AC77" s="461"/>
    </row>
    <row r="78" spans="1:29" s="489" customFormat="1" ht="11.25" hidden="1" customHeight="1">
      <c r="A78" s="544"/>
      <c r="B78" s="1055">
        <v>45768</v>
      </c>
      <c r="C78" s="964" t="s">
        <v>888</v>
      </c>
      <c r="D78" s="1207"/>
      <c r="E78" s="922">
        <v>49</v>
      </c>
      <c r="F78" s="1052" t="s">
        <v>107</v>
      </c>
      <c r="G78" s="569"/>
      <c r="H78" s="986"/>
      <c r="I78" s="968"/>
      <c r="J78" s="986"/>
      <c r="K78" s="638">
        <v>3336.8000000000011</v>
      </c>
      <c r="L78" s="542" t="e">
        <f>'통장내역(환율표)'!#REF!</f>
        <v>#REF!</v>
      </c>
      <c r="M78" s="1096" t="e">
        <f t="shared" si="12"/>
        <v>#REF!</v>
      </c>
      <c r="N78" s="928" t="e">
        <f t="shared" si="10"/>
        <v>#REF!</v>
      </c>
      <c r="O78" s="928" t="e">
        <f t="shared" si="11"/>
        <v>#REF!</v>
      </c>
      <c r="P78" s="911" t="s">
        <v>1445</v>
      </c>
      <c r="Q78" s="641"/>
      <c r="R78" s="1104" t="s">
        <v>1443</v>
      </c>
      <c r="S78" s="883" t="e">
        <f t="shared" si="13"/>
        <v>#REF!</v>
      </c>
      <c r="T78" s="461"/>
      <c r="U78" s="574"/>
      <c r="V78" s="461"/>
      <c r="W78" s="461"/>
      <c r="X78" s="461"/>
      <c r="Y78" s="461"/>
      <c r="Z78" s="461"/>
      <c r="AA78" s="461"/>
      <c r="AB78" s="461"/>
      <c r="AC78" s="461"/>
    </row>
    <row r="79" spans="1:29" ht="11.25" hidden="1" customHeight="1">
      <c r="B79" s="1055">
        <v>45768</v>
      </c>
      <c r="C79" s="964" t="s">
        <v>892</v>
      </c>
      <c r="D79" s="1207"/>
      <c r="E79" s="922">
        <v>49</v>
      </c>
      <c r="F79" s="1052" t="s">
        <v>107</v>
      </c>
      <c r="G79" s="569"/>
      <c r="H79" s="986"/>
      <c r="I79" s="968"/>
      <c r="J79" s="986"/>
      <c r="K79" s="638">
        <v>300</v>
      </c>
      <c r="L79" s="542" t="e">
        <f>'통장내역(환율표)'!#REF!</f>
        <v>#REF!</v>
      </c>
      <c r="M79" s="1096" t="e">
        <f t="shared" si="12"/>
        <v>#REF!</v>
      </c>
      <c r="N79" s="928" t="e">
        <f t="shared" si="10"/>
        <v>#REF!</v>
      </c>
      <c r="O79" s="928" t="e">
        <f t="shared" si="11"/>
        <v>#REF!</v>
      </c>
      <c r="P79" s="911" t="s">
        <v>1445</v>
      </c>
      <c r="Q79" s="641"/>
      <c r="R79" s="1104" t="s">
        <v>1443</v>
      </c>
      <c r="S79" s="883" t="e">
        <f t="shared" si="13"/>
        <v>#REF!</v>
      </c>
    </row>
    <row r="80" spans="1:29" ht="11.25" hidden="1" customHeight="1">
      <c r="B80" s="1055">
        <v>45772</v>
      </c>
      <c r="C80" s="964" t="s">
        <v>885</v>
      </c>
      <c r="D80" s="1207"/>
      <c r="E80" s="922">
        <v>49</v>
      </c>
      <c r="F80" s="1052" t="s">
        <v>107</v>
      </c>
      <c r="G80" s="569"/>
      <c r="H80" s="986"/>
      <c r="I80" s="968"/>
      <c r="J80" s="986"/>
      <c r="K80" s="596">
        <v>16000</v>
      </c>
      <c r="L80" s="542" t="e">
        <f>'통장내역(환율표)'!#REF!</f>
        <v>#REF!</v>
      </c>
      <c r="M80" s="1096" t="e">
        <f t="shared" si="12"/>
        <v>#REF!</v>
      </c>
      <c r="N80" s="928" t="e">
        <f t="shared" si="10"/>
        <v>#REF!</v>
      </c>
      <c r="O80" s="928" t="e">
        <f t="shared" si="11"/>
        <v>#REF!</v>
      </c>
      <c r="P80" s="911" t="s">
        <v>1445</v>
      </c>
      <c r="Q80" s="641"/>
      <c r="R80" s="1104" t="s">
        <v>1444</v>
      </c>
      <c r="S80" s="883" t="e">
        <f t="shared" si="13"/>
        <v>#REF!</v>
      </c>
    </row>
    <row r="81" spans="2:19" ht="11.25" hidden="1" customHeight="1">
      <c r="B81" s="1055">
        <v>45772</v>
      </c>
      <c r="C81" s="964" t="s">
        <v>938</v>
      </c>
      <c r="D81" s="1207"/>
      <c r="E81" s="922">
        <v>49</v>
      </c>
      <c r="F81" s="1052" t="s">
        <v>107</v>
      </c>
      <c r="G81" s="569"/>
      <c r="H81" s="986"/>
      <c r="I81" s="968"/>
      <c r="J81" s="986"/>
      <c r="K81" s="596">
        <v>24000</v>
      </c>
      <c r="L81" s="542" t="e">
        <f>'통장내역(환율표)'!#REF!</f>
        <v>#REF!</v>
      </c>
      <c r="M81" s="1096" t="e">
        <f t="shared" si="12"/>
        <v>#REF!</v>
      </c>
      <c r="N81" s="928" t="e">
        <f t="shared" si="10"/>
        <v>#REF!</v>
      </c>
      <c r="O81" s="928" t="e">
        <f t="shared" si="11"/>
        <v>#REF!</v>
      </c>
      <c r="P81" s="911" t="s">
        <v>1445</v>
      </c>
      <c r="Q81" s="641"/>
      <c r="R81" s="1105" t="s">
        <v>1444</v>
      </c>
      <c r="S81" s="883" t="e">
        <f t="shared" si="13"/>
        <v>#REF!</v>
      </c>
    </row>
    <row r="82" spans="2:19" ht="11.25" hidden="1" customHeight="1">
      <c r="B82" s="1055">
        <v>45772</v>
      </c>
      <c r="C82" s="964" t="s">
        <v>887</v>
      </c>
      <c r="D82" s="1207"/>
      <c r="E82" s="922">
        <v>49</v>
      </c>
      <c r="F82" s="1052" t="s">
        <v>107</v>
      </c>
      <c r="G82" s="569"/>
      <c r="H82" s="986"/>
      <c r="I82" s="968"/>
      <c r="J82" s="986"/>
      <c r="K82" s="638">
        <v>9305.19</v>
      </c>
      <c r="L82" s="542" t="e">
        <f>'통장내역(환율표)'!#REF!</f>
        <v>#REF!</v>
      </c>
      <c r="M82" s="1096" t="e">
        <f t="shared" si="12"/>
        <v>#REF!</v>
      </c>
      <c r="N82" s="928" t="e">
        <f t="shared" si="10"/>
        <v>#REF!</v>
      </c>
      <c r="O82" s="928" t="e">
        <f t="shared" si="11"/>
        <v>#REF!</v>
      </c>
      <c r="P82" s="911" t="s">
        <v>1445</v>
      </c>
      <c r="Q82" s="641"/>
      <c r="R82" s="1105" t="s">
        <v>1444</v>
      </c>
      <c r="S82" s="883" t="e">
        <f t="shared" si="13"/>
        <v>#REF!</v>
      </c>
    </row>
    <row r="83" spans="2:19" ht="11.25" hidden="1" customHeight="1">
      <c r="B83" s="1055">
        <v>45772</v>
      </c>
      <c r="C83" s="964" t="s">
        <v>888</v>
      </c>
      <c r="D83" s="1207"/>
      <c r="E83" s="922">
        <v>49</v>
      </c>
      <c r="F83" s="1052" t="s">
        <v>107</v>
      </c>
      <c r="G83" s="569"/>
      <c r="H83" s="986"/>
      <c r="I83" s="968"/>
      <c r="J83" s="986"/>
      <c r="K83" s="638">
        <v>3144.8000000000011</v>
      </c>
      <c r="L83" s="542" t="e">
        <f>'통장내역(환율표)'!#REF!</f>
        <v>#REF!</v>
      </c>
      <c r="M83" s="1096" t="e">
        <f t="shared" si="12"/>
        <v>#REF!</v>
      </c>
      <c r="N83" s="928" t="e">
        <f t="shared" si="10"/>
        <v>#REF!</v>
      </c>
      <c r="O83" s="928" t="e">
        <f t="shared" si="11"/>
        <v>#REF!</v>
      </c>
      <c r="P83" s="911" t="s">
        <v>1445</v>
      </c>
      <c r="Q83" s="641"/>
      <c r="R83" s="1105" t="s">
        <v>1444</v>
      </c>
      <c r="S83" s="883" t="e">
        <f t="shared" si="13"/>
        <v>#REF!</v>
      </c>
    </row>
    <row r="84" spans="2:19" ht="11.25" hidden="1" customHeight="1">
      <c r="B84" s="1055">
        <v>45772</v>
      </c>
      <c r="C84" s="964" t="s">
        <v>892</v>
      </c>
      <c r="D84" s="1207"/>
      <c r="E84" s="922">
        <v>49</v>
      </c>
      <c r="F84" s="1052" t="s">
        <v>107</v>
      </c>
      <c r="G84" s="569"/>
      <c r="H84" s="986"/>
      <c r="I84" s="968"/>
      <c r="J84" s="986"/>
      <c r="K84" s="638">
        <v>300</v>
      </c>
      <c r="L84" s="542" t="e">
        <f>'통장내역(환율표)'!#REF!</f>
        <v>#REF!</v>
      </c>
      <c r="M84" s="1096" t="e">
        <f t="shared" si="12"/>
        <v>#REF!</v>
      </c>
      <c r="N84" s="928" t="e">
        <f t="shared" si="10"/>
        <v>#REF!</v>
      </c>
      <c r="O84" s="928" t="e">
        <f t="shared" si="11"/>
        <v>#REF!</v>
      </c>
      <c r="P84" s="911" t="s">
        <v>1445</v>
      </c>
      <c r="Q84" s="641"/>
      <c r="R84" s="1105" t="s">
        <v>1444</v>
      </c>
      <c r="S84" s="883" t="e">
        <f t="shared" si="13"/>
        <v>#REF!</v>
      </c>
    </row>
    <row r="85" spans="2:19" ht="11.25" customHeight="1">
      <c r="B85" s="1055">
        <v>45772</v>
      </c>
      <c r="C85" s="964" t="s">
        <v>891</v>
      </c>
      <c r="D85" s="922"/>
      <c r="E85" s="922">
        <v>49</v>
      </c>
      <c r="F85" s="1052" t="s">
        <v>107</v>
      </c>
      <c r="G85" s="569"/>
      <c r="H85" s="986"/>
      <c r="I85" s="968"/>
      <c r="J85" s="986"/>
      <c r="K85" s="639">
        <v>25750</v>
      </c>
      <c r="L85" s="542" t="e">
        <f>'통장내역(환율표)'!#REF!</f>
        <v>#REF!</v>
      </c>
      <c r="M85" s="1096" t="e">
        <f t="shared" si="12"/>
        <v>#REF!</v>
      </c>
      <c r="N85" s="928" t="e">
        <f t="shared" si="10"/>
        <v>#REF!</v>
      </c>
      <c r="O85" s="928" t="e">
        <f t="shared" si="11"/>
        <v>#REF!</v>
      </c>
      <c r="P85" s="911" t="s">
        <v>1445</v>
      </c>
      <c r="Q85" s="641"/>
      <c r="R85" s="1104" t="s">
        <v>1439</v>
      </c>
      <c r="S85" s="883" t="e">
        <f t="shared" si="13"/>
        <v>#REF!</v>
      </c>
    </row>
    <row r="86" spans="2:19" ht="11.25" customHeight="1">
      <c r="B86" s="1055">
        <v>45772</v>
      </c>
      <c r="C86" s="964" t="s">
        <v>1109</v>
      </c>
      <c r="D86" s="922"/>
      <c r="E86" s="922">
        <v>49</v>
      </c>
      <c r="F86" s="1052" t="s">
        <v>107</v>
      </c>
      <c r="G86" s="569"/>
      <c r="H86" s="986"/>
      <c r="I86" s="968"/>
      <c r="J86" s="986"/>
      <c r="K86" s="639">
        <v>12875</v>
      </c>
      <c r="L86" s="542" t="e">
        <f>'통장내역(환율표)'!#REF!</f>
        <v>#REF!</v>
      </c>
      <c r="M86" s="1096" t="e">
        <f t="shared" si="12"/>
        <v>#REF!</v>
      </c>
      <c r="N86" s="928" t="e">
        <f t="shared" si="10"/>
        <v>#REF!</v>
      </c>
      <c r="O86" s="928" t="e">
        <f t="shared" si="11"/>
        <v>#REF!</v>
      </c>
      <c r="P86" s="911" t="s">
        <v>1445</v>
      </c>
      <c r="Q86" s="641"/>
      <c r="R86" s="1104" t="s">
        <v>1439</v>
      </c>
      <c r="S86" s="883" t="e">
        <f t="shared" si="13"/>
        <v>#REF!</v>
      </c>
    </row>
    <row r="87" spans="2:19" ht="11.25" hidden="1" customHeight="1">
      <c r="B87" s="1055">
        <v>45772</v>
      </c>
      <c r="C87" s="964" t="s">
        <v>939</v>
      </c>
      <c r="D87" s="1207"/>
      <c r="E87" s="922">
        <v>49</v>
      </c>
      <c r="F87" s="1052" t="s">
        <v>107</v>
      </c>
      <c r="G87" s="569"/>
      <c r="H87" s="986"/>
      <c r="I87" s="968"/>
      <c r="J87" s="986"/>
      <c r="K87" s="638">
        <v>7431.44</v>
      </c>
      <c r="L87" s="542" t="e">
        <f>'통장내역(환율표)'!#REF!</f>
        <v>#REF!</v>
      </c>
      <c r="M87" s="1096" t="e">
        <f t="shared" si="12"/>
        <v>#REF!</v>
      </c>
      <c r="N87" s="928" t="e">
        <f t="shared" si="10"/>
        <v>#REF!</v>
      </c>
      <c r="O87" s="928" t="e">
        <f t="shared" si="11"/>
        <v>#REF!</v>
      </c>
      <c r="P87" s="911" t="s">
        <v>1445</v>
      </c>
      <c r="Q87" s="641"/>
      <c r="R87" s="1104" t="s">
        <v>1439</v>
      </c>
      <c r="S87" s="883" t="e">
        <f t="shared" si="13"/>
        <v>#REF!</v>
      </c>
    </row>
    <row r="88" spans="2:19" ht="11.25" hidden="1" customHeight="1">
      <c r="B88" s="1055">
        <v>45772</v>
      </c>
      <c r="C88" s="964" t="s">
        <v>892</v>
      </c>
      <c r="D88" s="1207"/>
      <c r="E88" s="922">
        <v>49</v>
      </c>
      <c r="F88" s="1052" t="s">
        <v>107</v>
      </c>
      <c r="G88" s="569"/>
      <c r="H88" s="986"/>
      <c r="I88" s="968"/>
      <c r="J88" s="986"/>
      <c r="K88" s="638">
        <v>300</v>
      </c>
      <c r="L88" s="542" t="e">
        <f>'통장내역(환율표)'!#REF!</f>
        <v>#REF!</v>
      </c>
      <c r="M88" s="1096" t="e">
        <f t="shared" si="12"/>
        <v>#REF!</v>
      </c>
      <c r="N88" s="928" t="e">
        <f t="shared" ref="N88:N104" si="14">N87+H88-K88</f>
        <v>#REF!</v>
      </c>
      <c r="O88" s="928" t="e">
        <f t="shared" ref="O88:O104" si="15">O87+J88-M88</f>
        <v>#REF!</v>
      </c>
      <c r="P88" s="911" t="s">
        <v>1445</v>
      </c>
      <c r="Q88" s="641"/>
      <c r="R88" s="1104" t="s">
        <v>1439</v>
      </c>
      <c r="S88" s="883" t="e">
        <f t="shared" si="13"/>
        <v>#REF!</v>
      </c>
    </row>
    <row r="89" spans="2:19" ht="11.25" customHeight="1">
      <c r="B89" s="1055">
        <v>45772</v>
      </c>
      <c r="C89" s="964" t="s">
        <v>983</v>
      </c>
      <c r="D89" s="922"/>
      <c r="E89" s="922">
        <v>49</v>
      </c>
      <c r="F89" s="1052" t="s">
        <v>107</v>
      </c>
      <c r="G89" s="569"/>
      <c r="H89" s="986"/>
      <c r="I89" s="968"/>
      <c r="J89" s="986"/>
      <c r="K89" s="638">
        <v>800</v>
      </c>
      <c r="L89" s="542" t="e">
        <f>'통장내역(환율표)'!#REF!</f>
        <v>#REF!</v>
      </c>
      <c r="M89" s="1096" t="e">
        <f t="shared" ref="M89:M104" si="16">K89/L89</f>
        <v>#REF!</v>
      </c>
      <c r="N89" s="928" t="e">
        <f t="shared" si="14"/>
        <v>#REF!</v>
      </c>
      <c r="O89" s="928" t="e">
        <f t="shared" si="15"/>
        <v>#REF!</v>
      </c>
      <c r="P89" s="911" t="s">
        <v>1445</v>
      </c>
      <c r="Q89" s="641"/>
      <c r="R89" s="1104" t="s">
        <v>1439</v>
      </c>
      <c r="S89" s="883" t="e">
        <f t="shared" si="13"/>
        <v>#REF!</v>
      </c>
    </row>
    <row r="90" spans="2:19" ht="11.25" customHeight="1">
      <c r="B90" s="1055">
        <v>45772</v>
      </c>
      <c r="C90" s="964" t="s">
        <v>891</v>
      </c>
      <c r="D90" s="922"/>
      <c r="E90" s="922">
        <v>49</v>
      </c>
      <c r="F90" s="1052" t="s">
        <v>107</v>
      </c>
      <c r="G90" s="569"/>
      <c r="H90" s="986"/>
      <c r="I90" s="968"/>
      <c r="J90" s="986"/>
      <c r="K90" s="639">
        <v>13390</v>
      </c>
      <c r="L90" s="542" t="e">
        <f>'통장내역(환율표)'!#REF!</f>
        <v>#REF!</v>
      </c>
      <c r="M90" s="1096" t="e">
        <f t="shared" si="16"/>
        <v>#REF!</v>
      </c>
      <c r="N90" s="928" t="e">
        <f t="shared" si="14"/>
        <v>#REF!</v>
      </c>
      <c r="O90" s="928" t="e">
        <f t="shared" si="15"/>
        <v>#REF!</v>
      </c>
      <c r="P90" s="911" t="s">
        <v>1445</v>
      </c>
      <c r="Q90" s="641"/>
      <c r="R90" s="1106" t="s">
        <v>1440</v>
      </c>
      <c r="S90" s="883" t="e">
        <f t="shared" ref="S90:S104" si="17">S89-M90+J90</f>
        <v>#REF!</v>
      </c>
    </row>
    <row r="91" spans="2:19" ht="11.25" customHeight="1">
      <c r="B91" s="1055">
        <v>45772</v>
      </c>
      <c r="C91" s="964" t="s">
        <v>1109</v>
      </c>
      <c r="D91" s="922"/>
      <c r="E91" s="922">
        <v>49</v>
      </c>
      <c r="F91" s="1052" t="s">
        <v>107</v>
      </c>
      <c r="G91" s="569"/>
      <c r="H91" s="986"/>
      <c r="I91" s="968"/>
      <c r="J91" s="986"/>
      <c r="K91" s="639">
        <v>4120</v>
      </c>
      <c r="L91" s="542" t="e">
        <f>'통장내역(환율표)'!#REF!</f>
        <v>#REF!</v>
      </c>
      <c r="M91" s="1096" t="e">
        <f t="shared" si="16"/>
        <v>#REF!</v>
      </c>
      <c r="N91" s="928" t="e">
        <f t="shared" si="14"/>
        <v>#REF!</v>
      </c>
      <c r="O91" s="928" t="e">
        <f t="shared" si="15"/>
        <v>#REF!</v>
      </c>
      <c r="P91" s="911" t="s">
        <v>1445</v>
      </c>
      <c r="Q91" s="641"/>
      <c r="R91" s="1106" t="s">
        <v>1440</v>
      </c>
      <c r="S91" s="883" t="e">
        <f t="shared" si="17"/>
        <v>#REF!</v>
      </c>
    </row>
    <row r="92" spans="2:19" ht="11.25" hidden="1" customHeight="1">
      <c r="B92" s="1055">
        <v>45772</v>
      </c>
      <c r="C92" s="964" t="s">
        <v>939</v>
      </c>
      <c r="D92" s="1207"/>
      <c r="E92" s="922">
        <v>49</v>
      </c>
      <c r="F92" s="1052" t="s">
        <v>107</v>
      </c>
      <c r="G92" s="569"/>
      <c r="H92" s="986"/>
      <c r="I92" s="968"/>
      <c r="J92" s="986"/>
      <c r="K92" s="638">
        <v>3281.57</v>
      </c>
      <c r="L92" s="542" t="e">
        <f>'통장내역(환율표)'!#REF!</f>
        <v>#REF!</v>
      </c>
      <c r="M92" s="1096" t="e">
        <f t="shared" si="16"/>
        <v>#REF!</v>
      </c>
      <c r="N92" s="928" t="e">
        <f t="shared" si="14"/>
        <v>#REF!</v>
      </c>
      <c r="O92" s="928" t="e">
        <f t="shared" si="15"/>
        <v>#REF!</v>
      </c>
      <c r="P92" s="911" t="s">
        <v>1445</v>
      </c>
      <c r="Q92" s="641"/>
      <c r="R92" s="1106" t="s">
        <v>1440</v>
      </c>
      <c r="S92" s="883" t="e">
        <f t="shared" si="17"/>
        <v>#REF!</v>
      </c>
    </row>
    <row r="93" spans="2:19" ht="11.25" hidden="1" customHeight="1">
      <c r="B93" s="1055">
        <v>45772</v>
      </c>
      <c r="C93" s="964" t="s">
        <v>892</v>
      </c>
      <c r="D93" s="1207"/>
      <c r="E93" s="922">
        <v>49</v>
      </c>
      <c r="F93" s="1052" t="s">
        <v>107</v>
      </c>
      <c r="G93" s="569"/>
      <c r="H93" s="986"/>
      <c r="I93" s="968"/>
      <c r="J93" s="986"/>
      <c r="K93" s="638">
        <v>300</v>
      </c>
      <c r="L93" s="542" t="e">
        <f>'통장내역(환율표)'!#REF!</f>
        <v>#REF!</v>
      </c>
      <c r="M93" s="1096" t="e">
        <f t="shared" si="16"/>
        <v>#REF!</v>
      </c>
      <c r="N93" s="928" t="e">
        <f t="shared" si="14"/>
        <v>#REF!</v>
      </c>
      <c r="O93" s="928" t="e">
        <f t="shared" si="15"/>
        <v>#REF!</v>
      </c>
      <c r="P93" s="911" t="s">
        <v>1445</v>
      </c>
      <c r="Q93" s="641"/>
      <c r="R93" s="1106" t="s">
        <v>1440</v>
      </c>
      <c r="S93" s="883" t="e">
        <f t="shared" si="17"/>
        <v>#REF!</v>
      </c>
    </row>
    <row r="94" spans="2:19" ht="11.25" customHeight="1">
      <c r="B94" s="1055">
        <v>45772</v>
      </c>
      <c r="C94" s="964" t="s">
        <v>983</v>
      </c>
      <c r="D94" s="922"/>
      <c r="E94" s="922">
        <v>49</v>
      </c>
      <c r="F94" s="1052" t="s">
        <v>107</v>
      </c>
      <c r="G94" s="569"/>
      <c r="H94" s="986"/>
      <c r="I94" s="968"/>
      <c r="J94" s="986"/>
      <c r="K94" s="638">
        <v>200</v>
      </c>
      <c r="L94" s="542" t="e">
        <f>'통장내역(환율표)'!#REF!</f>
        <v>#REF!</v>
      </c>
      <c r="M94" s="1096" t="e">
        <f t="shared" si="16"/>
        <v>#REF!</v>
      </c>
      <c r="N94" s="928" t="e">
        <f t="shared" si="14"/>
        <v>#REF!</v>
      </c>
      <c r="O94" s="928" t="e">
        <f t="shared" si="15"/>
        <v>#REF!</v>
      </c>
      <c r="P94" s="911" t="s">
        <v>1445</v>
      </c>
      <c r="Q94" s="641"/>
      <c r="R94" s="1106" t="s">
        <v>1440</v>
      </c>
      <c r="S94" s="883" t="e">
        <f t="shared" si="17"/>
        <v>#REF!</v>
      </c>
    </row>
    <row r="95" spans="2:19" ht="11.25" customHeight="1">
      <c r="B95" s="1055">
        <v>45772</v>
      </c>
      <c r="C95" s="964" t="s">
        <v>891</v>
      </c>
      <c r="D95" s="922"/>
      <c r="E95" s="922">
        <v>49</v>
      </c>
      <c r="F95" s="1052" t="s">
        <v>107</v>
      </c>
      <c r="G95" s="569"/>
      <c r="H95" s="986"/>
      <c r="I95" s="968"/>
      <c r="J95" s="986"/>
      <c r="K95" s="639">
        <v>25750</v>
      </c>
      <c r="L95" s="542" t="e">
        <f>'통장내역(환율표)'!#REF!</f>
        <v>#REF!</v>
      </c>
      <c r="M95" s="1096" t="e">
        <f t="shared" si="16"/>
        <v>#REF!</v>
      </c>
      <c r="N95" s="928" t="e">
        <f t="shared" si="14"/>
        <v>#REF!</v>
      </c>
      <c r="O95" s="928" t="e">
        <f t="shared" si="15"/>
        <v>#REF!</v>
      </c>
      <c r="P95" s="911" t="s">
        <v>1445</v>
      </c>
      <c r="Q95" s="641"/>
      <c r="R95" s="1104" t="s">
        <v>1441</v>
      </c>
      <c r="S95" s="883" t="e">
        <f t="shared" si="17"/>
        <v>#REF!</v>
      </c>
    </row>
    <row r="96" spans="2:19" ht="11.25" customHeight="1">
      <c r="B96" s="1055">
        <v>45772</v>
      </c>
      <c r="C96" s="964" t="s">
        <v>1109</v>
      </c>
      <c r="D96" s="922"/>
      <c r="E96" s="922">
        <v>49</v>
      </c>
      <c r="F96" s="1052" t="s">
        <v>107</v>
      </c>
      <c r="G96" s="569"/>
      <c r="H96" s="986"/>
      <c r="I96" s="968"/>
      <c r="J96" s="986"/>
      <c r="K96" s="639">
        <v>10300</v>
      </c>
      <c r="L96" s="542" t="e">
        <f>'통장내역(환율표)'!#REF!</f>
        <v>#REF!</v>
      </c>
      <c r="M96" s="1096" t="e">
        <f t="shared" si="16"/>
        <v>#REF!</v>
      </c>
      <c r="N96" s="928" t="e">
        <f t="shared" si="14"/>
        <v>#REF!</v>
      </c>
      <c r="O96" s="928" t="e">
        <f t="shared" si="15"/>
        <v>#REF!</v>
      </c>
      <c r="P96" s="911" t="s">
        <v>1445</v>
      </c>
      <c r="Q96" s="641"/>
      <c r="R96" s="1104" t="s">
        <v>1441</v>
      </c>
      <c r="S96" s="883" t="e">
        <f t="shared" si="17"/>
        <v>#REF!</v>
      </c>
    </row>
    <row r="97" spans="2:19" ht="11.25" hidden="1" customHeight="1">
      <c r="B97" s="1055">
        <v>45772</v>
      </c>
      <c r="C97" s="964" t="s">
        <v>939</v>
      </c>
      <c r="D97" s="1207"/>
      <c r="E97" s="922">
        <v>49</v>
      </c>
      <c r="F97" s="1052" t="s">
        <v>107</v>
      </c>
      <c r="G97" s="569"/>
      <c r="H97" s="986"/>
      <c r="I97" s="968"/>
      <c r="J97" s="986"/>
      <c r="K97" s="638">
        <v>7431.44</v>
      </c>
      <c r="L97" s="542" t="e">
        <f>'통장내역(환율표)'!#REF!</f>
        <v>#REF!</v>
      </c>
      <c r="M97" s="1096" t="e">
        <f t="shared" si="16"/>
        <v>#REF!</v>
      </c>
      <c r="N97" s="928" t="e">
        <f t="shared" si="14"/>
        <v>#REF!</v>
      </c>
      <c r="O97" s="928" t="e">
        <f t="shared" si="15"/>
        <v>#REF!</v>
      </c>
      <c r="P97" s="911" t="s">
        <v>1445</v>
      </c>
      <c r="Q97" s="641"/>
      <c r="R97" s="1104" t="s">
        <v>1441</v>
      </c>
      <c r="S97" s="883" t="e">
        <f t="shared" si="17"/>
        <v>#REF!</v>
      </c>
    </row>
    <row r="98" spans="2:19" ht="11.25" hidden="1" customHeight="1">
      <c r="B98" s="1055">
        <v>45772</v>
      </c>
      <c r="C98" s="964" t="s">
        <v>892</v>
      </c>
      <c r="D98" s="1207"/>
      <c r="E98" s="922">
        <v>49</v>
      </c>
      <c r="F98" s="1052" t="s">
        <v>107</v>
      </c>
      <c r="G98" s="569"/>
      <c r="H98" s="986"/>
      <c r="I98" s="968"/>
      <c r="J98" s="986"/>
      <c r="K98" s="638">
        <v>300</v>
      </c>
      <c r="L98" s="542" t="e">
        <f>'통장내역(환율표)'!#REF!</f>
        <v>#REF!</v>
      </c>
      <c r="M98" s="1096" t="e">
        <f t="shared" si="16"/>
        <v>#REF!</v>
      </c>
      <c r="N98" s="928" t="e">
        <f t="shared" si="14"/>
        <v>#REF!</v>
      </c>
      <c r="O98" s="928" t="e">
        <f t="shared" si="15"/>
        <v>#REF!</v>
      </c>
      <c r="P98" s="911" t="s">
        <v>1445</v>
      </c>
      <c r="Q98" s="641"/>
      <c r="R98" s="1104" t="s">
        <v>1441</v>
      </c>
      <c r="S98" s="883" t="e">
        <f t="shared" si="17"/>
        <v>#REF!</v>
      </c>
    </row>
    <row r="99" spans="2:19" ht="11.25" customHeight="1">
      <c r="B99" s="1055">
        <v>45772</v>
      </c>
      <c r="C99" s="964" t="s">
        <v>983</v>
      </c>
      <c r="D99" s="922"/>
      <c r="E99" s="922">
        <v>49</v>
      </c>
      <c r="F99" s="1052" t="s">
        <v>107</v>
      </c>
      <c r="G99" s="569"/>
      <c r="H99" s="986"/>
      <c r="I99" s="968"/>
      <c r="J99" s="986"/>
      <c r="K99" s="638">
        <v>200</v>
      </c>
      <c r="L99" s="542" t="e">
        <f>'통장내역(환율표)'!#REF!</f>
        <v>#REF!</v>
      </c>
      <c r="M99" s="1096" t="e">
        <f t="shared" si="16"/>
        <v>#REF!</v>
      </c>
      <c r="N99" s="928" t="e">
        <f t="shared" si="14"/>
        <v>#REF!</v>
      </c>
      <c r="O99" s="928" t="e">
        <f t="shared" si="15"/>
        <v>#REF!</v>
      </c>
      <c r="P99" s="911" t="s">
        <v>1445</v>
      </c>
      <c r="Q99" s="641"/>
      <c r="R99" s="1104" t="s">
        <v>1441</v>
      </c>
      <c r="S99" s="883" t="e">
        <f t="shared" si="17"/>
        <v>#REF!</v>
      </c>
    </row>
    <row r="100" spans="2:19" ht="11.25" customHeight="1">
      <c r="B100" s="1055">
        <v>45772</v>
      </c>
      <c r="C100" s="964" t="s">
        <v>891</v>
      </c>
      <c r="D100" s="922"/>
      <c r="E100" s="922">
        <v>49</v>
      </c>
      <c r="F100" s="1052" t="s">
        <v>107</v>
      </c>
      <c r="G100" s="569"/>
      <c r="H100" s="986"/>
      <c r="I100" s="968"/>
      <c r="J100" s="986"/>
      <c r="K100" s="638">
        <v>21300</v>
      </c>
      <c r="L100" s="542" t="e">
        <f>'통장내역(환율표)'!#REF!</f>
        <v>#REF!</v>
      </c>
      <c r="M100" s="1096" t="e">
        <f t="shared" si="16"/>
        <v>#REF!</v>
      </c>
      <c r="N100" s="928" t="e">
        <f t="shared" si="14"/>
        <v>#REF!</v>
      </c>
      <c r="O100" s="928" t="e">
        <f t="shared" si="15"/>
        <v>#REF!</v>
      </c>
      <c r="P100" s="911" t="s">
        <v>1445</v>
      </c>
      <c r="Q100" s="641"/>
      <c r="R100" s="1104" t="s">
        <v>1442</v>
      </c>
      <c r="S100" s="883" t="e">
        <f t="shared" si="17"/>
        <v>#REF!</v>
      </c>
    </row>
    <row r="101" spans="2:19" ht="11.25" customHeight="1">
      <c r="B101" s="1055">
        <v>45772</v>
      </c>
      <c r="C101" s="964" t="s">
        <v>1109</v>
      </c>
      <c r="D101" s="922"/>
      <c r="E101" s="922">
        <v>49</v>
      </c>
      <c r="F101" s="1052" t="s">
        <v>107</v>
      </c>
      <c r="G101" s="569"/>
      <c r="H101" s="986"/>
      <c r="I101" s="968"/>
      <c r="J101" s="986"/>
      <c r="K101" s="638">
        <v>8600</v>
      </c>
      <c r="L101" s="542" t="e">
        <f>'통장내역(환율표)'!#REF!</f>
        <v>#REF!</v>
      </c>
      <c r="M101" s="1096" t="e">
        <f t="shared" si="16"/>
        <v>#REF!</v>
      </c>
      <c r="N101" s="928" t="e">
        <f t="shared" si="14"/>
        <v>#REF!</v>
      </c>
      <c r="O101" s="928" t="e">
        <f t="shared" si="15"/>
        <v>#REF!</v>
      </c>
      <c r="P101" s="911" t="s">
        <v>1445</v>
      </c>
      <c r="Q101" s="641"/>
      <c r="R101" s="1104" t="s">
        <v>1442</v>
      </c>
      <c r="S101" s="883" t="e">
        <f t="shared" si="17"/>
        <v>#REF!</v>
      </c>
    </row>
    <row r="102" spans="2:19" ht="11.25" hidden="1" customHeight="1">
      <c r="B102" s="1055">
        <v>45772</v>
      </c>
      <c r="C102" s="964" t="s">
        <v>939</v>
      </c>
      <c r="D102" s="1207"/>
      <c r="E102" s="922">
        <v>49</v>
      </c>
      <c r="F102" s="1052" t="s">
        <v>107</v>
      </c>
      <c r="G102" s="569"/>
      <c r="H102" s="986"/>
      <c r="I102" s="968"/>
      <c r="J102" s="986"/>
      <c r="K102" s="638">
        <v>5941.29</v>
      </c>
      <c r="L102" s="542" t="e">
        <f>'통장내역(환율표)'!#REF!</f>
        <v>#REF!</v>
      </c>
      <c r="M102" s="1096" t="e">
        <f t="shared" si="16"/>
        <v>#REF!</v>
      </c>
      <c r="N102" s="928" t="e">
        <f t="shared" si="14"/>
        <v>#REF!</v>
      </c>
      <c r="O102" s="928" t="e">
        <f t="shared" si="15"/>
        <v>#REF!</v>
      </c>
      <c r="P102" s="911" t="s">
        <v>1445</v>
      </c>
      <c r="Q102" s="641"/>
      <c r="R102" s="1104" t="s">
        <v>1442</v>
      </c>
      <c r="S102" s="883" t="e">
        <f t="shared" si="17"/>
        <v>#REF!</v>
      </c>
    </row>
    <row r="103" spans="2:19" ht="11.25" hidden="1" customHeight="1">
      <c r="B103" s="1055">
        <v>45772</v>
      </c>
      <c r="C103" s="964" t="s">
        <v>892</v>
      </c>
      <c r="D103" s="1207"/>
      <c r="E103" s="922">
        <v>49</v>
      </c>
      <c r="F103" s="1052" t="s">
        <v>107</v>
      </c>
      <c r="G103" s="569"/>
      <c r="H103" s="986"/>
      <c r="I103" s="968"/>
      <c r="J103" s="986"/>
      <c r="K103" s="638">
        <v>300</v>
      </c>
      <c r="L103" s="542" t="e">
        <f>'통장내역(환율표)'!#REF!</f>
        <v>#REF!</v>
      </c>
      <c r="M103" s="1096" t="e">
        <f t="shared" si="16"/>
        <v>#REF!</v>
      </c>
      <c r="N103" s="928" t="e">
        <f t="shared" si="14"/>
        <v>#REF!</v>
      </c>
      <c r="O103" s="928" t="e">
        <f t="shared" si="15"/>
        <v>#REF!</v>
      </c>
      <c r="P103" s="911" t="s">
        <v>1445</v>
      </c>
      <c r="Q103" s="641"/>
      <c r="R103" s="1104" t="s">
        <v>1442</v>
      </c>
      <c r="S103" s="883" t="e">
        <f t="shared" si="17"/>
        <v>#REF!</v>
      </c>
    </row>
    <row r="104" spans="2:19" ht="11.25" hidden="1" customHeight="1">
      <c r="B104" s="1055">
        <v>45772</v>
      </c>
      <c r="C104" s="964" t="s">
        <v>115</v>
      </c>
      <c r="D104" s="1207"/>
      <c r="E104" s="917">
        <v>50</v>
      </c>
      <c r="F104" s="1052" t="s">
        <v>107</v>
      </c>
      <c r="G104" s="569"/>
      <c r="H104" s="986"/>
      <c r="I104" s="968"/>
      <c r="J104" s="986"/>
      <c r="K104" s="918">
        <v>12</v>
      </c>
      <c r="L104" s="542" t="e">
        <f>'통장내역(환율표)'!#REF!</f>
        <v>#REF!</v>
      </c>
      <c r="M104" s="1096" t="e">
        <f t="shared" si="16"/>
        <v>#REF!</v>
      </c>
      <c r="N104" s="928" t="e">
        <f t="shared" si="14"/>
        <v>#REF!</v>
      </c>
      <c r="O104" s="928" t="e">
        <f t="shared" si="15"/>
        <v>#REF!</v>
      </c>
      <c r="P104" s="911" t="s">
        <v>1445</v>
      </c>
      <c r="Q104" s="641"/>
      <c r="R104" s="911"/>
      <c r="S104" s="883" t="e">
        <f t="shared" si="17"/>
        <v>#REF!</v>
      </c>
    </row>
    <row r="105" spans="2:19" ht="11.25" customHeight="1">
      <c r="M105" s="852"/>
    </row>
    <row r="106" spans="2:19" ht="11.25" customHeight="1">
      <c r="M106" s="852"/>
    </row>
  </sheetData>
  <autoFilter ref="B18:R104" xr:uid="{00000000-0009-0000-0000-000001000000}">
    <filterColumn colId="2">
      <colorFilter dxfId="12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13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091E-0B4E-4DEB-AEE1-7B5FB763565C}">
  <sheetPr>
    <tabColor rgb="FFFFC000"/>
  </sheetPr>
  <dimension ref="A1:AC112"/>
  <sheetViews>
    <sheetView showGridLines="0" zoomScaleNormal="100" workbookViewId="0">
      <pane ySplit="19" topLeftCell="A101" activePane="bottomLeft" state="frozen"/>
      <selection activeCell="H90" sqref="H90"/>
      <selection pane="bottomLeft" activeCell="H90" sqref="H90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520" customWidth="1"/>
    <col min="4" max="4" width="9.69921875" style="461" customWidth="1"/>
    <col min="5" max="5" width="12.09765625" style="461" customWidth="1"/>
    <col min="6" max="6" width="12.5" style="46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890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10.69921875" style="461" customWidth="1"/>
    <col min="17" max="17" width="9.59765625" style="461" customWidth="1"/>
    <col min="18" max="18" width="31.5" style="489" customWidth="1"/>
    <col min="19" max="19" width="10.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1066"/>
      <c r="D1" s="451"/>
      <c r="E1" s="453"/>
      <c r="F1" s="453"/>
      <c r="G1" s="454"/>
      <c r="H1" s="453"/>
      <c r="I1" s="453"/>
      <c r="J1" s="455"/>
      <c r="K1" s="1072"/>
      <c r="L1" s="456"/>
      <c r="M1" s="457"/>
      <c r="N1" s="457"/>
      <c r="O1" s="451"/>
      <c r="P1" s="458"/>
      <c r="Q1" s="458"/>
      <c r="R1" s="459"/>
      <c r="S1" s="460"/>
    </row>
    <row r="2" spans="1:29" ht="15" customHeight="1">
      <c r="B2" s="1053" t="s">
        <v>1446</v>
      </c>
      <c r="D2" s="520"/>
      <c r="F2" s="1004"/>
      <c r="G2" s="489" t="s">
        <v>1047</v>
      </c>
      <c r="H2" s="1005" t="s">
        <v>1398</v>
      </c>
      <c r="I2" s="525"/>
      <c r="J2" s="525"/>
      <c r="K2" s="1073"/>
      <c r="L2" s="525"/>
      <c r="M2" s="525"/>
      <c r="N2" s="767"/>
      <c r="O2" s="1006"/>
      <c r="Q2" s="1007"/>
    </row>
    <row r="3" spans="1:29" s="483" customFormat="1" ht="11.25" customHeight="1">
      <c r="A3" s="475"/>
      <c r="B3" s="476" t="s">
        <v>1431</v>
      </c>
      <c r="C3" s="477"/>
      <c r="D3" s="477"/>
      <c r="E3" s="477"/>
      <c r="F3" s="983">
        <v>1482.9</v>
      </c>
      <c r="G3" s="480"/>
      <c r="H3" s="476" t="s">
        <v>1458</v>
      </c>
      <c r="I3" s="477"/>
      <c r="K3" s="1074"/>
      <c r="L3" s="983">
        <v>1405.6</v>
      </c>
      <c r="N3" s="476"/>
      <c r="O3" s="476"/>
      <c r="P3" s="476"/>
      <c r="Q3" s="476"/>
      <c r="R3" s="476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1067" t="s">
        <v>2</v>
      </c>
      <c r="D4" s="485" t="s">
        <v>1049</v>
      </c>
      <c r="E4" s="487" t="s">
        <v>1050</v>
      </c>
      <c r="F4" s="488" t="s">
        <v>1051</v>
      </c>
      <c r="H4" s="484" t="s">
        <v>1</v>
      </c>
      <c r="I4" s="485" t="s">
        <v>2</v>
      </c>
      <c r="J4" s="486" t="s">
        <v>1049</v>
      </c>
      <c r="K4" s="490" t="s">
        <v>1050</v>
      </c>
      <c r="L4" s="488" t="s">
        <v>1051</v>
      </c>
      <c r="M4" s="866"/>
      <c r="N4" s="476"/>
      <c r="O4" s="476"/>
      <c r="P4" s="476"/>
      <c r="Q4" s="476"/>
      <c r="R4" s="476"/>
      <c r="U4" s="461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3161.4</v>
      </c>
      <c r="E5" s="496">
        <v>431.34</v>
      </c>
      <c r="F5" s="497">
        <f>ROUND(E5*$F$3,0)</f>
        <v>639634</v>
      </c>
      <c r="G5" s="498"/>
      <c r="H5" s="499" t="s">
        <v>11</v>
      </c>
      <c r="I5" s="499" t="s">
        <v>12</v>
      </c>
      <c r="J5" s="693">
        <v>14265.08</v>
      </c>
      <c r="K5" s="1075">
        <v>1986.7</v>
      </c>
      <c r="L5" s="651">
        <f>ROUND(K5*$L$3,0)</f>
        <v>2792506</v>
      </c>
      <c r="M5" s="851">
        <f>L5+F5</f>
        <v>3432140</v>
      </c>
      <c r="N5" s="476"/>
      <c r="O5" s="476"/>
      <c r="P5" s="476"/>
      <c r="Q5" s="476"/>
      <c r="R5" s="476"/>
      <c r="S5" s="1036">
        <f>F5+L5+R5</f>
        <v>3432140</v>
      </c>
      <c r="U5" s="461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11847.426888358515</v>
      </c>
      <c r="E6" s="500">
        <v>1616.47</v>
      </c>
      <c r="F6" s="497">
        <f t="shared" ref="F6:F12" si="0">ROUND(E6*$F$3,0)</f>
        <v>2397063</v>
      </c>
      <c r="G6" s="502"/>
      <c r="H6" s="499" t="s">
        <v>13</v>
      </c>
      <c r="I6" s="499" t="s">
        <v>14</v>
      </c>
      <c r="J6" s="693">
        <v>19528.07</v>
      </c>
      <c r="K6" s="1075">
        <v>2719.68</v>
      </c>
      <c r="L6" s="651">
        <f t="shared" ref="L6:L12" si="1">ROUND(K6*$L$3,0)</f>
        <v>3822782</v>
      </c>
      <c r="M6" s="851">
        <f t="shared" ref="M6:M13" si="2">L6+F6</f>
        <v>6219845</v>
      </c>
      <c r="N6" s="476"/>
      <c r="O6" s="476"/>
      <c r="P6" s="476"/>
      <c r="Q6" s="476"/>
      <c r="R6" s="476"/>
      <c r="S6" s="1036">
        <f t="shared" ref="S6:S13" si="3">F6+L6+R6</f>
        <v>6219845</v>
      </c>
      <c r="U6" s="461"/>
      <c r="AB6" s="525"/>
      <c r="AC6" s="489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25096</v>
      </c>
      <c r="E7" s="500">
        <v>3424.11</v>
      </c>
      <c r="F7" s="497">
        <f t="shared" si="0"/>
        <v>5077613</v>
      </c>
      <c r="G7" s="503"/>
      <c r="H7" s="499" t="s">
        <v>15</v>
      </c>
      <c r="I7" s="499" t="s">
        <v>1055</v>
      </c>
      <c r="J7" s="694"/>
      <c r="K7" s="1076"/>
      <c r="L7" s="651">
        <f t="shared" si="1"/>
        <v>0</v>
      </c>
      <c r="M7" s="851">
        <f t="shared" si="2"/>
        <v>5077613</v>
      </c>
      <c r="N7" s="476"/>
      <c r="O7" s="476"/>
      <c r="P7" s="476"/>
      <c r="Q7" s="476"/>
      <c r="R7" s="476"/>
      <c r="S7" s="1036">
        <f t="shared" si="3"/>
        <v>5077613</v>
      </c>
      <c r="U7" s="461"/>
    </row>
    <row r="8" spans="1:29" ht="15" customHeight="1">
      <c r="A8" s="492">
        <v>51201030</v>
      </c>
      <c r="B8" s="493" t="s">
        <v>1056</v>
      </c>
      <c r="C8" s="494" t="s">
        <v>17</v>
      </c>
      <c r="D8" s="500"/>
      <c r="E8" s="500"/>
      <c r="F8" s="497">
        <f t="shared" si="0"/>
        <v>0</v>
      </c>
      <c r="G8" s="503"/>
      <c r="H8" s="499" t="s">
        <v>15</v>
      </c>
      <c r="I8" s="494" t="s">
        <v>17</v>
      </c>
      <c r="J8" s="694">
        <v>20596</v>
      </c>
      <c r="K8" s="1076">
        <v>2868.4</v>
      </c>
      <c r="L8" s="651">
        <f t="shared" si="1"/>
        <v>4031823</v>
      </c>
      <c r="M8" s="851">
        <f t="shared" si="2"/>
        <v>4031823</v>
      </c>
      <c r="N8" s="476"/>
      <c r="O8" s="476"/>
      <c r="P8" s="476"/>
      <c r="Q8" s="476"/>
      <c r="R8" s="476"/>
      <c r="S8" s="1036">
        <f t="shared" si="3"/>
        <v>4031823</v>
      </c>
      <c r="U8" s="461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2034.12</v>
      </c>
      <c r="E9" s="500">
        <v>277.54000000000002</v>
      </c>
      <c r="F9" s="497">
        <f t="shared" si="0"/>
        <v>411564</v>
      </c>
      <c r="G9" s="504"/>
      <c r="H9" s="499" t="s">
        <v>19</v>
      </c>
      <c r="I9" s="494" t="s">
        <v>20</v>
      </c>
      <c r="J9" s="694">
        <v>300</v>
      </c>
      <c r="K9" s="1076">
        <v>41.78</v>
      </c>
      <c r="L9" s="651">
        <f t="shared" si="1"/>
        <v>58726</v>
      </c>
      <c r="M9" s="851">
        <f t="shared" si="2"/>
        <v>470290</v>
      </c>
      <c r="N9" s="476"/>
      <c r="O9" s="476"/>
      <c r="P9" s="476"/>
      <c r="Q9" s="476"/>
      <c r="R9" s="476"/>
      <c r="S9" s="1036">
        <f t="shared" si="3"/>
        <v>470290</v>
      </c>
      <c r="U9" s="461"/>
    </row>
    <row r="10" spans="1:29" ht="11.25" customHeight="1">
      <c r="A10" s="492">
        <v>51321010</v>
      </c>
      <c r="B10" s="493" t="s">
        <v>21</v>
      </c>
      <c r="C10" s="494"/>
      <c r="D10" s="500">
        <v>2938.7499999999995</v>
      </c>
      <c r="E10" s="500">
        <v>400.97</v>
      </c>
      <c r="F10" s="497">
        <f t="shared" si="0"/>
        <v>594598</v>
      </c>
      <c r="G10" s="505"/>
      <c r="H10" s="499" t="s">
        <v>21</v>
      </c>
      <c r="I10" s="499"/>
      <c r="J10" s="693">
        <v>247302.52000000002</v>
      </c>
      <c r="K10" s="1075">
        <v>34492.81</v>
      </c>
      <c r="L10" s="651">
        <f t="shared" si="1"/>
        <v>48483094</v>
      </c>
      <c r="M10" s="851">
        <f t="shared" si="2"/>
        <v>49077692</v>
      </c>
      <c r="N10" s="476"/>
      <c r="O10" s="476"/>
      <c r="P10" s="476"/>
      <c r="Q10" s="476"/>
      <c r="R10" s="476"/>
      <c r="S10" s="1036">
        <f t="shared" si="3"/>
        <v>49077692</v>
      </c>
      <c r="U10" s="461"/>
      <c r="AB10" s="525"/>
      <c r="AC10" s="489"/>
    </row>
    <row r="11" spans="1:29" ht="11.25" customHeight="1">
      <c r="A11" s="492">
        <v>51031020</v>
      </c>
      <c r="B11" s="507" t="s">
        <v>1057</v>
      </c>
      <c r="C11" s="1068" t="s">
        <v>1058</v>
      </c>
      <c r="D11" s="507"/>
      <c r="E11" s="507"/>
      <c r="F11" s="509"/>
      <c r="G11" s="510">
        <f>G13/G12</f>
        <v>1482.899894804103</v>
      </c>
      <c r="H11" s="507" t="s">
        <v>1057</v>
      </c>
      <c r="I11" s="507" t="s">
        <v>1279</v>
      </c>
      <c r="J11" s="511"/>
      <c r="K11" s="1077"/>
      <c r="L11" s="854">
        <f t="shared" si="1"/>
        <v>0</v>
      </c>
      <c r="M11" s="851">
        <f t="shared" si="2"/>
        <v>0</v>
      </c>
      <c r="N11" s="476"/>
      <c r="O11" s="844"/>
      <c r="P11" s="844"/>
      <c r="Q11" s="844"/>
      <c r="R11" s="476"/>
      <c r="S11" s="1036">
        <f t="shared" si="3"/>
        <v>0</v>
      </c>
      <c r="U11" s="461"/>
      <c r="AB11" s="525"/>
      <c r="AC11" s="489"/>
    </row>
    <row r="12" spans="1:29" ht="11.25" customHeight="1">
      <c r="A12" s="492">
        <v>52981010</v>
      </c>
      <c r="B12" s="499" t="s">
        <v>1059</v>
      </c>
      <c r="C12" s="494" t="s">
        <v>1060</v>
      </c>
      <c r="D12" s="926"/>
      <c r="E12" s="500"/>
      <c r="F12" s="497">
        <f t="shared" si="0"/>
        <v>0</v>
      </c>
      <c r="G12" s="512">
        <f>E13+Q13+AB13</f>
        <v>6150.43</v>
      </c>
      <c r="H12" s="499" t="s">
        <v>1059</v>
      </c>
      <c r="I12" s="499" t="s">
        <v>1060</v>
      </c>
      <c r="J12" s="495"/>
      <c r="K12" s="1078"/>
      <c r="L12" s="651">
        <f t="shared" si="1"/>
        <v>0</v>
      </c>
      <c r="M12" s="851">
        <f t="shared" si="2"/>
        <v>0</v>
      </c>
      <c r="N12" s="476"/>
      <c r="O12" s="844"/>
      <c r="P12" s="844"/>
      <c r="Q12" s="844"/>
      <c r="R12" s="476"/>
      <c r="S12" s="1036">
        <f t="shared" si="3"/>
        <v>0</v>
      </c>
      <c r="U12" s="461"/>
      <c r="AB12" s="525"/>
      <c r="AC12" s="489"/>
    </row>
    <row r="13" spans="1:29" s="489" customFormat="1" ht="11.25" customHeight="1">
      <c r="A13" s="867"/>
      <c r="B13" s="868" t="s">
        <v>22</v>
      </c>
      <c r="C13" s="1069"/>
      <c r="D13" s="515">
        <f>SUM(D5:D11)-D12</f>
        <v>45077.696888358514</v>
      </c>
      <c r="E13" s="1089">
        <f>SUM(E5:E11)-E12</f>
        <v>6150.43</v>
      </c>
      <c r="F13" s="870">
        <f>SUM(F5:F11)-F12</f>
        <v>9120472</v>
      </c>
      <c r="G13" s="518">
        <f>F13+R13+AC13</f>
        <v>9120472</v>
      </c>
      <c r="H13" s="868" t="s">
        <v>22</v>
      </c>
      <c r="I13" s="869"/>
      <c r="J13" s="515">
        <f>SUM(J5:J11)-J12</f>
        <v>301991.67000000004</v>
      </c>
      <c r="K13" s="490">
        <f>SUM(K5:K11)-K12</f>
        <v>42109.369999999995</v>
      </c>
      <c r="L13" s="870">
        <f>SUM(L5:L11)-L12</f>
        <v>59188931</v>
      </c>
      <c r="M13" s="889">
        <f t="shared" si="2"/>
        <v>68309403</v>
      </c>
      <c r="N13" s="476"/>
      <c r="O13" s="844"/>
      <c r="P13" s="844"/>
      <c r="Q13" s="844"/>
      <c r="R13" s="476"/>
      <c r="S13" s="1036">
        <f t="shared" si="3"/>
        <v>68309403</v>
      </c>
      <c r="U13" s="850"/>
      <c r="X13" s="844">
        <f>F13+R13</f>
        <v>9120472</v>
      </c>
      <c r="Y13" s="876"/>
      <c r="Z13" s="890"/>
      <c r="AB13" s="526"/>
    </row>
    <row r="14" spans="1:29" ht="14.25" customHeight="1">
      <c r="A14" s="449"/>
      <c r="D14" s="1088"/>
      <c r="E14" s="1088"/>
      <c r="F14" s="1090"/>
      <c r="G14" s="524"/>
      <c r="J14" s="929">
        <f>J13+D13+P13</f>
        <v>347069.36688835855</v>
      </c>
      <c r="K14" s="1079">
        <f>K13+E13+Q13</f>
        <v>48259.799999999996</v>
      </c>
      <c r="L14" s="904">
        <f>L13+F13+R13</f>
        <v>68309403</v>
      </c>
      <c r="M14" s="865" t="e">
        <f>M16-E12</f>
        <v>#REF!</v>
      </c>
      <c r="N14" s="476"/>
      <c r="O14" s="844"/>
      <c r="P14" s="844"/>
      <c r="Q14" s="844"/>
      <c r="R14" s="476"/>
      <c r="X14" s="525"/>
      <c r="Y14" s="525"/>
      <c r="AB14" s="525"/>
      <c r="AC14" s="489"/>
    </row>
    <row r="15" spans="1:29" ht="14.25" customHeight="1">
      <c r="A15" s="449"/>
      <c r="D15" s="1088"/>
      <c r="E15" s="1088"/>
      <c r="F15" s="1088"/>
      <c r="G15" s="524"/>
      <c r="J15" s="865" t="e">
        <f>J16-#REF!</f>
        <v>#REF!</v>
      </c>
      <c r="K15" s="865" t="e">
        <f>K16-#REF!</f>
        <v>#REF!</v>
      </c>
      <c r="L15" s="865" t="e">
        <f>L16-#REF!</f>
        <v>#REF!</v>
      </c>
      <c r="M15" s="865" t="e">
        <f>M16-#REF!</f>
        <v>#REF!</v>
      </c>
      <c r="O15" s="844"/>
      <c r="P15" s="844"/>
      <c r="Q15" s="844"/>
      <c r="R15" s="845"/>
      <c r="X15" s="525"/>
      <c r="Y15" s="525"/>
      <c r="AB15" s="525"/>
      <c r="AC15" s="489"/>
    </row>
    <row r="16" spans="1:29" ht="18.75" customHeight="1">
      <c r="A16" s="449"/>
      <c r="D16" s="520"/>
      <c r="E16" s="523"/>
      <c r="F16" s="523"/>
      <c r="G16" s="524"/>
      <c r="I16" s="525"/>
      <c r="J16" s="526"/>
      <c r="K16" s="1080" t="e">
        <f>SUBTOTAL(9,K19:K111)</f>
        <v>#REF!</v>
      </c>
      <c r="L16" s="1009"/>
      <c r="M16" s="1080" t="e">
        <f>SUBTOTAL(9,M19:M111)</f>
        <v>#REF!</v>
      </c>
      <c r="N16" s="525"/>
      <c r="Q16" s="525"/>
    </row>
    <row r="17" spans="1:29" ht="11.25" customHeight="1">
      <c r="A17" s="449"/>
      <c r="B17" s="1038" t="s">
        <v>24</v>
      </c>
      <c r="C17" s="1070" t="s">
        <v>25</v>
      </c>
      <c r="D17" s="1039" t="s">
        <v>1061</v>
      </c>
      <c r="E17" s="1040" t="s">
        <v>26</v>
      </c>
      <c r="F17" s="1039" t="s">
        <v>1</v>
      </c>
      <c r="G17" s="1041" t="s">
        <v>2</v>
      </c>
      <c r="H17" s="2083" t="s">
        <v>29</v>
      </c>
      <c r="I17" s="2083"/>
      <c r="J17" s="2083"/>
      <c r="K17" s="2083" t="s">
        <v>30</v>
      </c>
      <c r="L17" s="2083"/>
      <c r="M17" s="2084"/>
      <c r="N17" s="2085" t="s">
        <v>31</v>
      </c>
      <c r="O17" s="2085"/>
      <c r="P17" s="2086"/>
      <c r="Q17" s="2086"/>
      <c r="R17" s="1041" t="s">
        <v>1062</v>
      </c>
    </row>
    <row r="18" spans="1:29" ht="11.25" customHeight="1">
      <c r="A18" s="449"/>
      <c r="B18" s="1042" t="s">
        <v>1063</v>
      </c>
      <c r="C18" s="1071" t="s">
        <v>1064</v>
      </c>
      <c r="D18" s="1043" t="s">
        <v>1065</v>
      </c>
      <c r="E18" s="1044" t="s">
        <v>1066</v>
      </c>
      <c r="F18" s="1043" t="s">
        <v>1067</v>
      </c>
      <c r="G18" s="1045" t="s">
        <v>1068</v>
      </c>
      <c r="H18" s="1046" t="s">
        <v>1069</v>
      </c>
      <c r="I18" s="1046" t="s">
        <v>1070</v>
      </c>
      <c r="J18" s="1047" t="s">
        <v>34</v>
      </c>
      <c r="K18" s="1047" t="s">
        <v>1069</v>
      </c>
      <c r="L18" s="1046" t="s">
        <v>1070</v>
      </c>
      <c r="M18" s="1085" t="s">
        <v>34</v>
      </c>
      <c r="N18" s="1048" t="s">
        <v>1069</v>
      </c>
      <c r="O18" s="1048" t="s">
        <v>34</v>
      </c>
      <c r="P18" s="2087" t="s">
        <v>32</v>
      </c>
      <c r="Q18" s="2087"/>
      <c r="R18" s="1045" t="s">
        <v>1062</v>
      </c>
    </row>
    <row r="19" spans="1:29" ht="11.25" customHeight="1">
      <c r="B19" s="657">
        <v>45777</v>
      </c>
      <c r="C19" s="660"/>
      <c r="D19" s="658"/>
      <c r="E19" s="660"/>
      <c r="F19" s="863"/>
      <c r="G19" s="661"/>
      <c r="H19" s="662"/>
      <c r="I19" s="658"/>
      <c r="J19" s="661"/>
      <c r="K19" s="1107"/>
      <c r="L19" s="663"/>
      <c r="M19" s="906"/>
      <c r="N19" s="907">
        <v>45051.060000000907</v>
      </c>
      <c r="O19" s="907">
        <v>6150.4267521577694</v>
      </c>
      <c r="P19" s="908"/>
      <c r="Q19" s="660"/>
      <c r="R19" s="665"/>
      <c r="S19" s="846">
        <v>6150.4252273356087</v>
      </c>
    </row>
    <row r="20" spans="1:29" s="1113" customFormat="1" ht="11.25" customHeight="1">
      <c r="A20" s="1111"/>
      <c r="B20" s="1116">
        <v>45790</v>
      </c>
      <c r="C20" s="1203" t="s">
        <v>823</v>
      </c>
      <c r="D20" s="1117"/>
      <c r="E20" s="1118">
        <v>1</v>
      </c>
      <c r="F20" s="1119"/>
      <c r="G20" s="1119"/>
      <c r="H20" s="1120">
        <v>343685.06</v>
      </c>
      <c r="I20" s="1119"/>
      <c r="J20" s="1120">
        <v>47916</v>
      </c>
      <c r="K20" s="1121"/>
      <c r="L20" s="1122"/>
      <c r="M20" s="1123"/>
      <c r="N20" s="1124">
        <f t="shared" ref="N20" si="4">N19+H20-K20</f>
        <v>388736.12000000093</v>
      </c>
      <c r="O20" s="1124">
        <f t="shared" ref="O20" si="5">O19+J20-M20</f>
        <v>54066.426752157771</v>
      </c>
      <c r="P20" s="1125"/>
      <c r="Q20" s="1126"/>
      <c r="R20" s="1126"/>
      <c r="S20" s="942"/>
      <c r="T20" s="1112"/>
      <c r="V20" s="1112"/>
      <c r="W20" s="1112"/>
      <c r="X20" s="1112"/>
      <c r="Y20" s="1112"/>
      <c r="Z20" s="1112"/>
      <c r="AA20" s="1112"/>
      <c r="AB20" s="1112"/>
      <c r="AC20" s="1112"/>
    </row>
    <row r="21" spans="1:29" s="1113" customFormat="1" ht="11.25" customHeight="1">
      <c r="A21" s="1111"/>
      <c r="B21" s="1158">
        <v>45790</v>
      </c>
      <c r="C21" s="1159" t="s">
        <v>250</v>
      </c>
      <c r="D21" s="1160"/>
      <c r="E21" s="1161"/>
      <c r="F21" s="1162" t="s">
        <v>107</v>
      </c>
      <c r="G21" s="1162"/>
      <c r="H21" s="1163"/>
      <c r="I21" s="1162"/>
      <c r="J21" s="1163"/>
      <c r="K21" s="1164"/>
      <c r="L21" s="1165"/>
      <c r="M21" s="1166">
        <v>51</v>
      </c>
      <c r="N21" s="1167">
        <f t="shared" ref="N21:N84" si="6">N20+H21-K21</f>
        <v>388736.12000000093</v>
      </c>
      <c r="O21" s="1167">
        <f t="shared" ref="O21:O84" si="7">O20+J21-M21</f>
        <v>54015.426752157771</v>
      </c>
      <c r="P21" s="1168"/>
      <c r="Q21" s="1169"/>
      <c r="R21" s="1169"/>
      <c r="S21" s="942"/>
      <c r="T21" s="1112"/>
      <c r="V21" s="1112"/>
      <c r="W21" s="1112"/>
      <c r="X21" s="1112"/>
      <c r="Y21" s="1112"/>
      <c r="Z21" s="1112"/>
      <c r="AA21" s="1112"/>
      <c r="AB21" s="1112"/>
      <c r="AC21" s="1112"/>
    </row>
    <row r="22" spans="1:29" s="574" customFormat="1" ht="11.25" customHeight="1">
      <c r="A22" s="544"/>
      <c r="B22" s="1139">
        <v>45792</v>
      </c>
      <c r="C22" s="1140" t="s">
        <v>1447</v>
      </c>
      <c r="D22" s="1141"/>
      <c r="E22" s="1142">
        <v>2</v>
      </c>
      <c r="F22" s="1143" t="s">
        <v>105</v>
      </c>
      <c r="G22" s="1143" t="s">
        <v>1122</v>
      </c>
      <c r="H22" s="1144"/>
      <c r="I22" s="1143"/>
      <c r="J22" s="1144"/>
      <c r="K22" s="1145">
        <v>25096</v>
      </c>
      <c r="L22" s="1146" t="e">
        <f>'통장내역(환율표)'!#REF!</f>
        <v>#REF!</v>
      </c>
      <c r="M22" s="1147" t="e">
        <f t="shared" ref="M22:M24" si="8">K22/L22</f>
        <v>#REF!</v>
      </c>
      <c r="N22" s="1148">
        <f t="shared" si="6"/>
        <v>363640.12000000093</v>
      </c>
      <c r="O22" s="1148" t="e">
        <f t="shared" si="7"/>
        <v>#REF!</v>
      </c>
      <c r="P22" s="1149" t="s">
        <v>1445</v>
      </c>
      <c r="Q22" s="1150"/>
      <c r="R22" s="1150"/>
      <c r="S22" s="883" t="e">
        <f>S19-M22+J22</f>
        <v>#REF!</v>
      </c>
      <c r="T22" s="461"/>
      <c r="V22" s="461"/>
      <c r="W22" s="461"/>
      <c r="X22" s="461"/>
      <c r="Y22" s="461"/>
      <c r="Z22" s="461"/>
      <c r="AA22" s="461"/>
      <c r="AB22" s="461"/>
      <c r="AC22" s="461"/>
    </row>
    <row r="23" spans="1:29" s="574" customFormat="1" ht="11.25" customHeight="1">
      <c r="A23" s="544"/>
      <c r="B23" s="1055">
        <v>45792</v>
      </c>
      <c r="C23" s="916" t="s">
        <v>250</v>
      </c>
      <c r="D23" s="922"/>
      <c r="E23" s="917">
        <v>3</v>
      </c>
      <c r="F23" s="986" t="s">
        <v>107</v>
      </c>
      <c r="G23" s="986"/>
      <c r="H23" s="967"/>
      <c r="I23" s="986"/>
      <c r="J23" s="967"/>
      <c r="K23" s="1114">
        <v>7.2</v>
      </c>
      <c r="L23" s="542" t="e">
        <f>'통장내역(환율표)'!#REF!</f>
        <v>#REF!</v>
      </c>
      <c r="M23" s="1096" t="e">
        <f t="shared" si="8"/>
        <v>#REF!</v>
      </c>
      <c r="N23" s="928">
        <f t="shared" si="6"/>
        <v>363632.92000000092</v>
      </c>
      <c r="O23" s="928" t="e">
        <f t="shared" si="7"/>
        <v>#REF!</v>
      </c>
      <c r="P23" s="911" t="s">
        <v>1445</v>
      </c>
      <c r="Q23" s="641"/>
      <c r="R23" s="641"/>
      <c r="S23" s="883" t="e">
        <f>S22-M23+J23</f>
        <v>#REF!</v>
      </c>
      <c r="T23" s="461"/>
      <c r="V23" s="461"/>
      <c r="W23" s="461"/>
      <c r="X23" s="461"/>
      <c r="Y23" s="461"/>
      <c r="Z23" s="461"/>
      <c r="AA23" s="461"/>
      <c r="AB23" s="461"/>
      <c r="AC23" s="461"/>
    </row>
    <row r="24" spans="1:29" s="574" customFormat="1" ht="12" customHeight="1">
      <c r="A24" s="544"/>
      <c r="B24" s="1055">
        <v>45792</v>
      </c>
      <c r="C24" s="964" t="s">
        <v>1276</v>
      </c>
      <c r="D24" s="922"/>
      <c r="E24" s="917">
        <v>4</v>
      </c>
      <c r="F24" s="986" t="s">
        <v>146</v>
      </c>
      <c r="G24" s="986" t="s">
        <v>147</v>
      </c>
      <c r="H24" s="967"/>
      <c r="I24" s="968"/>
      <c r="J24" s="967"/>
      <c r="K24" s="919">
        <v>1600</v>
      </c>
      <c r="L24" s="542" t="e">
        <f>'통장내역(환율표)'!#REF!</f>
        <v>#REF!</v>
      </c>
      <c r="M24" s="1096" t="e">
        <f t="shared" si="8"/>
        <v>#REF!</v>
      </c>
      <c r="N24" s="928">
        <f t="shared" si="6"/>
        <v>362032.92000000092</v>
      </c>
      <c r="O24" s="928" t="e">
        <f t="shared" si="7"/>
        <v>#REF!</v>
      </c>
      <c r="P24" s="911" t="s">
        <v>1445</v>
      </c>
      <c r="Q24" s="641"/>
      <c r="R24" s="641"/>
      <c r="S24" s="883" t="e">
        <f t="shared" ref="S24:S34" si="9">S23-M24+J24</f>
        <v>#REF!</v>
      </c>
      <c r="T24" s="461"/>
      <c r="V24" s="461"/>
      <c r="W24" s="461"/>
      <c r="X24" s="461"/>
      <c r="Y24" s="461"/>
      <c r="Z24" s="461"/>
      <c r="AA24" s="461"/>
      <c r="AB24" s="461"/>
      <c r="AC24" s="461"/>
    </row>
    <row r="25" spans="1:29" s="574" customFormat="1" ht="12" customHeight="1">
      <c r="A25" s="544"/>
      <c r="B25" s="1055">
        <v>45792</v>
      </c>
      <c r="C25" s="916" t="s">
        <v>250</v>
      </c>
      <c r="D25" s="922"/>
      <c r="E25" s="917">
        <v>5</v>
      </c>
      <c r="F25" s="986" t="s">
        <v>107</v>
      </c>
      <c r="G25" s="986"/>
      <c r="H25" s="967"/>
      <c r="I25" s="968"/>
      <c r="J25" s="967"/>
      <c r="K25" s="919">
        <v>3.6</v>
      </c>
      <c r="L25" s="542" t="e">
        <f>'통장내역(환율표)'!#REF!</f>
        <v>#REF!</v>
      </c>
      <c r="M25" s="1096" t="e">
        <f t="shared" ref="M25:M27" si="10">K25/L25</f>
        <v>#REF!</v>
      </c>
      <c r="N25" s="928">
        <f t="shared" si="6"/>
        <v>362029.32000000094</v>
      </c>
      <c r="O25" s="928" t="e">
        <f t="shared" si="7"/>
        <v>#REF!</v>
      </c>
      <c r="P25" s="911" t="s">
        <v>1445</v>
      </c>
      <c r="Q25" s="641"/>
      <c r="R25" s="641"/>
      <c r="S25" s="883" t="e">
        <f t="shared" si="9"/>
        <v>#REF!</v>
      </c>
      <c r="T25" s="461"/>
      <c r="V25" s="461"/>
      <c r="W25" s="461"/>
      <c r="X25" s="461"/>
      <c r="Y25" s="461"/>
      <c r="Z25" s="461"/>
      <c r="AA25" s="461"/>
      <c r="AB25" s="461"/>
      <c r="AC25" s="461"/>
    </row>
    <row r="26" spans="1:29" s="574" customFormat="1" ht="12" customHeight="1">
      <c r="A26" s="544"/>
      <c r="B26" s="1055">
        <v>45796</v>
      </c>
      <c r="C26" s="916" t="s">
        <v>306</v>
      </c>
      <c r="D26" s="922"/>
      <c r="E26" s="917">
        <v>6</v>
      </c>
      <c r="F26" s="986" t="s">
        <v>107</v>
      </c>
      <c r="G26" s="986"/>
      <c r="H26" s="967"/>
      <c r="I26" s="968"/>
      <c r="J26" s="967"/>
      <c r="K26" s="919">
        <v>1010</v>
      </c>
      <c r="L26" s="542" t="e">
        <f>'통장내역(환율표)'!#REF!</f>
        <v>#REF!</v>
      </c>
      <c r="M26" s="1096" t="e">
        <f t="shared" si="10"/>
        <v>#REF!</v>
      </c>
      <c r="N26" s="928">
        <f t="shared" si="6"/>
        <v>361019.32000000094</v>
      </c>
      <c r="O26" s="928" t="e">
        <f t="shared" si="7"/>
        <v>#REF!</v>
      </c>
      <c r="P26" s="911" t="s">
        <v>1445</v>
      </c>
      <c r="Q26" s="641"/>
      <c r="R26" s="641"/>
      <c r="S26" s="883" t="e">
        <f t="shared" si="9"/>
        <v>#REF!</v>
      </c>
      <c r="T26" s="461"/>
      <c r="V26" s="461"/>
      <c r="W26" s="461"/>
      <c r="X26" s="461"/>
      <c r="Y26" s="461"/>
      <c r="Z26" s="461"/>
      <c r="AA26" s="461"/>
      <c r="AB26" s="461"/>
      <c r="AC26" s="461"/>
    </row>
    <row r="27" spans="1:29" s="574" customFormat="1" ht="12" customHeight="1">
      <c r="A27" s="544"/>
      <c r="B27" s="1055">
        <v>45796</v>
      </c>
      <c r="C27" s="916" t="s">
        <v>250</v>
      </c>
      <c r="D27" s="922"/>
      <c r="E27" s="917">
        <v>7</v>
      </c>
      <c r="F27" s="986" t="s">
        <v>107</v>
      </c>
      <c r="G27" s="986"/>
      <c r="H27" s="967"/>
      <c r="I27" s="968"/>
      <c r="J27" s="967"/>
      <c r="K27" s="919">
        <v>3.6</v>
      </c>
      <c r="L27" s="542" t="e">
        <f>'통장내역(환율표)'!#REF!</f>
        <v>#REF!</v>
      </c>
      <c r="M27" s="1096" t="e">
        <f t="shared" si="10"/>
        <v>#REF!</v>
      </c>
      <c r="N27" s="928">
        <f t="shared" si="6"/>
        <v>361015.72000000096</v>
      </c>
      <c r="O27" s="928" t="e">
        <f t="shared" si="7"/>
        <v>#REF!</v>
      </c>
      <c r="P27" s="911" t="s">
        <v>1445</v>
      </c>
      <c r="Q27" s="641"/>
      <c r="R27" s="641"/>
      <c r="S27" s="883" t="e">
        <f t="shared" si="9"/>
        <v>#REF!</v>
      </c>
      <c r="T27" s="461"/>
      <c r="V27" s="461"/>
      <c r="W27" s="461"/>
      <c r="X27" s="461"/>
      <c r="Y27" s="461"/>
      <c r="Z27" s="461"/>
      <c r="AA27" s="461"/>
      <c r="AB27" s="461"/>
      <c r="AC27" s="461"/>
    </row>
    <row r="28" spans="1:29" s="574" customFormat="1" ht="12" customHeight="1">
      <c r="A28" s="544"/>
      <c r="B28" s="1055">
        <v>45796</v>
      </c>
      <c r="C28" s="964" t="s">
        <v>1388</v>
      </c>
      <c r="D28" s="922" t="s">
        <v>1426</v>
      </c>
      <c r="E28" s="917">
        <v>8</v>
      </c>
      <c r="F28" s="986" t="s">
        <v>116</v>
      </c>
      <c r="G28" s="986" t="s">
        <v>140</v>
      </c>
      <c r="H28" s="986"/>
      <c r="I28" s="986"/>
      <c r="J28" s="986"/>
      <c r="K28" s="1057">
        <v>1018.2</v>
      </c>
      <c r="L28" s="542" t="e">
        <f>'통장내역(환율표)'!#REF!</f>
        <v>#REF!</v>
      </c>
      <c r="M28" s="1096" t="e">
        <f t="shared" ref="M28:M33" si="11">K28/L28</f>
        <v>#REF!</v>
      </c>
      <c r="N28" s="928">
        <f t="shared" si="6"/>
        <v>359997.52000000095</v>
      </c>
      <c r="O28" s="928" t="e">
        <f t="shared" si="7"/>
        <v>#REF!</v>
      </c>
      <c r="P28" s="911" t="s">
        <v>1445</v>
      </c>
      <c r="Q28" s="641"/>
      <c r="R28" s="641"/>
      <c r="S28" s="883" t="e">
        <f t="shared" si="9"/>
        <v>#REF!</v>
      </c>
      <c r="T28" s="461"/>
      <c r="V28" s="461"/>
      <c r="W28" s="461"/>
      <c r="X28" s="461"/>
      <c r="Y28" s="461"/>
      <c r="Z28" s="461"/>
      <c r="AA28" s="461"/>
      <c r="AB28" s="461"/>
      <c r="AC28" s="461"/>
    </row>
    <row r="29" spans="1:29" s="574" customFormat="1" ht="12" customHeight="1">
      <c r="A29" s="544"/>
      <c r="B29" s="1055">
        <v>45796</v>
      </c>
      <c r="C29" s="964" t="s">
        <v>564</v>
      </c>
      <c r="D29" s="922" t="s">
        <v>1426</v>
      </c>
      <c r="E29" s="917">
        <v>9</v>
      </c>
      <c r="F29" s="986" t="s">
        <v>107</v>
      </c>
      <c r="G29" s="986"/>
      <c r="H29" s="986"/>
      <c r="I29" s="986"/>
      <c r="J29" s="986"/>
      <c r="K29" s="1057">
        <v>676</v>
      </c>
      <c r="L29" s="542" t="e">
        <f>'통장내역(환율표)'!#REF!</f>
        <v>#REF!</v>
      </c>
      <c r="M29" s="1096" t="e">
        <f t="shared" si="11"/>
        <v>#REF!</v>
      </c>
      <c r="N29" s="928">
        <f t="shared" si="6"/>
        <v>359321.52000000095</v>
      </c>
      <c r="O29" s="928" t="e">
        <f t="shared" si="7"/>
        <v>#REF!</v>
      </c>
      <c r="P29" s="911" t="s">
        <v>1445</v>
      </c>
      <c r="Q29" s="641"/>
      <c r="R29" s="1102"/>
      <c r="S29" s="883" t="e">
        <f t="shared" si="9"/>
        <v>#REF!</v>
      </c>
      <c r="T29" s="461"/>
      <c r="V29" s="461"/>
      <c r="W29" s="461"/>
      <c r="X29" s="461"/>
      <c r="Y29" s="461"/>
      <c r="Z29" s="461"/>
      <c r="AA29" s="461"/>
      <c r="AB29" s="461"/>
      <c r="AC29" s="461"/>
    </row>
    <row r="30" spans="1:29" s="574" customFormat="1" ht="12" customHeight="1">
      <c r="A30" s="544"/>
      <c r="B30" s="1055">
        <v>45796</v>
      </c>
      <c r="C30" s="916" t="s">
        <v>862</v>
      </c>
      <c r="D30" s="922" t="s">
        <v>1426</v>
      </c>
      <c r="E30" s="917">
        <v>10</v>
      </c>
      <c r="F30" s="986" t="s">
        <v>107</v>
      </c>
      <c r="G30" s="986"/>
      <c r="H30" s="986"/>
      <c r="I30" s="986"/>
      <c r="J30" s="986"/>
      <c r="K30" s="918">
        <v>3.6</v>
      </c>
      <c r="L30" s="542" t="e">
        <f>'통장내역(환율표)'!#REF!</f>
        <v>#REF!</v>
      </c>
      <c r="M30" s="1096" t="e">
        <f t="shared" si="11"/>
        <v>#REF!</v>
      </c>
      <c r="N30" s="928">
        <f t="shared" si="6"/>
        <v>359317.92000000097</v>
      </c>
      <c r="O30" s="928" t="e">
        <f t="shared" si="7"/>
        <v>#REF!</v>
      </c>
      <c r="P30" s="911" t="s">
        <v>1445</v>
      </c>
      <c r="Q30" s="641"/>
      <c r="R30" s="1102"/>
      <c r="S30" s="883" t="e">
        <f t="shared" si="9"/>
        <v>#REF!</v>
      </c>
      <c r="T30" s="461"/>
      <c r="V30" s="461"/>
      <c r="W30" s="461"/>
      <c r="X30" s="461"/>
      <c r="Y30" s="461"/>
      <c r="Z30" s="461"/>
      <c r="AA30" s="461"/>
      <c r="AB30" s="461"/>
      <c r="AC30" s="461"/>
    </row>
    <row r="31" spans="1:29" s="574" customFormat="1" ht="12" customHeight="1">
      <c r="A31" s="544"/>
      <c r="B31" s="1055">
        <v>45796</v>
      </c>
      <c r="C31" s="964" t="s">
        <v>1451</v>
      </c>
      <c r="D31" s="922" t="s">
        <v>1389</v>
      </c>
      <c r="E31" s="1052">
        <v>11</v>
      </c>
      <c r="F31" s="986" t="s">
        <v>146</v>
      </c>
      <c r="G31" s="569" t="s">
        <v>147</v>
      </c>
      <c r="H31" s="986"/>
      <c r="I31" s="986"/>
      <c r="J31" s="986"/>
      <c r="K31" s="1057">
        <v>419.4</v>
      </c>
      <c r="L31" s="542" t="e">
        <f>'통장내역(환율표)'!#REF!</f>
        <v>#REF!</v>
      </c>
      <c r="M31" s="1096" t="e">
        <f t="shared" si="11"/>
        <v>#REF!</v>
      </c>
      <c r="N31" s="928">
        <f t="shared" si="6"/>
        <v>358898.52000000095</v>
      </c>
      <c r="O31" s="928" t="e">
        <f t="shared" si="7"/>
        <v>#REF!</v>
      </c>
      <c r="P31" s="911" t="s">
        <v>1445</v>
      </c>
      <c r="Q31" s="641"/>
      <c r="R31" s="1102"/>
      <c r="S31" s="883" t="e">
        <f t="shared" si="9"/>
        <v>#REF!</v>
      </c>
      <c r="T31" s="461"/>
      <c r="V31" s="461"/>
      <c r="W31" s="461"/>
      <c r="X31" s="461"/>
      <c r="Y31" s="461"/>
      <c r="Z31" s="461"/>
      <c r="AA31" s="461"/>
      <c r="AB31" s="461"/>
      <c r="AC31" s="461"/>
    </row>
    <row r="32" spans="1:29" s="574" customFormat="1" ht="12" customHeight="1">
      <c r="A32" s="544"/>
      <c r="B32" s="1055">
        <v>45796</v>
      </c>
      <c r="C32" s="916" t="s">
        <v>1403</v>
      </c>
      <c r="D32" s="922" t="s">
        <v>1389</v>
      </c>
      <c r="E32" s="917">
        <v>12</v>
      </c>
      <c r="F32" s="986" t="s">
        <v>146</v>
      </c>
      <c r="G32" s="986" t="s">
        <v>147</v>
      </c>
      <c r="H32" s="986"/>
      <c r="I32" s="986"/>
      <c r="J32" s="986"/>
      <c r="K32" s="918">
        <v>628</v>
      </c>
      <c r="L32" s="542" t="e">
        <f>'통장내역(환율표)'!#REF!</f>
        <v>#REF!</v>
      </c>
      <c r="M32" s="1096" t="e">
        <f t="shared" si="11"/>
        <v>#REF!</v>
      </c>
      <c r="N32" s="928">
        <f t="shared" si="6"/>
        <v>358270.52000000095</v>
      </c>
      <c r="O32" s="928" t="e">
        <f t="shared" si="7"/>
        <v>#REF!</v>
      </c>
      <c r="P32" s="911" t="s">
        <v>1445</v>
      </c>
      <c r="Q32" s="641"/>
      <c r="R32" s="1102"/>
      <c r="S32" s="883" t="e">
        <f t="shared" si="9"/>
        <v>#REF!</v>
      </c>
      <c r="T32" s="461"/>
      <c r="V32" s="461"/>
      <c r="W32" s="461"/>
      <c r="X32" s="461"/>
      <c r="Y32" s="461"/>
      <c r="Z32" s="461"/>
      <c r="AA32" s="461"/>
      <c r="AB32" s="461"/>
      <c r="AC32" s="461"/>
    </row>
    <row r="33" spans="1:29" s="574" customFormat="1" ht="12" customHeight="1">
      <c r="A33" s="544"/>
      <c r="B33" s="1055">
        <v>45796</v>
      </c>
      <c r="C33" s="964" t="s">
        <v>19</v>
      </c>
      <c r="D33" s="922" t="s">
        <v>1389</v>
      </c>
      <c r="E33" s="917">
        <v>13</v>
      </c>
      <c r="F33" s="986" t="s">
        <v>116</v>
      </c>
      <c r="G33" s="986" t="s">
        <v>140</v>
      </c>
      <c r="H33" s="986"/>
      <c r="I33" s="986"/>
      <c r="J33" s="986"/>
      <c r="K33" s="918">
        <v>123.8</v>
      </c>
      <c r="L33" s="542" t="e">
        <f>'통장내역(환율표)'!#REF!</f>
        <v>#REF!</v>
      </c>
      <c r="M33" s="1096" t="e">
        <f t="shared" si="11"/>
        <v>#REF!</v>
      </c>
      <c r="N33" s="928">
        <f t="shared" si="6"/>
        <v>358146.72000000096</v>
      </c>
      <c r="O33" s="928" t="e">
        <f t="shared" si="7"/>
        <v>#REF!</v>
      </c>
      <c r="P33" s="911" t="s">
        <v>1445</v>
      </c>
      <c r="Q33" s="641"/>
      <c r="R33" s="1102"/>
      <c r="S33" s="883" t="e">
        <f t="shared" si="9"/>
        <v>#REF!</v>
      </c>
      <c r="T33" s="461"/>
      <c r="V33" s="461"/>
      <c r="W33" s="461"/>
      <c r="X33" s="461"/>
      <c r="Y33" s="461"/>
      <c r="Z33" s="461"/>
      <c r="AA33" s="461"/>
      <c r="AB33" s="461"/>
      <c r="AC33" s="461"/>
    </row>
    <row r="34" spans="1:29" s="574" customFormat="1" ht="12" customHeight="1">
      <c r="A34" s="544"/>
      <c r="B34" s="1055">
        <v>45796</v>
      </c>
      <c r="C34" s="916" t="s">
        <v>1450</v>
      </c>
      <c r="D34" s="922" t="s">
        <v>1389</v>
      </c>
      <c r="E34" s="917">
        <v>14</v>
      </c>
      <c r="F34" s="986" t="s">
        <v>125</v>
      </c>
      <c r="G34" s="986" t="s">
        <v>145</v>
      </c>
      <c r="H34" s="986"/>
      <c r="I34" s="986"/>
      <c r="J34" s="986"/>
      <c r="K34" s="918">
        <v>318.39999999999998</v>
      </c>
      <c r="L34" s="542" t="e">
        <f>'통장내역(환율표)'!#REF!</f>
        <v>#REF!</v>
      </c>
      <c r="M34" s="1096" t="e">
        <f t="shared" ref="M34:M42" si="12">K34/L34</f>
        <v>#REF!</v>
      </c>
      <c r="N34" s="928">
        <f t="shared" si="6"/>
        <v>357828.32000000094</v>
      </c>
      <c r="O34" s="928" t="e">
        <f t="shared" si="7"/>
        <v>#REF!</v>
      </c>
      <c r="P34" s="911" t="s">
        <v>1445</v>
      </c>
      <c r="Q34" s="641"/>
      <c r="R34" s="1102"/>
      <c r="S34" s="883" t="e">
        <f t="shared" si="9"/>
        <v>#REF!</v>
      </c>
      <c r="T34" s="461"/>
      <c r="V34" s="461"/>
      <c r="W34" s="461"/>
      <c r="X34" s="461"/>
      <c r="Y34" s="461"/>
      <c r="Z34" s="461"/>
      <c r="AA34" s="461"/>
      <c r="AB34" s="461"/>
      <c r="AC34" s="461"/>
    </row>
    <row r="35" spans="1:29" s="489" customFormat="1" ht="11.25" customHeight="1">
      <c r="A35" s="544"/>
      <c r="B35" s="1055">
        <v>45796</v>
      </c>
      <c r="C35" s="916" t="s">
        <v>862</v>
      </c>
      <c r="D35" s="922" t="s">
        <v>1389</v>
      </c>
      <c r="E35" s="922">
        <v>15</v>
      </c>
      <c r="F35" s="1052" t="s">
        <v>107</v>
      </c>
      <c r="G35" s="569"/>
      <c r="H35" s="923"/>
      <c r="I35" s="988"/>
      <c r="J35" s="988"/>
      <c r="K35" s="918">
        <v>3.6</v>
      </c>
      <c r="L35" s="542" t="e">
        <f>'통장내역(환율표)'!#REF!</f>
        <v>#REF!</v>
      </c>
      <c r="M35" s="1096" t="e">
        <f t="shared" si="12"/>
        <v>#REF!</v>
      </c>
      <c r="N35" s="928">
        <f t="shared" si="6"/>
        <v>357824.72000000096</v>
      </c>
      <c r="O35" s="928" t="e">
        <f t="shared" si="7"/>
        <v>#REF!</v>
      </c>
      <c r="P35" s="911" t="s">
        <v>1445</v>
      </c>
      <c r="Q35" s="641"/>
      <c r="R35" s="1102"/>
      <c r="S35" s="883" t="e">
        <f t="shared" ref="S35:S52" si="13">S34-M35+J35</f>
        <v>#REF!</v>
      </c>
      <c r="T35" s="461"/>
      <c r="U35" s="574"/>
      <c r="V35" s="461"/>
      <c r="W35" s="461"/>
      <c r="X35" s="461"/>
      <c r="Y35" s="461"/>
      <c r="Z35" s="461"/>
      <c r="AA35" s="461"/>
      <c r="AB35" s="461"/>
      <c r="AC35" s="461"/>
    </row>
    <row r="36" spans="1:29" s="489" customFormat="1" ht="11.25" customHeight="1">
      <c r="A36" s="544"/>
      <c r="B36" s="1055">
        <v>45796</v>
      </c>
      <c r="C36" s="916" t="s">
        <v>1451</v>
      </c>
      <c r="D36" s="922" t="s">
        <v>1390</v>
      </c>
      <c r="E36" s="1052">
        <v>16</v>
      </c>
      <c r="F36" s="986" t="s">
        <v>146</v>
      </c>
      <c r="G36" s="569" t="s">
        <v>147</v>
      </c>
      <c r="H36" s="923"/>
      <c r="I36" s="988"/>
      <c r="J36" s="988"/>
      <c r="K36" s="1110">
        <v>536.62</v>
      </c>
      <c r="L36" s="542" t="e">
        <f>'통장내역(환율표)'!#REF!</f>
        <v>#REF!</v>
      </c>
      <c r="M36" s="1096" t="e">
        <f t="shared" si="12"/>
        <v>#REF!</v>
      </c>
      <c r="N36" s="928">
        <f t="shared" si="6"/>
        <v>357288.10000000097</v>
      </c>
      <c r="O36" s="928" t="e">
        <f t="shared" si="7"/>
        <v>#REF!</v>
      </c>
      <c r="P36" s="911" t="s">
        <v>1445</v>
      </c>
      <c r="Q36" s="641"/>
      <c r="R36" s="1102"/>
      <c r="S36" s="883" t="e">
        <f t="shared" si="13"/>
        <v>#REF!</v>
      </c>
      <c r="T36" s="461"/>
      <c r="U36" s="574"/>
      <c r="V36" s="461"/>
      <c r="W36" s="461"/>
      <c r="X36" s="461"/>
      <c r="Y36" s="461"/>
      <c r="Z36" s="461"/>
      <c r="AA36" s="461"/>
      <c r="AB36" s="461"/>
      <c r="AC36" s="461"/>
    </row>
    <row r="37" spans="1:29" s="489" customFormat="1" ht="11.25" customHeight="1">
      <c r="A37" s="544"/>
      <c r="B37" s="1055">
        <v>45796</v>
      </c>
      <c r="C37" s="916" t="s">
        <v>1403</v>
      </c>
      <c r="D37" s="922" t="s">
        <v>1390</v>
      </c>
      <c r="E37" s="922">
        <v>17</v>
      </c>
      <c r="F37" s="986" t="s">
        <v>146</v>
      </c>
      <c r="G37" s="569" t="s">
        <v>147</v>
      </c>
      <c r="H37" s="923"/>
      <c r="I37" s="988"/>
      <c r="J37" s="988"/>
      <c r="K37" s="918">
        <v>5617.81</v>
      </c>
      <c r="L37" s="542" t="e">
        <f>'통장내역(환율표)'!#REF!</f>
        <v>#REF!</v>
      </c>
      <c r="M37" s="1096" t="e">
        <f t="shared" si="12"/>
        <v>#REF!</v>
      </c>
      <c r="N37" s="928">
        <f t="shared" si="6"/>
        <v>351670.29000000097</v>
      </c>
      <c r="O37" s="928" t="e">
        <f t="shared" si="7"/>
        <v>#REF!</v>
      </c>
      <c r="P37" s="911" t="s">
        <v>1445</v>
      </c>
      <c r="Q37" s="641"/>
      <c r="R37" s="1102"/>
      <c r="S37" s="883" t="e">
        <f t="shared" si="13"/>
        <v>#REF!</v>
      </c>
      <c r="T37" s="461"/>
      <c r="U37" s="574"/>
      <c r="V37" s="461"/>
      <c r="W37" s="461"/>
      <c r="X37" s="461"/>
      <c r="Y37" s="461"/>
      <c r="Z37" s="461"/>
      <c r="AA37" s="461"/>
      <c r="AB37" s="461"/>
      <c r="AC37" s="461"/>
    </row>
    <row r="38" spans="1:29" s="489" customFormat="1" ht="11.25" customHeight="1">
      <c r="A38" s="544"/>
      <c r="B38" s="1055">
        <v>45796</v>
      </c>
      <c r="C38" s="916" t="s">
        <v>19</v>
      </c>
      <c r="D38" s="922" t="s">
        <v>1390</v>
      </c>
      <c r="E38" s="922">
        <v>18</v>
      </c>
      <c r="F38" s="986" t="s">
        <v>116</v>
      </c>
      <c r="G38" s="569" t="s">
        <v>140</v>
      </c>
      <c r="H38" s="923"/>
      <c r="I38" s="988"/>
      <c r="J38" s="988"/>
      <c r="K38" s="918">
        <v>400</v>
      </c>
      <c r="L38" s="542" t="e">
        <f>'통장내역(환율표)'!#REF!</f>
        <v>#REF!</v>
      </c>
      <c r="M38" s="1096" t="e">
        <f t="shared" si="12"/>
        <v>#REF!</v>
      </c>
      <c r="N38" s="928">
        <f t="shared" si="6"/>
        <v>351270.29000000097</v>
      </c>
      <c r="O38" s="928" t="e">
        <f t="shared" si="7"/>
        <v>#REF!</v>
      </c>
      <c r="P38" s="911" t="s">
        <v>1445</v>
      </c>
      <c r="Q38" s="641"/>
      <c r="R38" s="1102"/>
      <c r="S38" s="883" t="e">
        <f t="shared" si="13"/>
        <v>#REF!</v>
      </c>
      <c r="T38" s="461"/>
      <c r="U38" s="574"/>
      <c r="V38" s="461"/>
      <c r="W38" s="461"/>
      <c r="X38" s="461"/>
      <c r="Y38" s="461"/>
      <c r="Z38" s="461"/>
      <c r="AA38" s="461"/>
      <c r="AB38" s="461"/>
      <c r="AC38" s="461"/>
    </row>
    <row r="39" spans="1:29" s="489" customFormat="1" ht="11.25" customHeight="1">
      <c r="A39" s="544"/>
      <c r="B39" s="1055">
        <v>45796</v>
      </c>
      <c r="C39" s="916" t="s">
        <v>11</v>
      </c>
      <c r="D39" s="922" t="s">
        <v>1390</v>
      </c>
      <c r="E39" s="922">
        <v>19</v>
      </c>
      <c r="F39" s="986" t="s">
        <v>125</v>
      </c>
      <c r="G39" s="569" t="s">
        <v>145</v>
      </c>
      <c r="H39" s="923"/>
      <c r="I39" s="988"/>
      <c r="J39" s="988"/>
      <c r="K39" s="918">
        <v>361</v>
      </c>
      <c r="L39" s="542" t="e">
        <f>'통장내역(환율표)'!#REF!</f>
        <v>#REF!</v>
      </c>
      <c r="M39" s="1096" t="e">
        <f t="shared" si="12"/>
        <v>#REF!</v>
      </c>
      <c r="N39" s="928">
        <f t="shared" si="6"/>
        <v>350909.29000000097</v>
      </c>
      <c r="O39" s="928" t="e">
        <f t="shared" si="7"/>
        <v>#REF!</v>
      </c>
      <c r="P39" s="911" t="s">
        <v>1445</v>
      </c>
      <c r="Q39" s="641"/>
      <c r="R39" s="1102"/>
      <c r="S39" s="883" t="e">
        <f t="shared" si="13"/>
        <v>#REF!</v>
      </c>
      <c r="T39" s="461"/>
      <c r="U39" s="574"/>
      <c r="V39" s="461"/>
      <c r="W39" s="461"/>
      <c r="X39" s="461"/>
      <c r="Y39" s="461"/>
      <c r="Z39" s="461"/>
      <c r="AA39" s="461"/>
      <c r="AB39" s="461"/>
      <c r="AC39" s="461"/>
    </row>
    <row r="40" spans="1:29" s="489" customFormat="1" ht="11.25" customHeight="1">
      <c r="A40" s="544"/>
      <c r="B40" s="1055">
        <v>45796</v>
      </c>
      <c r="C40" s="916" t="s">
        <v>1405</v>
      </c>
      <c r="D40" s="922" t="s">
        <v>1390</v>
      </c>
      <c r="E40" s="922">
        <v>20</v>
      </c>
      <c r="F40" s="986" t="s">
        <v>107</v>
      </c>
      <c r="G40" s="569"/>
      <c r="H40" s="923"/>
      <c r="I40" s="988"/>
      <c r="J40" s="988"/>
      <c r="K40" s="918">
        <v>276.60000000000002</v>
      </c>
      <c r="L40" s="542" t="e">
        <f>'통장내역(환율표)'!#REF!</f>
        <v>#REF!</v>
      </c>
      <c r="M40" s="1096" t="e">
        <f t="shared" si="12"/>
        <v>#REF!</v>
      </c>
      <c r="N40" s="928">
        <f t="shared" si="6"/>
        <v>350632.69000000099</v>
      </c>
      <c r="O40" s="928" t="e">
        <f t="shared" si="7"/>
        <v>#REF!</v>
      </c>
      <c r="P40" s="911" t="s">
        <v>1445</v>
      </c>
      <c r="Q40" s="641"/>
      <c r="R40" s="1102"/>
      <c r="S40" s="883" t="e">
        <f t="shared" si="13"/>
        <v>#REF!</v>
      </c>
      <c r="T40" s="461"/>
      <c r="U40" s="574"/>
      <c r="V40" s="461"/>
      <c r="W40" s="461"/>
      <c r="X40" s="461"/>
      <c r="Y40" s="461"/>
      <c r="Z40" s="461"/>
      <c r="AA40" s="461"/>
      <c r="AB40" s="461"/>
      <c r="AC40" s="461"/>
    </row>
    <row r="41" spans="1:29" s="489" customFormat="1" ht="11.25" customHeight="1">
      <c r="A41" s="544"/>
      <c r="B41" s="1055">
        <v>45796</v>
      </c>
      <c r="C41" s="916" t="s">
        <v>1386</v>
      </c>
      <c r="D41" s="922" t="s">
        <v>1390</v>
      </c>
      <c r="E41" s="922">
        <v>21</v>
      </c>
      <c r="F41" s="986" t="s">
        <v>107</v>
      </c>
      <c r="G41" s="569"/>
      <c r="H41" s="923"/>
      <c r="I41" s="988"/>
      <c r="J41" s="988"/>
      <c r="K41" s="918">
        <v>517</v>
      </c>
      <c r="L41" s="542" t="e">
        <f>'통장내역(환율표)'!#REF!</f>
        <v>#REF!</v>
      </c>
      <c r="M41" s="1096" t="e">
        <f t="shared" si="12"/>
        <v>#REF!</v>
      </c>
      <c r="N41" s="928">
        <f t="shared" si="6"/>
        <v>350115.69000000099</v>
      </c>
      <c r="O41" s="928" t="e">
        <f t="shared" si="7"/>
        <v>#REF!</v>
      </c>
      <c r="P41" s="911" t="s">
        <v>1445</v>
      </c>
      <c r="Q41" s="641"/>
      <c r="R41" s="1102"/>
      <c r="S41" s="883" t="e">
        <f t="shared" si="13"/>
        <v>#REF!</v>
      </c>
      <c r="T41" s="461"/>
      <c r="U41" s="574"/>
      <c r="V41" s="461"/>
      <c r="W41" s="461"/>
      <c r="X41" s="461"/>
      <c r="Y41" s="461"/>
      <c r="Z41" s="461"/>
      <c r="AA41" s="461"/>
      <c r="AB41" s="461"/>
      <c r="AC41" s="461"/>
    </row>
    <row r="42" spans="1:29" s="489" customFormat="1" ht="11.25" customHeight="1">
      <c r="A42" s="544"/>
      <c r="B42" s="1055">
        <v>45796</v>
      </c>
      <c r="C42" s="916" t="s">
        <v>862</v>
      </c>
      <c r="D42" s="922" t="s">
        <v>1390</v>
      </c>
      <c r="E42" s="917">
        <v>22</v>
      </c>
      <c r="F42" s="986" t="s">
        <v>107</v>
      </c>
      <c r="G42" s="986"/>
      <c r="H42" s="986"/>
      <c r="I42" s="986"/>
      <c r="J42" s="986"/>
      <c r="K42" s="1115">
        <v>3.6</v>
      </c>
      <c r="L42" s="542" t="e">
        <f>'통장내역(환율표)'!#REF!</f>
        <v>#REF!</v>
      </c>
      <c r="M42" s="1096" t="e">
        <f t="shared" si="12"/>
        <v>#REF!</v>
      </c>
      <c r="N42" s="928">
        <f t="shared" si="6"/>
        <v>350112.09000000102</v>
      </c>
      <c r="O42" s="928" t="e">
        <f t="shared" si="7"/>
        <v>#REF!</v>
      </c>
      <c r="P42" s="911" t="s">
        <v>1445</v>
      </c>
      <c r="Q42" s="641"/>
      <c r="R42" s="1103"/>
      <c r="S42" s="883" t="e">
        <f t="shared" si="13"/>
        <v>#REF!</v>
      </c>
      <c r="T42" s="461"/>
      <c r="U42" s="574"/>
      <c r="V42" s="461"/>
      <c r="W42" s="461"/>
      <c r="X42" s="461"/>
      <c r="Y42" s="461"/>
      <c r="Z42" s="461"/>
      <c r="AA42" s="461"/>
      <c r="AB42" s="461"/>
      <c r="AC42" s="461"/>
    </row>
    <row r="43" spans="1:29" s="489" customFormat="1" ht="11.25" customHeight="1">
      <c r="A43" s="544"/>
      <c r="B43" s="1055">
        <v>45796</v>
      </c>
      <c r="C43" s="916" t="s">
        <v>1452</v>
      </c>
      <c r="D43" s="913" t="s">
        <v>1391</v>
      </c>
      <c r="E43" s="986">
        <v>23</v>
      </c>
      <c r="F43" s="986" t="s">
        <v>146</v>
      </c>
      <c r="G43" s="986" t="s">
        <v>147</v>
      </c>
      <c r="H43" s="986"/>
      <c r="I43" s="986"/>
      <c r="J43" s="986"/>
      <c r="K43" s="1057">
        <v>589.1</v>
      </c>
      <c r="L43" s="542" t="e">
        <f>'통장내역(환율표)'!#REF!</f>
        <v>#REF!</v>
      </c>
      <c r="M43" s="1096" t="e">
        <f t="shared" ref="M43:M46" si="14">K43/L43</f>
        <v>#REF!</v>
      </c>
      <c r="N43" s="928">
        <f t="shared" si="6"/>
        <v>349522.99000000104</v>
      </c>
      <c r="O43" s="928" t="e">
        <f t="shared" si="7"/>
        <v>#REF!</v>
      </c>
      <c r="P43" s="911" t="s">
        <v>1445</v>
      </c>
      <c r="Q43" s="641"/>
      <c r="R43" s="1103"/>
      <c r="S43" s="883" t="e">
        <f t="shared" si="13"/>
        <v>#REF!</v>
      </c>
      <c r="T43" s="461"/>
      <c r="U43" s="574"/>
      <c r="V43" s="461"/>
      <c r="W43" s="461"/>
      <c r="X43" s="461"/>
      <c r="Y43" s="461"/>
      <c r="Z43" s="461"/>
      <c r="AA43" s="461"/>
      <c r="AB43" s="461"/>
      <c r="AC43" s="461"/>
    </row>
    <row r="44" spans="1:29" s="489" customFormat="1" ht="11.25" customHeight="1">
      <c r="A44" s="544"/>
      <c r="B44" s="1055">
        <v>45796</v>
      </c>
      <c r="C44" s="916" t="s">
        <v>19</v>
      </c>
      <c r="D44" s="913" t="s">
        <v>1391</v>
      </c>
      <c r="E44" s="922">
        <v>24</v>
      </c>
      <c r="F44" s="986" t="s">
        <v>116</v>
      </c>
      <c r="G44" s="569" t="s">
        <v>140</v>
      </c>
      <c r="H44" s="986"/>
      <c r="I44" s="986"/>
      <c r="J44" s="986"/>
      <c r="K44" s="918">
        <v>299.60000000000002</v>
      </c>
      <c r="L44" s="542" t="e">
        <f>'통장내역(환율표)'!#REF!</f>
        <v>#REF!</v>
      </c>
      <c r="M44" s="1096" t="e">
        <f t="shared" si="14"/>
        <v>#REF!</v>
      </c>
      <c r="N44" s="928">
        <f t="shared" si="6"/>
        <v>349223.39000000106</v>
      </c>
      <c r="O44" s="928" t="e">
        <f t="shared" si="7"/>
        <v>#REF!</v>
      </c>
      <c r="P44" s="911" t="s">
        <v>1445</v>
      </c>
      <c r="Q44" s="641"/>
      <c r="R44" s="964"/>
      <c r="S44" s="883" t="e">
        <f t="shared" si="13"/>
        <v>#REF!</v>
      </c>
      <c r="T44" s="461"/>
      <c r="U44" s="574"/>
      <c r="V44" s="461"/>
      <c r="W44" s="461"/>
      <c r="X44" s="461"/>
      <c r="Y44" s="461"/>
      <c r="Z44" s="461"/>
      <c r="AA44" s="461"/>
      <c r="AB44" s="461"/>
      <c r="AC44" s="461"/>
    </row>
    <row r="45" spans="1:29" s="489" customFormat="1" ht="11.25" customHeight="1">
      <c r="A45" s="544"/>
      <c r="B45" s="1055">
        <v>45796</v>
      </c>
      <c r="C45" s="916" t="s">
        <v>1403</v>
      </c>
      <c r="D45" s="913" t="s">
        <v>1391</v>
      </c>
      <c r="E45" s="922">
        <v>25</v>
      </c>
      <c r="F45" s="986" t="s">
        <v>146</v>
      </c>
      <c r="G45" s="569" t="s">
        <v>147</v>
      </c>
      <c r="H45" s="986"/>
      <c r="I45" s="986"/>
      <c r="J45" s="986"/>
      <c r="K45" s="918">
        <v>1259</v>
      </c>
      <c r="L45" s="542" t="e">
        <f>'통장내역(환율표)'!#REF!</f>
        <v>#REF!</v>
      </c>
      <c r="M45" s="1096" t="e">
        <f t="shared" si="14"/>
        <v>#REF!</v>
      </c>
      <c r="N45" s="928">
        <f t="shared" si="6"/>
        <v>347964.39000000106</v>
      </c>
      <c r="O45" s="928" t="e">
        <f t="shared" si="7"/>
        <v>#REF!</v>
      </c>
      <c r="P45" s="911" t="s">
        <v>1445</v>
      </c>
      <c r="Q45" s="641"/>
      <c r="R45" s="964"/>
      <c r="S45" s="883" t="e">
        <f t="shared" si="13"/>
        <v>#REF!</v>
      </c>
      <c r="T45" s="461"/>
      <c r="U45" s="574"/>
      <c r="V45" s="461"/>
      <c r="W45" s="461"/>
      <c r="X45" s="461"/>
      <c r="Y45" s="461"/>
      <c r="Z45" s="461"/>
      <c r="AA45" s="461"/>
      <c r="AB45" s="461"/>
      <c r="AC45" s="461"/>
    </row>
    <row r="46" spans="1:29" s="489" customFormat="1" ht="11.25" customHeight="1">
      <c r="A46" s="544"/>
      <c r="B46" s="1055">
        <v>45796</v>
      </c>
      <c r="C46" s="916" t="s">
        <v>11</v>
      </c>
      <c r="D46" s="913" t="s">
        <v>1391</v>
      </c>
      <c r="E46" s="922">
        <v>26</v>
      </c>
      <c r="F46" s="986" t="s">
        <v>125</v>
      </c>
      <c r="G46" s="986" t="s">
        <v>145</v>
      </c>
      <c r="H46" s="986"/>
      <c r="I46" s="986"/>
      <c r="J46" s="986"/>
      <c r="K46" s="918">
        <v>2482</v>
      </c>
      <c r="L46" s="542" t="e">
        <f>'통장내역(환율표)'!#REF!</f>
        <v>#REF!</v>
      </c>
      <c r="M46" s="1096" t="e">
        <f t="shared" si="14"/>
        <v>#REF!</v>
      </c>
      <c r="N46" s="928">
        <f t="shared" si="6"/>
        <v>345482.39000000106</v>
      </c>
      <c r="O46" s="928" t="e">
        <f t="shared" si="7"/>
        <v>#REF!</v>
      </c>
      <c r="P46" s="911" t="s">
        <v>1445</v>
      </c>
      <c r="Q46" s="641"/>
      <c r="R46" s="964"/>
      <c r="S46" s="883" t="e">
        <f t="shared" si="13"/>
        <v>#REF!</v>
      </c>
      <c r="T46" s="461"/>
      <c r="U46" s="574"/>
      <c r="V46" s="461"/>
      <c r="W46" s="461"/>
      <c r="X46" s="461"/>
      <c r="Y46" s="461"/>
      <c r="Z46" s="461"/>
      <c r="AA46" s="461"/>
      <c r="AB46" s="461"/>
      <c r="AC46" s="461"/>
    </row>
    <row r="47" spans="1:29" s="489" customFormat="1" ht="11.25" customHeight="1">
      <c r="A47" s="544"/>
      <c r="B47" s="1055">
        <v>45796</v>
      </c>
      <c r="C47" s="916" t="s">
        <v>862</v>
      </c>
      <c r="D47" s="913" t="s">
        <v>1391</v>
      </c>
      <c r="E47" s="922">
        <v>27</v>
      </c>
      <c r="F47" s="986" t="s">
        <v>107</v>
      </c>
      <c r="G47" s="986"/>
      <c r="H47" s="986"/>
      <c r="I47" s="986"/>
      <c r="J47" s="986"/>
      <c r="K47" s="918">
        <v>3.6</v>
      </c>
      <c r="L47" s="542" t="e">
        <f>'통장내역(환율표)'!#REF!</f>
        <v>#REF!</v>
      </c>
      <c r="M47" s="1096" t="e">
        <f t="shared" ref="M47:M108" si="15">K47/L47</f>
        <v>#REF!</v>
      </c>
      <c r="N47" s="928">
        <f t="shared" si="6"/>
        <v>345478.79000000108</v>
      </c>
      <c r="O47" s="928" t="e">
        <f t="shared" si="7"/>
        <v>#REF!</v>
      </c>
      <c r="P47" s="911" t="s">
        <v>1445</v>
      </c>
      <c r="Q47" s="641"/>
      <c r="R47" s="964"/>
      <c r="S47" s="883" t="e">
        <f t="shared" si="13"/>
        <v>#REF!</v>
      </c>
      <c r="T47" s="461"/>
      <c r="U47" s="574"/>
      <c r="V47" s="461"/>
      <c r="W47" s="461"/>
      <c r="X47" s="461"/>
      <c r="Y47" s="461"/>
      <c r="Z47" s="461"/>
      <c r="AA47" s="461"/>
      <c r="AB47" s="461"/>
      <c r="AC47" s="461"/>
    </row>
    <row r="48" spans="1:29" s="489" customFormat="1" ht="11.25" customHeight="1">
      <c r="A48" s="544"/>
      <c r="B48" s="1055">
        <v>45796</v>
      </c>
      <c r="C48" s="916" t="s">
        <v>1404</v>
      </c>
      <c r="D48" s="913" t="s">
        <v>1394</v>
      </c>
      <c r="E48" s="922">
        <v>28</v>
      </c>
      <c r="F48" s="986" t="s">
        <v>146</v>
      </c>
      <c r="G48" s="986" t="s">
        <v>147</v>
      </c>
      <c r="H48" s="986"/>
      <c r="I48" s="986"/>
      <c r="J48" s="986"/>
      <c r="K48" s="918">
        <v>313.58999999999997</v>
      </c>
      <c r="L48" s="542" t="e">
        <f>'통장내역(환율표)'!#REF!</f>
        <v>#REF!</v>
      </c>
      <c r="M48" s="1096" t="e">
        <f t="shared" si="15"/>
        <v>#REF!</v>
      </c>
      <c r="N48" s="928">
        <f t="shared" si="6"/>
        <v>345165.20000000106</v>
      </c>
      <c r="O48" s="928" t="e">
        <f t="shared" si="7"/>
        <v>#REF!</v>
      </c>
      <c r="P48" s="911" t="s">
        <v>1445</v>
      </c>
      <c r="Q48" s="641"/>
      <c r="R48" s="964"/>
      <c r="S48" s="883" t="e">
        <f t="shared" si="13"/>
        <v>#REF!</v>
      </c>
      <c r="T48" s="461"/>
      <c r="U48" s="574"/>
      <c r="V48" s="461"/>
      <c r="W48" s="461"/>
      <c r="X48" s="461"/>
      <c r="Y48" s="461"/>
      <c r="Z48" s="461"/>
      <c r="AA48" s="461"/>
      <c r="AB48" s="461"/>
      <c r="AC48" s="461"/>
    </row>
    <row r="49" spans="1:29" s="489" customFormat="1" ht="11.25" customHeight="1">
      <c r="A49" s="544"/>
      <c r="B49" s="1055">
        <v>45796</v>
      </c>
      <c r="C49" s="913" t="s">
        <v>1403</v>
      </c>
      <c r="D49" s="913" t="s">
        <v>1394</v>
      </c>
      <c r="E49" s="922">
        <v>29</v>
      </c>
      <c r="F49" s="1052" t="s">
        <v>146</v>
      </c>
      <c r="G49" s="569" t="s">
        <v>147</v>
      </c>
      <c r="H49" s="986"/>
      <c r="I49" s="986"/>
      <c r="J49" s="986"/>
      <c r="K49" s="918">
        <v>688.3</v>
      </c>
      <c r="L49" s="542" t="e">
        <f>'통장내역(환율표)'!#REF!</f>
        <v>#REF!</v>
      </c>
      <c r="M49" s="1096" t="e">
        <f t="shared" si="15"/>
        <v>#REF!</v>
      </c>
      <c r="N49" s="928">
        <f t="shared" si="6"/>
        <v>344476.90000000107</v>
      </c>
      <c r="O49" s="928" t="e">
        <f t="shared" si="7"/>
        <v>#REF!</v>
      </c>
      <c r="P49" s="911" t="s">
        <v>1445</v>
      </c>
      <c r="Q49" s="641"/>
      <c r="R49" s="1103"/>
      <c r="S49" s="883" t="e">
        <f t="shared" si="13"/>
        <v>#REF!</v>
      </c>
      <c r="T49" s="461"/>
      <c r="U49" s="574"/>
      <c r="V49" s="461"/>
      <c r="W49" s="461"/>
      <c r="X49" s="461"/>
      <c r="Y49" s="461"/>
      <c r="Z49" s="461"/>
      <c r="AA49" s="461"/>
      <c r="AB49" s="461"/>
      <c r="AC49" s="461"/>
    </row>
    <row r="50" spans="1:29" s="489" customFormat="1" ht="11.25" customHeight="1">
      <c r="A50" s="544"/>
      <c r="B50" s="1055">
        <v>45796</v>
      </c>
      <c r="C50" s="964" t="s">
        <v>19</v>
      </c>
      <c r="D50" s="913" t="s">
        <v>1394</v>
      </c>
      <c r="E50" s="922">
        <v>30</v>
      </c>
      <c r="F50" s="1052" t="s">
        <v>116</v>
      </c>
      <c r="G50" s="569" t="s">
        <v>140</v>
      </c>
      <c r="H50" s="986"/>
      <c r="I50" s="986"/>
      <c r="J50" s="986"/>
      <c r="K50" s="918">
        <v>192.52</v>
      </c>
      <c r="L50" s="542" t="e">
        <f>'통장내역(환율표)'!#REF!</f>
        <v>#REF!</v>
      </c>
      <c r="M50" s="1096" t="e">
        <f t="shared" si="15"/>
        <v>#REF!</v>
      </c>
      <c r="N50" s="928">
        <f t="shared" si="6"/>
        <v>344284.38000000105</v>
      </c>
      <c r="O50" s="928" t="e">
        <f t="shared" si="7"/>
        <v>#REF!</v>
      </c>
      <c r="P50" s="911" t="s">
        <v>1445</v>
      </c>
      <c r="Q50" s="641"/>
      <c r="R50" s="1103"/>
      <c r="S50" s="883" t="e">
        <f t="shared" si="13"/>
        <v>#REF!</v>
      </c>
      <c r="T50" s="461"/>
      <c r="U50" s="574"/>
      <c r="V50" s="461"/>
      <c r="W50" s="461"/>
      <c r="X50" s="461"/>
      <c r="Y50" s="461"/>
      <c r="Z50" s="461"/>
      <c r="AA50" s="461"/>
      <c r="AB50" s="461"/>
      <c r="AC50" s="461"/>
    </row>
    <row r="51" spans="1:29" s="489" customFormat="1" ht="11.25" customHeight="1">
      <c r="A51" s="544"/>
      <c r="B51" s="1055">
        <v>45796</v>
      </c>
      <c r="C51" s="964" t="s">
        <v>1405</v>
      </c>
      <c r="D51" s="913" t="s">
        <v>1394</v>
      </c>
      <c r="E51" s="922">
        <v>31</v>
      </c>
      <c r="F51" s="986" t="s">
        <v>107</v>
      </c>
      <c r="G51" s="986"/>
      <c r="H51" s="986"/>
      <c r="I51" s="986"/>
      <c r="J51" s="986"/>
      <c r="K51" s="918">
        <v>426.75</v>
      </c>
      <c r="L51" s="542" t="e">
        <f>'통장내역(환율표)'!#REF!</f>
        <v>#REF!</v>
      </c>
      <c r="M51" s="1096">
        <v>58.23</v>
      </c>
      <c r="N51" s="928">
        <f t="shared" si="6"/>
        <v>343857.63000000105</v>
      </c>
      <c r="O51" s="928" t="e">
        <f t="shared" si="7"/>
        <v>#REF!</v>
      </c>
      <c r="P51" s="911" t="s">
        <v>1445</v>
      </c>
      <c r="Q51" s="641"/>
      <c r="R51" s="1103"/>
      <c r="S51" s="883" t="e">
        <f t="shared" si="13"/>
        <v>#REF!</v>
      </c>
      <c r="T51" s="461"/>
      <c r="U51" s="574"/>
      <c r="V51" s="461"/>
      <c r="W51" s="461"/>
      <c r="X51" s="461"/>
      <c r="Y51" s="461"/>
      <c r="Z51" s="461"/>
      <c r="AA51" s="461"/>
      <c r="AB51" s="461"/>
      <c r="AC51" s="461"/>
    </row>
    <row r="52" spans="1:29" s="489" customFormat="1" ht="11.25" customHeight="1">
      <c r="A52" s="544"/>
      <c r="B52" s="1055">
        <v>45796</v>
      </c>
      <c r="C52" s="964" t="s">
        <v>862</v>
      </c>
      <c r="D52" s="913" t="s">
        <v>1394</v>
      </c>
      <c r="E52" s="922">
        <v>32</v>
      </c>
      <c r="F52" s="986" t="s">
        <v>107</v>
      </c>
      <c r="G52" s="986"/>
      <c r="H52" s="986"/>
      <c r="I52" s="986"/>
      <c r="J52" s="986"/>
      <c r="K52" s="918">
        <v>3.6</v>
      </c>
      <c r="L52" s="542" t="e">
        <f>'통장내역(환율표)'!#REF!</f>
        <v>#REF!</v>
      </c>
      <c r="M52" s="1096" t="e">
        <f t="shared" si="15"/>
        <v>#REF!</v>
      </c>
      <c r="N52" s="928">
        <f t="shared" si="6"/>
        <v>343854.03000000108</v>
      </c>
      <c r="O52" s="928" t="e">
        <f t="shared" si="7"/>
        <v>#REF!</v>
      </c>
      <c r="P52" s="911" t="s">
        <v>1445</v>
      </c>
      <c r="Q52" s="641"/>
      <c r="R52" s="1103"/>
      <c r="S52" s="883" t="e">
        <f t="shared" si="13"/>
        <v>#REF!</v>
      </c>
      <c r="T52" s="461"/>
      <c r="U52" s="574"/>
      <c r="V52" s="461"/>
      <c r="W52" s="461"/>
      <c r="X52" s="461"/>
      <c r="Y52" s="461"/>
      <c r="Z52" s="461"/>
      <c r="AA52" s="461"/>
      <c r="AB52" s="461"/>
      <c r="AC52" s="461"/>
    </row>
    <row r="53" spans="1:29" s="489" customFormat="1" ht="11.25" customHeight="1">
      <c r="A53" s="544"/>
      <c r="B53" s="1127">
        <v>45796</v>
      </c>
      <c r="C53" s="1128" t="s">
        <v>1406</v>
      </c>
      <c r="D53" s="1129" t="s">
        <v>1392</v>
      </c>
      <c r="E53" s="1130">
        <v>33</v>
      </c>
      <c r="F53" s="1131" t="s">
        <v>146</v>
      </c>
      <c r="G53" s="1131" t="s">
        <v>147</v>
      </c>
      <c r="H53" s="1131"/>
      <c r="I53" s="1131"/>
      <c r="J53" s="1131"/>
      <c r="K53" s="1132" t="e">
        <f>L53*M53</f>
        <v>#REF!</v>
      </c>
      <c r="L53" s="1133" t="e">
        <f>'통장내역(환율표)'!#REF!</f>
        <v>#REF!</v>
      </c>
      <c r="M53" s="1134">
        <v>26.688709136591381</v>
      </c>
      <c r="N53" s="1135" t="e">
        <f t="shared" si="6"/>
        <v>#REF!</v>
      </c>
      <c r="O53" s="1135" t="e">
        <f t="shared" si="7"/>
        <v>#REF!</v>
      </c>
      <c r="P53" s="1136" t="s">
        <v>1445</v>
      </c>
      <c r="Q53" s="1137"/>
      <c r="R53" s="1138"/>
      <c r="S53" s="883" t="e">
        <f>S52-M53+J53</f>
        <v>#REF!</v>
      </c>
      <c r="T53" s="461"/>
      <c r="U53" s="574"/>
      <c r="V53" s="461"/>
      <c r="W53" s="461"/>
      <c r="X53" s="461"/>
      <c r="Y53" s="461"/>
      <c r="Z53" s="461"/>
      <c r="AA53" s="461"/>
      <c r="AB53" s="461"/>
      <c r="AC53" s="461"/>
    </row>
    <row r="54" spans="1:29" s="489" customFormat="1" ht="11.25" customHeight="1">
      <c r="A54" s="544"/>
      <c r="B54" s="1170">
        <v>45796</v>
      </c>
      <c r="C54" s="1171" t="s">
        <v>1406</v>
      </c>
      <c r="D54" s="1172" t="s">
        <v>1392</v>
      </c>
      <c r="E54" s="1173">
        <v>33</v>
      </c>
      <c r="F54" s="1174" t="s">
        <v>146</v>
      </c>
      <c r="G54" s="1174" t="s">
        <v>147</v>
      </c>
      <c r="H54" s="1174"/>
      <c r="I54" s="1174"/>
      <c r="J54" s="1174"/>
      <c r="K54" s="1175" t="e">
        <f>3060-K53</f>
        <v>#REF!</v>
      </c>
      <c r="L54" s="1176" t="e">
        <f>'통장내역(환율표)'!#REF!</f>
        <v>#REF!</v>
      </c>
      <c r="M54" s="1166" t="e">
        <f t="shared" si="15"/>
        <v>#REF!</v>
      </c>
      <c r="N54" s="1177" t="e">
        <f t="shared" si="6"/>
        <v>#REF!</v>
      </c>
      <c r="O54" s="1177" t="e">
        <f t="shared" si="7"/>
        <v>#REF!</v>
      </c>
      <c r="P54" s="1178" t="s">
        <v>1280</v>
      </c>
      <c r="Q54" s="1179"/>
      <c r="R54" s="1151"/>
      <c r="S54" s="883" t="e">
        <f>47865-M54+J54</f>
        <v>#REF!</v>
      </c>
      <c r="T54" s="461"/>
      <c r="U54" s="574"/>
      <c r="V54" s="461"/>
      <c r="W54" s="461"/>
      <c r="X54" s="461"/>
      <c r="Y54" s="461"/>
      <c r="Z54" s="461"/>
      <c r="AA54" s="461"/>
      <c r="AB54" s="461"/>
      <c r="AC54" s="461"/>
    </row>
    <row r="55" spans="1:29" s="489" customFormat="1" ht="11.25" customHeight="1">
      <c r="A55" s="544"/>
      <c r="B55" s="1180">
        <v>45796</v>
      </c>
      <c r="C55" s="1157" t="s">
        <v>1407</v>
      </c>
      <c r="D55" s="1194" t="s">
        <v>1392</v>
      </c>
      <c r="E55" s="1181">
        <v>34</v>
      </c>
      <c r="F55" s="1182" t="s">
        <v>146</v>
      </c>
      <c r="G55" s="1182" t="s">
        <v>147</v>
      </c>
      <c r="H55" s="1182"/>
      <c r="I55" s="1182"/>
      <c r="J55" s="1182"/>
      <c r="K55" s="1183">
        <v>179</v>
      </c>
      <c r="L55" s="1184" t="e">
        <f>'통장내역(환율표)'!#REF!</f>
        <v>#REF!</v>
      </c>
      <c r="M55" s="1166" t="e">
        <f t="shared" si="15"/>
        <v>#REF!</v>
      </c>
      <c r="N55" s="1185" t="e">
        <f t="shared" si="6"/>
        <v>#REF!</v>
      </c>
      <c r="O55" s="1185" t="e">
        <f t="shared" si="7"/>
        <v>#REF!</v>
      </c>
      <c r="P55" s="1186" t="s">
        <v>1280</v>
      </c>
      <c r="Q55" s="1187"/>
      <c r="R55" s="1152"/>
      <c r="S55" s="883" t="e">
        <f>S54-M55+J55</f>
        <v>#REF!</v>
      </c>
      <c r="T55" s="461"/>
      <c r="U55" s="574"/>
      <c r="V55" s="461"/>
      <c r="W55" s="461"/>
      <c r="X55" s="461"/>
      <c r="Y55" s="461"/>
      <c r="Z55" s="461"/>
      <c r="AA55" s="461"/>
      <c r="AB55" s="461"/>
      <c r="AC55" s="461"/>
    </row>
    <row r="56" spans="1:29" s="489" customFormat="1" ht="11.25" customHeight="1">
      <c r="A56" s="544"/>
      <c r="B56" s="1180">
        <v>45796</v>
      </c>
      <c r="C56" s="1157" t="s">
        <v>1408</v>
      </c>
      <c r="D56" s="1194" t="s">
        <v>1392</v>
      </c>
      <c r="E56" s="1181">
        <v>35</v>
      </c>
      <c r="F56" s="1182" t="s">
        <v>146</v>
      </c>
      <c r="G56" s="1182" t="s">
        <v>147</v>
      </c>
      <c r="H56" s="1182"/>
      <c r="I56" s="1182"/>
      <c r="J56" s="1182"/>
      <c r="K56" s="1183">
        <v>852</v>
      </c>
      <c r="L56" s="1184" t="e">
        <f>'통장내역(환율표)'!#REF!</f>
        <v>#REF!</v>
      </c>
      <c r="M56" s="1166" t="e">
        <f t="shared" si="15"/>
        <v>#REF!</v>
      </c>
      <c r="N56" s="1185" t="e">
        <f t="shared" si="6"/>
        <v>#REF!</v>
      </c>
      <c r="O56" s="1185" t="e">
        <f t="shared" si="7"/>
        <v>#REF!</v>
      </c>
      <c r="P56" s="1186" t="s">
        <v>1280</v>
      </c>
      <c r="Q56" s="1187"/>
      <c r="R56" s="1152"/>
      <c r="S56" s="883" t="e">
        <f t="shared" ref="S56:S110" si="16">S55-M56+J56</f>
        <v>#REF!</v>
      </c>
      <c r="T56" s="461"/>
      <c r="U56" s="574"/>
      <c r="V56" s="461"/>
      <c r="W56" s="461"/>
      <c r="X56" s="461"/>
      <c r="Y56" s="461"/>
      <c r="Z56" s="461"/>
      <c r="AA56" s="461"/>
      <c r="AB56" s="461"/>
      <c r="AC56" s="461"/>
    </row>
    <row r="57" spans="1:29" s="489" customFormat="1" ht="11.25" customHeight="1">
      <c r="A57" s="544"/>
      <c r="B57" s="1180">
        <v>45796</v>
      </c>
      <c r="C57" s="1157" t="s">
        <v>862</v>
      </c>
      <c r="D57" s="1194" t="s">
        <v>1392</v>
      </c>
      <c r="E57" s="1181">
        <v>36</v>
      </c>
      <c r="F57" s="1188" t="s">
        <v>107</v>
      </c>
      <c r="G57" s="1189"/>
      <c r="H57" s="1182"/>
      <c r="I57" s="1182"/>
      <c r="J57" s="1182"/>
      <c r="K57" s="1183">
        <v>3.6</v>
      </c>
      <c r="L57" s="1184" t="e">
        <f>'통장내역(환율표)'!#REF!</f>
        <v>#REF!</v>
      </c>
      <c r="M57" s="1166" t="e">
        <f t="shared" si="15"/>
        <v>#REF!</v>
      </c>
      <c r="N57" s="1185" t="e">
        <f t="shared" si="6"/>
        <v>#REF!</v>
      </c>
      <c r="O57" s="1185" t="e">
        <f t="shared" si="7"/>
        <v>#REF!</v>
      </c>
      <c r="P57" s="1186" t="s">
        <v>1280</v>
      </c>
      <c r="Q57" s="1187"/>
      <c r="R57" s="1186"/>
      <c r="S57" s="883" t="e">
        <f t="shared" si="16"/>
        <v>#REF!</v>
      </c>
      <c r="T57" s="461"/>
      <c r="U57" s="574"/>
      <c r="V57" s="461"/>
      <c r="W57" s="461"/>
      <c r="X57" s="461"/>
      <c r="Y57" s="461"/>
      <c r="Z57" s="461"/>
      <c r="AA57" s="461"/>
      <c r="AB57" s="461"/>
      <c r="AC57" s="461"/>
    </row>
    <row r="58" spans="1:29" s="489" customFormat="1" ht="11.25" customHeight="1">
      <c r="A58" s="544"/>
      <c r="B58" s="1180">
        <v>45796</v>
      </c>
      <c r="C58" s="1157" t="s">
        <v>1408</v>
      </c>
      <c r="D58" s="1194" t="s">
        <v>1393</v>
      </c>
      <c r="E58" s="1181">
        <v>37</v>
      </c>
      <c r="F58" s="1182" t="s">
        <v>146</v>
      </c>
      <c r="G58" s="1182" t="s">
        <v>147</v>
      </c>
      <c r="H58" s="1182"/>
      <c r="I58" s="1182"/>
      <c r="J58" s="1182"/>
      <c r="K58" s="1183">
        <v>551</v>
      </c>
      <c r="L58" s="1184" t="e">
        <f>'통장내역(환율표)'!#REF!</f>
        <v>#REF!</v>
      </c>
      <c r="M58" s="1166" t="e">
        <f t="shared" si="15"/>
        <v>#REF!</v>
      </c>
      <c r="N58" s="1185" t="e">
        <f t="shared" si="6"/>
        <v>#REF!</v>
      </c>
      <c r="O58" s="1185" t="e">
        <f t="shared" si="7"/>
        <v>#REF!</v>
      </c>
      <c r="P58" s="1186" t="s">
        <v>1280</v>
      </c>
      <c r="Q58" s="1187"/>
      <c r="R58" s="1186"/>
      <c r="S58" s="883" t="e">
        <f t="shared" si="16"/>
        <v>#REF!</v>
      </c>
      <c r="T58" s="461"/>
      <c r="U58" s="574"/>
      <c r="V58" s="461"/>
      <c r="W58" s="461"/>
      <c r="X58" s="461"/>
      <c r="Y58" s="461"/>
      <c r="Z58" s="461"/>
      <c r="AA58" s="461"/>
      <c r="AB58" s="461"/>
      <c r="AC58" s="461"/>
    </row>
    <row r="59" spans="1:29" s="489" customFormat="1" ht="11.25" customHeight="1">
      <c r="A59" s="544"/>
      <c r="B59" s="1180">
        <v>45796</v>
      </c>
      <c r="C59" s="1157" t="s">
        <v>1406</v>
      </c>
      <c r="D59" s="1194" t="s">
        <v>1393</v>
      </c>
      <c r="E59" s="1181">
        <v>38</v>
      </c>
      <c r="F59" s="1188" t="s">
        <v>146</v>
      </c>
      <c r="G59" s="1189" t="s">
        <v>147</v>
      </c>
      <c r="H59" s="1182"/>
      <c r="I59" s="1190"/>
      <c r="J59" s="1182"/>
      <c r="K59" s="1183">
        <v>2361</v>
      </c>
      <c r="L59" s="1184" t="e">
        <f>'통장내역(환율표)'!#REF!</f>
        <v>#REF!</v>
      </c>
      <c r="M59" s="1166" t="e">
        <f t="shared" si="15"/>
        <v>#REF!</v>
      </c>
      <c r="N59" s="1185" t="e">
        <f t="shared" si="6"/>
        <v>#REF!</v>
      </c>
      <c r="O59" s="1185" t="e">
        <f t="shared" si="7"/>
        <v>#REF!</v>
      </c>
      <c r="P59" s="1186" t="s">
        <v>1280</v>
      </c>
      <c r="Q59" s="1187"/>
      <c r="R59" s="1186"/>
      <c r="S59" s="883" t="e">
        <f t="shared" si="16"/>
        <v>#REF!</v>
      </c>
      <c r="T59" s="461"/>
      <c r="U59" s="574"/>
      <c r="V59" s="461"/>
      <c r="W59" s="461"/>
      <c r="X59" s="461"/>
      <c r="Y59" s="461"/>
      <c r="Z59" s="461"/>
      <c r="AA59" s="461"/>
      <c r="AB59" s="461"/>
      <c r="AC59" s="461"/>
    </row>
    <row r="60" spans="1:29" s="489" customFormat="1" ht="11.25" customHeight="1">
      <c r="A60" s="544"/>
      <c r="B60" s="1180">
        <v>45796</v>
      </c>
      <c r="C60" s="1157" t="s">
        <v>1407</v>
      </c>
      <c r="D60" s="1194" t="s">
        <v>1393</v>
      </c>
      <c r="E60" s="1181">
        <v>39</v>
      </c>
      <c r="F60" s="1188" t="s">
        <v>146</v>
      </c>
      <c r="G60" s="1189" t="s">
        <v>147</v>
      </c>
      <c r="H60" s="1182"/>
      <c r="I60" s="1190"/>
      <c r="J60" s="1182"/>
      <c r="K60" s="1183">
        <v>84</v>
      </c>
      <c r="L60" s="1184" t="e">
        <f>'통장내역(환율표)'!#REF!</f>
        <v>#REF!</v>
      </c>
      <c r="M60" s="1166" t="e">
        <f t="shared" si="15"/>
        <v>#REF!</v>
      </c>
      <c r="N60" s="1185" t="e">
        <f t="shared" si="6"/>
        <v>#REF!</v>
      </c>
      <c r="O60" s="1185" t="e">
        <f t="shared" si="7"/>
        <v>#REF!</v>
      </c>
      <c r="P60" s="1186" t="s">
        <v>1280</v>
      </c>
      <c r="Q60" s="1187"/>
      <c r="R60" s="1186"/>
      <c r="S60" s="883" t="e">
        <f t="shared" si="16"/>
        <v>#REF!</v>
      </c>
      <c r="T60" s="461"/>
      <c r="U60" s="574"/>
      <c r="V60" s="461"/>
      <c r="W60" s="461"/>
      <c r="X60" s="461"/>
      <c r="Y60" s="461"/>
      <c r="Z60" s="461"/>
      <c r="AA60" s="461"/>
      <c r="AB60" s="461"/>
      <c r="AC60" s="461"/>
    </row>
    <row r="61" spans="1:29" s="489" customFormat="1" ht="11.25" customHeight="1">
      <c r="A61" s="544"/>
      <c r="B61" s="1180">
        <v>45796</v>
      </c>
      <c r="C61" s="1157" t="s">
        <v>862</v>
      </c>
      <c r="D61" s="1194" t="s">
        <v>1393</v>
      </c>
      <c r="E61" s="1181">
        <v>40</v>
      </c>
      <c r="F61" s="1188" t="s">
        <v>107</v>
      </c>
      <c r="G61" s="1189"/>
      <c r="H61" s="1182"/>
      <c r="I61" s="1190"/>
      <c r="J61" s="1182"/>
      <c r="K61" s="1183">
        <v>3.6</v>
      </c>
      <c r="L61" s="1184" t="e">
        <f>'통장내역(환율표)'!#REF!</f>
        <v>#REF!</v>
      </c>
      <c r="M61" s="1166" t="e">
        <f t="shared" si="15"/>
        <v>#REF!</v>
      </c>
      <c r="N61" s="1185" t="e">
        <f t="shared" si="6"/>
        <v>#REF!</v>
      </c>
      <c r="O61" s="1185" t="e">
        <f t="shared" si="7"/>
        <v>#REF!</v>
      </c>
      <c r="P61" s="1186" t="s">
        <v>1280</v>
      </c>
      <c r="Q61" s="1187"/>
      <c r="R61" s="1186"/>
      <c r="S61" s="883" t="e">
        <f t="shared" si="16"/>
        <v>#REF!</v>
      </c>
      <c r="T61" s="461"/>
      <c r="U61" s="574"/>
      <c r="V61" s="461"/>
      <c r="W61" s="461"/>
      <c r="X61" s="461"/>
      <c r="Y61" s="461"/>
      <c r="Z61" s="461"/>
      <c r="AA61" s="461"/>
      <c r="AB61" s="461"/>
      <c r="AC61" s="461"/>
    </row>
    <row r="62" spans="1:29" s="489" customFormat="1" ht="11.25" customHeight="1">
      <c r="A62" s="544"/>
      <c r="B62" s="1180">
        <v>45796</v>
      </c>
      <c r="C62" s="1191" t="s">
        <v>305</v>
      </c>
      <c r="D62" s="1181"/>
      <c r="E62" s="1181">
        <v>41</v>
      </c>
      <c r="F62" s="1188" t="s">
        <v>105</v>
      </c>
      <c r="G62" s="1189" t="s">
        <v>227</v>
      </c>
      <c r="H62" s="1192"/>
      <c r="I62" s="1193"/>
      <c r="J62" s="1193"/>
      <c r="K62" s="1183">
        <v>10500</v>
      </c>
      <c r="L62" s="1184" t="e">
        <f>'통장내역(환율표)'!#REF!</f>
        <v>#REF!</v>
      </c>
      <c r="M62" s="1166" t="e">
        <f t="shared" si="15"/>
        <v>#REF!</v>
      </c>
      <c r="N62" s="1185" t="e">
        <f t="shared" si="6"/>
        <v>#REF!</v>
      </c>
      <c r="O62" s="1185" t="e">
        <f t="shared" si="7"/>
        <v>#REF!</v>
      </c>
      <c r="P62" s="1186" t="s">
        <v>1280</v>
      </c>
      <c r="Q62" s="1187"/>
      <c r="R62" s="1186"/>
      <c r="S62" s="883" t="e">
        <f t="shared" si="16"/>
        <v>#REF!</v>
      </c>
      <c r="T62" s="461"/>
      <c r="U62" s="574"/>
      <c r="V62" s="461"/>
      <c r="W62" s="461"/>
      <c r="X62" s="461"/>
      <c r="Y62" s="461"/>
      <c r="Z62" s="461"/>
      <c r="AA62" s="461"/>
      <c r="AB62" s="461"/>
      <c r="AC62" s="461"/>
    </row>
    <row r="63" spans="1:29" s="489" customFormat="1" ht="11.25" customHeight="1">
      <c r="A63" s="544"/>
      <c r="B63" s="1180">
        <v>45796</v>
      </c>
      <c r="C63" s="1191" t="s">
        <v>1107</v>
      </c>
      <c r="D63" s="1181"/>
      <c r="E63" s="1181">
        <v>41</v>
      </c>
      <c r="F63" s="1188" t="s">
        <v>107</v>
      </c>
      <c r="G63" s="1189"/>
      <c r="H63" s="1192"/>
      <c r="I63" s="1193"/>
      <c r="J63" s="1193"/>
      <c r="K63" s="1183">
        <v>6000</v>
      </c>
      <c r="L63" s="1184" t="e">
        <f>'통장내역(환율표)'!#REF!</f>
        <v>#REF!</v>
      </c>
      <c r="M63" s="1166" t="e">
        <f t="shared" si="15"/>
        <v>#REF!</v>
      </c>
      <c r="N63" s="1185" t="e">
        <f t="shared" si="6"/>
        <v>#REF!</v>
      </c>
      <c r="O63" s="1185" t="e">
        <f t="shared" si="7"/>
        <v>#REF!</v>
      </c>
      <c r="P63" s="1186" t="s">
        <v>1280</v>
      </c>
      <c r="Q63" s="1187"/>
      <c r="R63" s="1186"/>
      <c r="S63" s="883" t="e">
        <f t="shared" si="16"/>
        <v>#REF!</v>
      </c>
      <c r="T63" s="461"/>
      <c r="U63" s="574"/>
      <c r="V63" s="461"/>
      <c r="W63" s="461"/>
      <c r="X63" s="461"/>
      <c r="Y63" s="461"/>
      <c r="Z63" s="461"/>
      <c r="AA63" s="461"/>
      <c r="AB63" s="461"/>
      <c r="AC63" s="461"/>
    </row>
    <row r="64" spans="1:29" s="489" customFormat="1" ht="11.25" customHeight="1">
      <c r="A64" s="544"/>
      <c r="B64" s="1180">
        <v>45796</v>
      </c>
      <c r="C64" s="1191" t="s">
        <v>1108</v>
      </c>
      <c r="D64" s="1181"/>
      <c r="E64" s="1181">
        <v>41</v>
      </c>
      <c r="F64" s="1188" t="s">
        <v>107</v>
      </c>
      <c r="G64" s="1189"/>
      <c r="H64" s="1192"/>
      <c r="I64" s="1193"/>
      <c r="J64" s="1193"/>
      <c r="K64" s="1183">
        <v>660</v>
      </c>
      <c r="L64" s="1184" t="e">
        <f>'통장내역(환율표)'!#REF!</f>
        <v>#REF!</v>
      </c>
      <c r="M64" s="1166" t="e">
        <f t="shared" si="15"/>
        <v>#REF!</v>
      </c>
      <c r="N64" s="1185" t="e">
        <f t="shared" si="6"/>
        <v>#REF!</v>
      </c>
      <c r="O64" s="1185" t="e">
        <f t="shared" si="7"/>
        <v>#REF!</v>
      </c>
      <c r="P64" s="1186" t="s">
        <v>1280</v>
      </c>
      <c r="Q64" s="1187"/>
      <c r="R64" s="1186"/>
      <c r="S64" s="883" t="e">
        <f t="shared" si="16"/>
        <v>#REF!</v>
      </c>
      <c r="T64" s="461"/>
      <c r="U64" s="574"/>
      <c r="V64" s="461"/>
      <c r="W64" s="461"/>
      <c r="X64" s="461"/>
      <c r="Y64" s="461"/>
      <c r="Z64" s="461"/>
      <c r="AA64" s="461"/>
      <c r="AB64" s="461"/>
      <c r="AC64" s="461"/>
    </row>
    <row r="65" spans="1:29" s="489" customFormat="1" ht="11.25" customHeight="1">
      <c r="A65" s="544"/>
      <c r="B65" s="1180">
        <v>45796</v>
      </c>
      <c r="C65" s="1191" t="s">
        <v>305</v>
      </c>
      <c r="D65" s="1181"/>
      <c r="E65" s="1181">
        <v>41</v>
      </c>
      <c r="F65" s="1188" t="s">
        <v>105</v>
      </c>
      <c r="G65" s="1189" t="s">
        <v>227</v>
      </c>
      <c r="H65" s="1192"/>
      <c r="I65" s="1193"/>
      <c r="J65" s="1193"/>
      <c r="K65" s="1183">
        <v>7000</v>
      </c>
      <c r="L65" s="1184" t="e">
        <f>'통장내역(환율표)'!#REF!</f>
        <v>#REF!</v>
      </c>
      <c r="M65" s="1166" t="e">
        <f t="shared" si="15"/>
        <v>#REF!</v>
      </c>
      <c r="N65" s="1185" t="e">
        <f t="shared" si="6"/>
        <v>#REF!</v>
      </c>
      <c r="O65" s="1185" t="e">
        <f t="shared" si="7"/>
        <v>#REF!</v>
      </c>
      <c r="P65" s="1186" t="s">
        <v>1280</v>
      </c>
      <c r="Q65" s="1187"/>
      <c r="R65" s="1186"/>
      <c r="S65" s="883" t="e">
        <f t="shared" si="16"/>
        <v>#REF!</v>
      </c>
      <c r="T65" s="461"/>
      <c r="U65" s="574"/>
      <c r="V65" s="461"/>
      <c r="W65" s="461"/>
      <c r="X65" s="461"/>
      <c r="Y65" s="461"/>
      <c r="Z65" s="461"/>
      <c r="AA65" s="461"/>
      <c r="AB65" s="461"/>
      <c r="AC65" s="461"/>
    </row>
    <row r="66" spans="1:29" s="489" customFormat="1" ht="11.25" customHeight="1">
      <c r="A66" s="544"/>
      <c r="B66" s="1180">
        <v>45796</v>
      </c>
      <c r="C66" s="1191" t="s">
        <v>1107</v>
      </c>
      <c r="D66" s="1181"/>
      <c r="E66" s="1181">
        <v>41</v>
      </c>
      <c r="F66" s="1188" t="s">
        <v>107</v>
      </c>
      <c r="G66" s="1189"/>
      <c r="H66" s="1192"/>
      <c r="I66" s="1193"/>
      <c r="J66" s="1193"/>
      <c r="K66" s="1183">
        <v>6000</v>
      </c>
      <c r="L66" s="1184" t="e">
        <f>'통장내역(환율표)'!#REF!</f>
        <v>#REF!</v>
      </c>
      <c r="M66" s="1166" t="e">
        <f t="shared" si="15"/>
        <v>#REF!</v>
      </c>
      <c r="N66" s="1185" t="e">
        <f t="shared" si="6"/>
        <v>#REF!</v>
      </c>
      <c r="O66" s="1185" t="e">
        <f t="shared" si="7"/>
        <v>#REF!</v>
      </c>
      <c r="P66" s="1186" t="s">
        <v>1280</v>
      </c>
      <c r="Q66" s="1187"/>
      <c r="R66" s="1186"/>
      <c r="S66" s="883" t="e">
        <f t="shared" si="16"/>
        <v>#REF!</v>
      </c>
      <c r="T66" s="461"/>
      <c r="U66" s="574"/>
      <c r="V66" s="461"/>
      <c r="W66" s="461"/>
      <c r="X66" s="461"/>
      <c r="Y66" s="461"/>
      <c r="Z66" s="461"/>
      <c r="AA66" s="461"/>
      <c r="AB66" s="461"/>
      <c r="AC66" s="461"/>
    </row>
    <row r="67" spans="1:29" s="489" customFormat="1" ht="11.25" customHeight="1">
      <c r="A67" s="544"/>
      <c r="B67" s="1180">
        <v>45796</v>
      </c>
      <c r="C67" s="1191" t="s">
        <v>1108</v>
      </c>
      <c r="D67" s="1181"/>
      <c r="E67" s="1181">
        <v>41</v>
      </c>
      <c r="F67" s="1188" t="s">
        <v>107</v>
      </c>
      <c r="G67" s="1189"/>
      <c r="H67" s="1192"/>
      <c r="I67" s="1193"/>
      <c r="J67" s="1193"/>
      <c r="K67" s="1183">
        <v>140</v>
      </c>
      <c r="L67" s="1184" t="e">
        <f>'통장내역(환율표)'!#REF!</f>
        <v>#REF!</v>
      </c>
      <c r="M67" s="1166" t="e">
        <f t="shared" si="15"/>
        <v>#REF!</v>
      </c>
      <c r="N67" s="1185" t="e">
        <f t="shared" si="6"/>
        <v>#REF!</v>
      </c>
      <c r="O67" s="1185" t="e">
        <f t="shared" si="7"/>
        <v>#REF!</v>
      </c>
      <c r="P67" s="1186" t="s">
        <v>1280</v>
      </c>
      <c r="Q67" s="1187"/>
      <c r="R67" s="1194"/>
      <c r="S67" s="883" t="e">
        <f t="shared" si="16"/>
        <v>#REF!</v>
      </c>
      <c r="T67" s="461"/>
      <c r="U67" s="574"/>
      <c r="V67" s="461"/>
      <c r="W67" s="461"/>
      <c r="X67" s="461"/>
      <c r="Y67" s="461"/>
      <c r="Z67" s="461"/>
      <c r="AA67" s="461"/>
      <c r="AB67" s="461"/>
      <c r="AC67" s="461"/>
    </row>
    <row r="68" spans="1:29" s="489" customFormat="1" ht="11.25" customHeight="1">
      <c r="A68" s="544"/>
      <c r="B68" s="1180">
        <v>45796</v>
      </c>
      <c r="C68" s="1191" t="s">
        <v>305</v>
      </c>
      <c r="D68" s="1181"/>
      <c r="E68" s="1181">
        <v>41</v>
      </c>
      <c r="F68" s="1188" t="s">
        <v>105</v>
      </c>
      <c r="G68" s="1189" t="s">
        <v>227</v>
      </c>
      <c r="H68" s="1192"/>
      <c r="I68" s="1193"/>
      <c r="J68" s="1193"/>
      <c r="K68" s="1195">
        <v>3096</v>
      </c>
      <c r="L68" s="1184" t="e">
        <f>'통장내역(환율표)'!#REF!</f>
        <v>#REF!</v>
      </c>
      <c r="M68" s="1166" t="e">
        <f t="shared" si="15"/>
        <v>#REF!</v>
      </c>
      <c r="N68" s="1185" t="e">
        <f t="shared" si="6"/>
        <v>#REF!</v>
      </c>
      <c r="O68" s="1185" t="e">
        <f t="shared" si="7"/>
        <v>#REF!</v>
      </c>
      <c r="P68" s="1186" t="s">
        <v>1280</v>
      </c>
      <c r="Q68" s="1187"/>
      <c r="R68" s="1194"/>
      <c r="S68" s="883" t="e">
        <f t="shared" si="16"/>
        <v>#REF!</v>
      </c>
      <c r="T68" s="461"/>
      <c r="U68" s="574"/>
      <c r="V68" s="461"/>
      <c r="W68" s="461"/>
      <c r="X68" s="461"/>
      <c r="Y68" s="461"/>
      <c r="Z68" s="461"/>
      <c r="AA68" s="461"/>
      <c r="AB68" s="461"/>
      <c r="AC68" s="461"/>
    </row>
    <row r="69" spans="1:29" s="489" customFormat="1" ht="11.25" customHeight="1">
      <c r="A69" s="544"/>
      <c r="B69" s="1180">
        <v>45796</v>
      </c>
      <c r="C69" s="1191" t="s">
        <v>1107</v>
      </c>
      <c r="D69" s="1181"/>
      <c r="E69" s="1181">
        <v>41</v>
      </c>
      <c r="F69" s="1188" t="s">
        <v>107</v>
      </c>
      <c r="G69" s="1189"/>
      <c r="H69" s="1182"/>
      <c r="I69" s="1190"/>
      <c r="J69" s="1182"/>
      <c r="K69" s="1196">
        <v>3096</v>
      </c>
      <c r="L69" s="1184" t="e">
        <f>'통장내역(환율표)'!#REF!</f>
        <v>#REF!</v>
      </c>
      <c r="M69" s="1166" t="e">
        <f t="shared" si="15"/>
        <v>#REF!</v>
      </c>
      <c r="N69" s="1185" t="e">
        <f t="shared" si="6"/>
        <v>#REF!</v>
      </c>
      <c r="O69" s="1185" t="e">
        <f t="shared" si="7"/>
        <v>#REF!</v>
      </c>
      <c r="P69" s="1186" t="s">
        <v>1280</v>
      </c>
      <c r="Q69" s="1187"/>
      <c r="R69" s="1194"/>
      <c r="S69" s="883" t="e">
        <f t="shared" si="16"/>
        <v>#REF!</v>
      </c>
      <c r="T69" s="461"/>
      <c r="U69" s="574"/>
      <c r="V69" s="461"/>
      <c r="W69" s="461"/>
      <c r="X69" s="461"/>
      <c r="Y69" s="461"/>
      <c r="Z69" s="461"/>
      <c r="AA69" s="461"/>
      <c r="AB69" s="461"/>
      <c r="AC69" s="461"/>
    </row>
    <row r="70" spans="1:29" s="489" customFormat="1" ht="11.25" customHeight="1">
      <c r="A70" s="544"/>
      <c r="B70" s="1180">
        <v>45796</v>
      </c>
      <c r="C70" s="1191" t="s">
        <v>250</v>
      </c>
      <c r="D70" s="1181"/>
      <c r="E70" s="1181">
        <v>42</v>
      </c>
      <c r="F70" s="1188" t="s">
        <v>107</v>
      </c>
      <c r="G70" s="1189"/>
      <c r="H70" s="1182"/>
      <c r="I70" s="1190"/>
      <c r="J70" s="1182"/>
      <c r="K70" s="1183">
        <v>7.2</v>
      </c>
      <c r="L70" s="1184" t="e">
        <f>'통장내역(환율표)'!#REF!</f>
        <v>#REF!</v>
      </c>
      <c r="M70" s="1166" t="e">
        <f t="shared" si="15"/>
        <v>#REF!</v>
      </c>
      <c r="N70" s="1185" t="e">
        <f t="shared" si="6"/>
        <v>#REF!</v>
      </c>
      <c r="O70" s="1185" t="e">
        <f t="shared" si="7"/>
        <v>#REF!</v>
      </c>
      <c r="P70" s="1186" t="s">
        <v>1280</v>
      </c>
      <c r="Q70" s="1187"/>
      <c r="R70" s="1194"/>
      <c r="S70" s="883" t="e">
        <f t="shared" si="16"/>
        <v>#REF!</v>
      </c>
      <c r="T70" s="461"/>
      <c r="U70" s="574"/>
      <c r="V70" s="461"/>
      <c r="W70" s="461"/>
      <c r="X70" s="461"/>
      <c r="Y70" s="461"/>
      <c r="Z70" s="461"/>
      <c r="AA70" s="461"/>
      <c r="AB70" s="461"/>
      <c r="AC70" s="461"/>
    </row>
    <row r="71" spans="1:29" s="489" customFormat="1" ht="11.25" customHeight="1">
      <c r="A71" s="544"/>
      <c r="B71" s="1180">
        <v>45797</v>
      </c>
      <c r="C71" s="1157" t="s">
        <v>11</v>
      </c>
      <c r="D71" s="1194" t="s">
        <v>1454</v>
      </c>
      <c r="E71" s="1181">
        <v>43</v>
      </c>
      <c r="F71" s="1188" t="s">
        <v>125</v>
      </c>
      <c r="G71" s="1189" t="s">
        <v>145</v>
      </c>
      <c r="H71" s="1182"/>
      <c r="I71" s="1190"/>
      <c r="J71" s="1182"/>
      <c r="K71" s="1183">
        <v>14265.08</v>
      </c>
      <c r="L71" s="1184" t="e">
        <f>'통장내역(환율표)'!#REF!</f>
        <v>#REF!</v>
      </c>
      <c r="M71" s="1166" t="e">
        <f t="shared" si="15"/>
        <v>#REF!</v>
      </c>
      <c r="N71" s="1185" t="e">
        <f t="shared" si="6"/>
        <v>#REF!</v>
      </c>
      <c r="O71" s="1185" t="e">
        <f t="shared" si="7"/>
        <v>#REF!</v>
      </c>
      <c r="P71" s="1186" t="s">
        <v>1280</v>
      </c>
      <c r="Q71" s="1187"/>
      <c r="R71" s="1194"/>
      <c r="S71" s="883" t="e">
        <f t="shared" si="16"/>
        <v>#REF!</v>
      </c>
      <c r="T71" s="461"/>
      <c r="U71" s="574"/>
      <c r="V71" s="461"/>
      <c r="W71" s="461"/>
      <c r="X71" s="461"/>
      <c r="Y71" s="461"/>
      <c r="Z71" s="461"/>
      <c r="AA71" s="461"/>
      <c r="AB71" s="461"/>
      <c r="AC71" s="461"/>
    </row>
    <row r="72" spans="1:29" s="489" customFormat="1" ht="11.25" customHeight="1">
      <c r="A72" s="544"/>
      <c r="B72" s="1180">
        <v>45797</v>
      </c>
      <c r="C72" s="1157" t="s">
        <v>1403</v>
      </c>
      <c r="D72" s="1194" t="s">
        <v>1454</v>
      </c>
      <c r="E72" s="1181">
        <v>44</v>
      </c>
      <c r="F72" s="1188" t="s">
        <v>146</v>
      </c>
      <c r="G72" s="1189" t="s">
        <v>147</v>
      </c>
      <c r="H72" s="1182"/>
      <c r="I72" s="1190"/>
      <c r="J72" s="1182"/>
      <c r="K72" s="1183">
        <v>11800.94</v>
      </c>
      <c r="L72" s="1184" t="e">
        <f>'통장내역(환율표)'!#REF!</f>
        <v>#REF!</v>
      </c>
      <c r="M72" s="1166" t="e">
        <f t="shared" si="15"/>
        <v>#REF!</v>
      </c>
      <c r="N72" s="1185" t="e">
        <f t="shared" si="6"/>
        <v>#REF!</v>
      </c>
      <c r="O72" s="1185" t="e">
        <f t="shared" si="7"/>
        <v>#REF!</v>
      </c>
      <c r="P72" s="1186" t="s">
        <v>1280</v>
      </c>
      <c r="Q72" s="1187"/>
      <c r="R72" s="1194"/>
      <c r="S72" s="883" t="e">
        <f t="shared" si="16"/>
        <v>#REF!</v>
      </c>
      <c r="T72" s="461"/>
      <c r="U72" s="574"/>
      <c r="V72" s="461"/>
      <c r="W72" s="461"/>
      <c r="X72" s="461"/>
      <c r="Y72" s="461"/>
      <c r="Z72" s="461"/>
      <c r="AA72" s="461"/>
      <c r="AB72" s="461"/>
      <c r="AC72" s="461"/>
    </row>
    <row r="73" spans="1:29" s="489" customFormat="1" ht="11.25" customHeight="1">
      <c r="A73" s="544"/>
      <c r="B73" s="1180">
        <v>45797</v>
      </c>
      <c r="C73" s="1157" t="s">
        <v>1404</v>
      </c>
      <c r="D73" s="1194" t="s">
        <v>1454</v>
      </c>
      <c r="E73" s="1181">
        <v>45</v>
      </c>
      <c r="F73" s="1188" t="s">
        <v>146</v>
      </c>
      <c r="G73" s="1189" t="s">
        <v>147</v>
      </c>
      <c r="H73" s="1182"/>
      <c r="I73" s="1190"/>
      <c r="J73" s="1182"/>
      <c r="K73" s="1183">
        <v>35.74</v>
      </c>
      <c r="L73" s="1184" t="e">
        <f>'통장내역(환율표)'!#REF!</f>
        <v>#REF!</v>
      </c>
      <c r="M73" s="1166" t="e">
        <f t="shared" si="15"/>
        <v>#REF!</v>
      </c>
      <c r="N73" s="1185" t="e">
        <f t="shared" si="6"/>
        <v>#REF!</v>
      </c>
      <c r="O73" s="1185" t="e">
        <f t="shared" si="7"/>
        <v>#REF!</v>
      </c>
      <c r="P73" s="1186" t="s">
        <v>1280</v>
      </c>
      <c r="Q73" s="1187"/>
      <c r="R73" s="1194"/>
      <c r="S73" s="883" t="e">
        <f t="shared" si="16"/>
        <v>#REF!</v>
      </c>
      <c r="T73" s="461"/>
      <c r="U73" s="574"/>
      <c r="V73" s="461"/>
      <c r="W73" s="461"/>
      <c r="X73" s="461"/>
      <c r="Y73" s="461"/>
      <c r="Z73" s="461"/>
      <c r="AA73" s="461"/>
      <c r="AB73" s="461"/>
      <c r="AC73" s="461"/>
    </row>
    <row r="74" spans="1:29" s="489" customFormat="1" ht="11.25" customHeight="1">
      <c r="A74" s="544"/>
      <c r="B74" s="1180">
        <v>45797</v>
      </c>
      <c r="C74" s="1157" t="s">
        <v>19</v>
      </c>
      <c r="D74" s="1194" t="s">
        <v>1454</v>
      </c>
      <c r="E74" s="1181">
        <v>46</v>
      </c>
      <c r="F74" s="1188" t="s">
        <v>116</v>
      </c>
      <c r="G74" s="1189" t="s">
        <v>140</v>
      </c>
      <c r="H74" s="1182"/>
      <c r="I74" s="1190"/>
      <c r="J74" s="1182"/>
      <c r="K74" s="1183">
        <v>300</v>
      </c>
      <c r="L74" s="1184" t="e">
        <f>'통장내역(환율표)'!#REF!</f>
        <v>#REF!</v>
      </c>
      <c r="M74" s="1166" t="e">
        <f t="shared" si="15"/>
        <v>#REF!</v>
      </c>
      <c r="N74" s="1185" t="e">
        <f t="shared" si="6"/>
        <v>#REF!</v>
      </c>
      <c r="O74" s="1185" t="e">
        <f t="shared" si="7"/>
        <v>#REF!</v>
      </c>
      <c r="P74" s="1186" t="s">
        <v>1280</v>
      </c>
      <c r="Q74" s="1187"/>
      <c r="R74" s="1194"/>
      <c r="S74" s="883" t="e">
        <f t="shared" si="16"/>
        <v>#REF!</v>
      </c>
      <c r="T74" s="461"/>
      <c r="U74" s="574"/>
      <c r="V74" s="461"/>
      <c r="W74" s="461"/>
      <c r="X74" s="461"/>
      <c r="Y74" s="461"/>
      <c r="Z74" s="461"/>
      <c r="AA74" s="461"/>
      <c r="AB74" s="461"/>
      <c r="AC74" s="461"/>
    </row>
    <row r="75" spans="1:29" s="489" customFormat="1" ht="11.25" customHeight="1">
      <c r="A75" s="544"/>
      <c r="B75" s="1180">
        <v>45797</v>
      </c>
      <c r="C75" s="1191" t="s">
        <v>250</v>
      </c>
      <c r="D75" s="1194" t="s">
        <v>1454</v>
      </c>
      <c r="E75" s="1181">
        <v>47</v>
      </c>
      <c r="F75" s="1188" t="s">
        <v>107</v>
      </c>
      <c r="G75" s="1189"/>
      <c r="H75" s="1182"/>
      <c r="I75" s="1190"/>
      <c r="J75" s="1182"/>
      <c r="K75" s="1183">
        <v>7.2</v>
      </c>
      <c r="L75" s="1184" t="e">
        <f>'통장내역(환율표)'!#REF!</f>
        <v>#REF!</v>
      </c>
      <c r="M75" s="1166" t="e">
        <f t="shared" si="15"/>
        <v>#REF!</v>
      </c>
      <c r="N75" s="1185" t="e">
        <f t="shared" si="6"/>
        <v>#REF!</v>
      </c>
      <c r="O75" s="1185" t="e">
        <f t="shared" si="7"/>
        <v>#REF!</v>
      </c>
      <c r="P75" s="1186" t="s">
        <v>1280</v>
      </c>
      <c r="Q75" s="1187"/>
      <c r="R75" s="1194"/>
      <c r="S75" s="883" t="e">
        <f t="shared" si="16"/>
        <v>#REF!</v>
      </c>
      <c r="T75" s="461"/>
      <c r="U75" s="574"/>
      <c r="V75" s="461"/>
      <c r="W75" s="461"/>
      <c r="X75" s="461"/>
      <c r="Y75" s="461"/>
      <c r="Z75" s="461"/>
      <c r="AA75" s="461"/>
      <c r="AB75" s="461"/>
      <c r="AC75" s="461"/>
    </row>
    <row r="76" spans="1:29" s="489" customFormat="1" ht="11.25" customHeight="1">
      <c r="A76" s="544"/>
      <c r="B76" s="1180">
        <v>45797</v>
      </c>
      <c r="C76" s="1157" t="s">
        <v>1453</v>
      </c>
      <c r="D76" s="1181"/>
      <c r="E76" s="1197">
        <v>48</v>
      </c>
      <c r="F76" s="1188" t="s">
        <v>107</v>
      </c>
      <c r="G76" s="1189"/>
      <c r="H76" s="1182"/>
      <c r="I76" s="1190"/>
      <c r="J76" s="1182"/>
      <c r="K76" s="1198">
        <v>9010</v>
      </c>
      <c r="L76" s="1184" t="e">
        <f>'통장내역(환율표)'!#REF!</f>
        <v>#REF!</v>
      </c>
      <c r="M76" s="1166" t="e">
        <f t="shared" si="15"/>
        <v>#REF!</v>
      </c>
      <c r="N76" s="1185" t="e">
        <f t="shared" si="6"/>
        <v>#REF!</v>
      </c>
      <c r="O76" s="1185" t="e">
        <f t="shared" si="7"/>
        <v>#REF!</v>
      </c>
      <c r="P76" s="1186" t="s">
        <v>1280</v>
      </c>
      <c r="Q76" s="1187"/>
      <c r="R76" s="1157" t="s">
        <v>1455</v>
      </c>
      <c r="S76" s="883" t="e">
        <f t="shared" si="16"/>
        <v>#REF!</v>
      </c>
      <c r="T76" s="461"/>
      <c r="U76" s="574"/>
      <c r="V76" s="461"/>
      <c r="W76" s="461"/>
      <c r="X76" s="461"/>
      <c r="Y76" s="461"/>
      <c r="Z76" s="461"/>
      <c r="AA76" s="461"/>
      <c r="AB76" s="461"/>
      <c r="AC76" s="461"/>
    </row>
    <row r="77" spans="1:29" s="489" customFormat="1" ht="11.25" customHeight="1">
      <c r="A77" s="544"/>
      <c r="B77" s="1180">
        <v>45797</v>
      </c>
      <c r="C77" s="1191" t="s">
        <v>250</v>
      </c>
      <c r="D77" s="1181"/>
      <c r="E77" s="1197">
        <v>49</v>
      </c>
      <c r="F77" s="1188" t="s">
        <v>107</v>
      </c>
      <c r="G77" s="1189"/>
      <c r="H77" s="1182"/>
      <c r="I77" s="1190"/>
      <c r="J77" s="1182"/>
      <c r="K77" s="1198">
        <v>3.6</v>
      </c>
      <c r="L77" s="1184" t="e">
        <f>'통장내역(환율표)'!#REF!</f>
        <v>#REF!</v>
      </c>
      <c r="M77" s="1166" t="e">
        <f t="shared" si="15"/>
        <v>#REF!</v>
      </c>
      <c r="N77" s="1185" t="e">
        <f t="shared" si="6"/>
        <v>#REF!</v>
      </c>
      <c r="O77" s="1185" t="e">
        <f t="shared" si="7"/>
        <v>#REF!</v>
      </c>
      <c r="P77" s="1186" t="s">
        <v>1280</v>
      </c>
      <c r="Q77" s="1187"/>
      <c r="R77" s="1157"/>
      <c r="S77" s="883" t="e">
        <f t="shared" si="16"/>
        <v>#REF!</v>
      </c>
      <c r="T77" s="461"/>
      <c r="U77" s="574"/>
      <c r="V77" s="461"/>
      <c r="W77" s="461"/>
      <c r="X77" s="461"/>
      <c r="Y77" s="461"/>
      <c r="Z77" s="461"/>
      <c r="AA77" s="461"/>
      <c r="AB77" s="461"/>
      <c r="AC77" s="461"/>
    </row>
    <row r="78" spans="1:29" s="489" customFormat="1" ht="11.25" customHeight="1">
      <c r="A78" s="544"/>
      <c r="B78" s="1180">
        <v>45800</v>
      </c>
      <c r="C78" s="1157" t="s">
        <v>1448</v>
      </c>
      <c r="D78" s="1181"/>
      <c r="E78" s="1197">
        <v>50</v>
      </c>
      <c r="F78" s="1188" t="s">
        <v>107</v>
      </c>
      <c r="G78" s="1189"/>
      <c r="H78" s="1182"/>
      <c r="I78" s="1190"/>
      <c r="J78" s="1182"/>
      <c r="K78" s="1198">
        <v>80</v>
      </c>
      <c r="L78" s="1184" t="e">
        <f>'통장내역(환율표)'!#REF!</f>
        <v>#REF!</v>
      </c>
      <c r="M78" s="1166" t="e">
        <f t="shared" si="15"/>
        <v>#REF!</v>
      </c>
      <c r="N78" s="1185" t="e">
        <f t="shared" si="6"/>
        <v>#REF!</v>
      </c>
      <c r="O78" s="1185" t="e">
        <f t="shared" si="7"/>
        <v>#REF!</v>
      </c>
      <c r="P78" s="1186" t="s">
        <v>1280</v>
      </c>
      <c r="Q78" s="1187"/>
      <c r="R78" s="1157" t="s">
        <v>1456</v>
      </c>
      <c r="S78" s="883" t="e">
        <f t="shared" si="16"/>
        <v>#REF!</v>
      </c>
      <c r="T78" s="461"/>
      <c r="U78" s="574"/>
      <c r="V78" s="461"/>
      <c r="W78" s="461"/>
      <c r="X78" s="461"/>
      <c r="Y78" s="461"/>
      <c r="Z78" s="461"/>
      <c r="AA78" s="461"/>
      <c r="AB78" s="461"/>
      <c r="AC78" s="461"/>
    </row>
    <row r="79" spans="1:29" s="489" customFormat="1" ht="11.25" customHeight="1">
      <c r="A79" s="544"/>
      <c r="B79" s="1180">
        <v>45800</v>
      </c>
      <c r="C79" s="1157" t="s">
        <v>885</v>
      </c>
      <c r="D79" s="1181"/>
      <c r="E79" s="1181">
        <v>51</v>
      </c>
      <c r="F79" s="1188" t="s">
        <v>107</v>
      </c>
      <c r="G79" s="1189"/>
      <c r="H79" s="1182"/>
      <c r="I79" s="1190"/>
      <c r="J79" s="1182"/>
      <c r="K79" s="1199">
        <v>16000</v>
      </c>
      <c r="L79" s="1184" t="e">
        <f>'통장내역(환율표)'!#REF!</f>
        <v>#REF!</v>
      </c>
      <c r="M79" s="1166" t="e">
        <f t="shared" si="15"/>
        <v>#REF!</v>
      </c>
      <c r="N79" s="1185" t="e">
        <f t="shared" si="6"/>
        <v>#REF!</v>
      </c>
      <c r="O79" s="1185" t="e">
        <f t="shared" si="7"/>
        <v>#REF!</v>
      </c>
      <c r="P79" s="1186" t="s">
        <v>1280</v>
      </c>
      <c r="Q79" s="1187"/>
      <c r="R79" s="2088" t="s">
        <v>1457</v>
      </c>
      <c r="S79" s="883" t="e">
        <f t="shared" si="16"/>
        <v>#REF!</v>
      </c>
      <c r="T79" s="461"/>
      <c r="U79" s="574"/>
      <c r="V79" s="461"/>
      <c r="W79" s="461"/>
      <c r="X79" s="461"/>
      <c r="Y79" s="461"/>
      <c r="Z79" s="461"/>
      <c r="AA79" s="461"/>
      <c r="AB79" s="461"/>
      <c r="AC79" s="461"/>
    </row>
    <row r="80" spans="1:29" s="489" customFormat="1" ht="11.25" customHeight="1">
      <c r="A80" s="544"/>
      <c r="B80" s="1180">
        <v>45800</v>
      </c>
      <c r="C80" s="1157" t="s">
        <v>938</v>
      </c>
      <c r="D80" s="1181"/>
      <c r="E80" s="1181">
        <v>51</v>
      </c>
      <c r="F80" s="1188" t="s">
        <v>107</v>
      </c>
      <c r="G80" s="1189"/>
      <c r="H80" s="1182"/>
      <c r="I80" s="1190"/>
      <c r="J80" s="1182"/>
      <c r="K80" s="1199">
        <v>24000</v>
      </c>
      <c r="L80" s="1184" t="e">
        <f>'통장내역(환율표)'!#REF!</f>
        <v>#REF!</v>
      </c>
      <c r="M80" s="1166" t="e">
        <f t="shared" si="15"/>
        <v>#REF!</v>
      </c>
      <c r="N80" s="1185" t="e">
        <f t="shared" si="6"/>
        <v>#REF!</v>
      </c>
      <c r="O80" s="1185" t="e">
        <f t="shared" si="7"/>
        <v>#REF!</v>
      </c>
      <c r="P80" s="1186" t="s">
        <v>1280</v>
      </c>
      <c r="Q80" s="1187"/>
      <c r="R80" s="2089"/>
      <c r="S80" s="883" t="e">
        <f t="shared" si="16"/>
        <v>#REF!</v>
      </c>
      <c r="T80" s="461"/>
      <c r="U80" s="574"/>
      <c r="V80" s="461"/>
      <c r="W80" s="461"/>
      <c r="X80" s="461"/>
      <c r="Y80" s="461"/>
      <c r="Z80" s="461"/>
      <c r="AA80" s="461"/>
      <c r="AB80" s="461"/>
      <c r="AC80" s="461"/>
    </row>
    <row r="81" spans="1:29" s="489" customFormat="1" ht="11.25" customHeight="1">
      <c r="A81" s="544"/>
      <c r="B81" s="1180">
        <v>45800</v>
      </c>
      <c r="C81" s="1157" t="s">
        <v>887</v>
      </c>
      <c r="D81" s="1181"/>
      <c r="E81" s="1181">
        <v>51</v>
      </c>
      <c r="F81" s="1188" t="s">
        <v>107</v>
      </c>
      <c r="G81" s="1189"/>
      <c r="H81" s="1182"/>
      <c r="I81" s="1190"/>
      <c r="J81" s="1182"/>
      <c r="K81" s="1199">
        <v>9305.1899999999987</v>
      </c>
      <c r="L81" s="1184" t="e">
        <f>'통장내역(환율표)'!#REF!</f>
        <v>#REF!</v>
      </c>
      <c r="M81" s="1166" t="e">
        <f t="shared" si="15"/>
        <v>#REF!</v>
      </c>
      <c r="N81" s="1185" t="e">
        <f t="shared" si="6"/>
        <v>#REF!</v>
      </c>
      <c r="O81" s="1185" t="e">
        <f t="shared" si="7"/>
        <v>#REF!</v>
      </c>
      <c r="P81" s="1186" t="s">
        <v>1280</v>
      </c>
      <c r="Q81" s="1187"/>
      <c r="R81" s="2089"/>
      <c r="S81" s="883" t="e">
        <f t="shared" si="16"/>
        <v>#REF!</v>
      </c>
      <c r="T81" s="461"/>
      <c r="U81" s="574"/>
      <c r="V81" s="461"/>
      <c r="W81" s="461"/>
      <c r="X81" s="461"/>
      <c r="Y81" s="461"/>
      <c r="Z81" s="461"/>
      <c r="AA81" s="461"/>
      <c r="AB81" s="461"/>
      <c r="AC81" s="461"/>
    </row>
    <row r="82" spans="1:29" s="489" customFormat="1" ht="11.25" customHeight="1">
      <c r="A82" s="544"/>
      <c r="B82" s="1180">
        <v>45800</v>
      </c>
      <c r="C82" s="1157" t="s">
        <v>888</v>
      </c>
      <c r="D82" s="1181"/>
      <c r="E82" s="1181">
        <v>51</v>
      </c>
      <c r="F82" s="1188" t="s">
        <v>107</v>
      </c>
      <c r="G82" s="1189"/>
      <c r="H82" s="1182"/>
      <c r="I82" s="1190"/>
      <c r="J82" s="1182"/>
      <c r="K82" s="1199">
        <v>4468.7999999999993</v>
      </c>
      <c r="L82" s="1184" t="e">
        <f>'통장내역(환율표)'!#REF!</f>
        <v>#REF!</v>
      </c>
      <c r="M82" s="1166" t="e">
        <f t="shared" si="15"/>
        <v>#REF!</v>
      </c>
      <c r="N82" s="1185" t="e">
        <f t="shared" si="6"/>
        <v>#REF!</v>
      </c>
      <c r="O82" s="1185" t="e">
        <f t="shared" si="7"/>
        <v>#REF!</v>
      </c>
      <c r="P82" s="1186" t="s">
        <v>1280</v>
      </c>
      <c r="Q82" s="1187"/>
      <c r="R82" s="2089"/>
      <c r="S82" s="883" t="e">
        <f t="shared" si="16"/>
        <v>#REF!</v>
      </c>
      <c r="T82" s="461"/>
      <c r="U82" s="574"/>
      <c r="V82" s="461"/>
      <c r="W82" s="461"/>
      <c r="X82" s="461"/>
      <c r="Y82" s="461"/>
      <c r="Z82" s="461"/>
      <c r="AA82" s="461"/>
      <c r="AB82" s="461"/>
      <c r="AC82" s="461"/>
    </row>
    <row r="83" spans="1:29" s="489" customFormat="1" ht="11.25" customHeight="1">
      <c r="A83" s="544"/>
      <c r="B83" s="1180">
        <v>45800</v>
      </c>
      <c r="C83" s="1157" t="s">
        <v>892</v>
      </c>
      <c r="D83" s="1181"/>
      <c r="E83" s="1181">
        <v>51</v>
      </c>
      <c r="F83" s="1188" t="s">
        <v>107</v>
      </c>
      <c r="G83" s="1189"/>
      <c r="H83" s="1182"/>
      <c r="I83" s="1190"/>
      <c r="J83" s="1182"/>
      <c r="K83" s="1199">
        <v>300</v>
      </c>
      <c r="L83" s="1184" t="e">
        <f>'통장내역(환율표)'!#REF!</f>
        <v>#REF!</v>
      </c>
      <c r="M83" s="1166" t="e">
        <f t="shared" si="15"/>
        <v>#REF!</v>
      </c>
      <c r="N83" s="1185" t="e">
        <f t="shared" si="6"/>
        <v>#REF!</v>
      </c>
      <c r="O83" s="1185" t="e">
        <f t="shared" si="7"/>
        <v>#REF!</v>
      </c>
      <c r="P83" s="1186" t="s">
        <v>1280</v>
      </c>
      <c r="Q83" s="1187"/>
      <c r="R83" s="2089"/>
      <c r="S83" s="883" t="e">
        <f t="shared" si="16"/>
        <v>#REF!</v>
      </c>
      <c r="T83" s="461"/>
      <c r="U83" s="574"/>
      <c r="V83" s="461"/>
      <c r="W83" s="461"/>
      <c r="X83" s="461"/>
      <c r="Y83" s="461"/>
      <c r="Z83" s="461"/>
      <c r="AA83" s="461"/>
      <c r="AB83" s="461"/>
      <c r="AC83" s="461"/>
    </row>
    <row r="84" spans="1:29" s="489" customFormat="1" ht="11.25" customHeight="1">
      <c r="A84" s="544"/>
      <c r="B84" s="1180">
        <v>45800</v>
      </c>
      <c r="C84" s="1157" t="s">
        <v>885</v>
      </c>
      <c r="D84" s="1181"/>
      <c r="E84" s="1181">
        <v>51</v>
      </c>
      <c r="F84" s="1188" t="s">
        <v>107</v>
      </c>
      <c r="G84" s="1189"/>
      <c r="H84" s="1182"/>
      <c r="I84" s="1190"/>
      <c r="J84" s="1182"/>
      <c r="K84" s="1199">
        <v>16000</v>
      </c>
      <c r="L84" s="1184" t="e">
        <f>'통장내역(환율표)'!#REF!</f>
        <v>#REF!</v>
      </c>
      <c r="M84" s="1166" t="e">
        <f t="shared" si="15"/>
        <v>#REF!</v>
      </c>
      <c r="N84" s="1185" t="e">
        <f t="shared" si="6"/>
        <v>#REF!</v>
      </c>
      <c r="O84" s="1185" t="e">
        <f t="shared" si="7"/>
        <v>#REF!</v>
      </c>
      <c r="P84" s="1186" t="s">
        <v>1280</v>
      </c>
      <c r="Q84" s="1187"/>
      <c r="R84" s="2088" t="s">
        <v>1111</v>
      </c>
      <c r="S84" s="883" t="e">
        <f t="shared" si="16"/>
        <v>#REF!</v>
      </c>
      <c r="T84" s="461"/>
      <c r="U84" s="574"/>
      <c r="V84" s="461"/>
      <c r="W84" s="461"/>
      <c r="X84" s="461"/>
      <c r="Y84" s="461"/>
      <c r="Z84" s="461"/>
      <c r="AA84" s="461"/>
      <c r="AB84" s="461"/>
      <c r="AC84" s="461"/>
    </row>
    <row r="85" spans="1:29" s="489" customFormat="1" ht="11.25" customHeight="1">
      <c r="A85" s="544"/>
      <c r="B85" s="1180">
        <v>45800</v>
      </c>
      <c r="C85" s="1157" t="s">
        <v>938</v>
      </c>
      <c r="D85" s="1181"/>
      <c r="E85" s="1181">
        <v>51</v>
      </c>
      <c r="F85" s="1188" t="s">
        <v>107</v>
      </c>
      <c r="G85" s="1189"/>
      <c r="H85" s="1182"/>
      <c r="I85" s="1190"/>
      <c r="J85" s="1182"/>
      <c r="K85" s="1199">
        <v>24000</v>
      </c>
      <c r="L85" s="1184" t="e">
        <f>'통장내역(환율표)'!#REF!</f>
        <v>#REF!</v>
      </c>
      <c r="M85" s="1166" t="e">
        <f t="shared" si="15"/>
        <v>#REF!</v>
      </c>
      <c r="N85" s="1185" t="e">
        <f t="shared" ref="N85:N110" si="17">N84+H85-K85</f>
        <v>#REF!</v>
      </c>
      <c r="O85" s="1185" t="e">
        <f t="shared" ref="O85:O110" si="18">O84+J85-M85</f>
        <v>#REF!</v>
      </c>
      <c r="P85" s="1186" t="s">
        <v>1280</v>
      </c>
      <c r="Q85" s="1187"/>
      <c r="R85" s="2089"/>
      <c r="S85" s="883" t="e">
        <f t="shared" si="16"/>
        <v>#REF!</v>
      </c>
      <c r="T85" s="461"/>
      <c r="U85" s="574"/>
      <c r="V85" s="461"/>
      <c r="W85" s="461"/>
      <c r="X85" s="461"/>
      <c r="Y85" s="461"/>
      <c r="Z85" s="461"/>
      <c r="AA85" s="461"/>
      <c r="AB85" s="461"/>
      <c r="AC85" s="461"/>
    </row>
    <row r="86" spans="1:29" s="489" customFormat="1" ht="11.25" customHeight="1">
      <c r="A86" s="544"/>
      <c r="B86" s="1180">
        <v>45800</v>
      </c>
      <c r="C86" s="1157" t="s">
        <v>887</v>
      </c>
      <c r="D86" s="1181"/>
      <c r="E86" s="1181">
        <v>51</v>
      </c>
      <c r="F86" s="1188" t="s">
        <v>107</v>
      </c>
      <c r="G86" s="1189"/>
      <c r="H86" s="1182"/>
      <c r="I86" s="1190"/>
      <c r="J86" s="1182"/>
      <c r="K86" s="1153">
        <v>5305.1900000000005</v>
      </c>
      <c r="L86" s="1184" t="e">
        <f>'통장내역(환율표)'!#REF!</f>
        <v>#REF!</v>
      </c>
      <c r="M86" s="1166" t="e">
        <f t="shared" si="15"/>
        <v>#REF!</v>
      </c>
      <c r="N86" s="1185" t="e">
        <f t="shared" si="17"/>
        <v>#REF!</v>
      </c>
      <c r="O86" s="1185" t="e">
        <f t="shared" si="18"/>
        <v>#REF!</v>
      </c>
      <c r="P86" s="1186" t="s">
        <v>1280</v>
      </c>
      <c r="Q86" s="1187"/>
      <c r="R86" s="2089"/>
      <c r="S86" s="883" t="e">
        <f t="shared" si="16"/>
        <v>#REF!</v>
      </c>
      <c r="T86" s="461"/>
      <c r="U86" s="574"/>
      <c r="V86" s="461"/>
      <c r="W86" s="461"/>
      <c r="X86" s="461"/>
      <c r="Y86" s="461"/>
      <c r="Z86" s="461"/>
      <c r="AA86" s="461"/>
      <c r="AB86" s="461"/>
      <c r="AC86" s="461"/>
    </row>
    <row r="87" spans="1:29" s="489" customFormat="1" ht="11.25" customHeight="1">
      <c r="A87" s="544"/>
      <c r="B87" s="1180">
        <v>45800</v>
      </c>
      <c r="C87" s="1157" t="s">
        <v>888</v>
      </c>
      <c r="D87" s="1181"/>
      <c r="E87" s="1181">
        <v>51</v>
      </c>
      <c r="F87" s="1188" t="s">
        <v>107</v>
      </c>
      <c r="G87" s="1189"/>
      <c r="H87" s="1182"/>
      <c r="I87" s="1190"/>
      <c r="J87" s="1182"/>
      <c r="K87" s="1153">
        <v>5620.7999999999993</v>
      </c>
      <c r="L87" s="1184" t="e">
        <f>'통장내역(환율표)'!#REF!</f>
        <v>#REF!</v>
      </c>
      <c r="M87" s="1166" t="e">
        <f t="shared" si="15"/>
        <v>#REF!</v>
      </c>
      <c r="N87" s="1185" t="e">
        <f t="shared" si="17"/>
        <v>#REF!</v>
      </c>
      <c r="O87" s="1185" t="e">
        <f t="shared" si="18"/>
        <v>#REF!</v>
      </c>
      <c r="P87" s="1186" t="s">
        <v>1280</v>
      </c>
      <c r="Q87" s="1187"/>
      <c r="R87" s="2089"/>
      <c r="S87" s="883" t="e">
        <f t="shared" si="16"/>
        <v>#REF!</v>
      </c>
      <c r="T87" s="461"/>
      <c r="U87" s="574"/>
      <c r="V87" s="461"/>
      <c r="W87" s="461"/>
      <c r="X87" s="461"/>
      <c r="Y87" s="461"/>
      <c r="Z87" s="461"/>
      <c r="AA87" s="461"/>
      <c r="AB87" s="461"/>
      <c r="AC87" s="461"/>
    </row>
    <row r="88" spans="1:29" s="489" customFormat="1" ht="11.25" customHeight="1">
      <c r="A88" s="544"/>
      <c r="B88" s="1180">
        <v>45800</v>
      </c>
      <c r="C88" s="1157" t="s">
        <v>892</v>
      </c>
      <c r="D88" s="1181"/>
      <c r="E88" s="1181">
        <v>51</v>
      </c>
      <c r="F88" s="1188" t="s">
        <v>107</v>
      </c>
      <c r="G88" s="1189"/>
      <c r="H88" s="1182"/>
      <c r="I88" s="1190"/>
      <c r="J88" s="1182"/>
      <c r="K88" s="1153">
        <v>300</v>
      </c>
      <c r="L88" s="1184" t="e">
        <f>'통장내역(환율표)'!#REF!</f>
        <v>#REF!</v>
      </c>
      <c r="M88" s="1166" t="e">
        <f t="shared" si="15"/>
        <v>#REF!</v>
      </c>
      <c r="N88" s="1185" t="e">
        <f t="shared" si="17"/>
        <v>#REF!</v>
      </c>
      <c r="O88" s="1185" t="e">
        <f t="shared" si="18"/>
        <v>#REF!</v>
      </c>
      <c r="P88" s="1186" t="s">
        <v>1280</v>
      </c>
      <c r="Q88" s="1187"/>
      <c r="R88" s="2089"/>
      <c r="S88" s="883" t="e">
        <f t="shared" si="16"/>
        <v>#REF!</v>
      </c>
      <c r="T88" s="461"/>
      <c r="U88" s="574"/>
      <c r="V88" s="461"/>
      <c r="W88" s="461"/>
      <c r="X88" s="461"/>
      <c r="Y88" s="461"/>
      <c r="Z88" s="461"/>
      <c r="AA88" s="461"/>
      <c r="AB88" s="461"/>
      <c r="AC88" s="461"/>
    </row>
    <row r="89" spans="1:29" s="489" customFormat="1" ht="11.25" customHeight="1">
      <c r="A89" s="544"/>
      <c r="B89" s="1180">
        <v>45800</v>
      </c>
      <c r="C89" s="1157" t="s">
        <v>891</v>
      </c>
      <c r="D89" s="1181"/>
      <c r="E89" s="1181">
        <v>51</v>
      </c>
      <c r="F89" s="1188" t="s">
        <v>107</v>
      </c>
      <c r="G89" s="1189"/>
      <c r="H89" s="1182"/>
      <c r="I89" s="1190"/>
      <c r="J89" s="1182"/>
      <c r="K89" s="1154">
        <v>25750</v>
      </c>
      <c r="L89" s="1184" t="e">
        <f>'통장내역(환율표)'!#REF!</f>
        <v>#REF!</v>
      </c>
      <c r="M89" s="1166" t="e">
        <f t="shared" si="15"/>
        <v>#REF!</v>
      </c>
      <c r="N89" s="1185" t="e">
        <f t="shared" si="17"/>
        <v>#REF!</v>
      </c>
      <c r="O89" s="1185" t="e">
        <f t="shared" si="18"/>
        <v>#REF!</v>
      </c>
      <c r="P89" s="1186" t="s">
        <v>1280</v>
      </c>
      <c r="Q89" s="1187"/>
      <c r="R89" s="2088" t="s">
        <v>1439</v>
      </c>
      <c r="S89" s="883" t="e">
        <f t="shared" si="16"/>
        <v>#REF!</v>
      </c>
      <c r="T89" s="461"/>
      <c r="U89" s="574"/>
      <c r="V89" s="461"/>
      <c r="W89" s="461"/>
      <c r="X89" s="461"/>
      <c r="Y89" s="461"/>
      <c r="Z89" s="461"/>
      <c r="AA89" s="461"/>
      <c r="AB89" s="461"/>
      <c r="AC89" s="461"/>
    </row>
    <row r="90" spans="1:29" ht="11.25" customHeight="1">
      <c r="B90" s="1180">
        <v>45800</v>
      </c>
      <c r="C90" s="1157" t="s">
        <v>1109</v>
      </c>
      <c r="D90" s="1181"/>
      <c r="E90" s="1181">
        <v>51</v>
      </c>
      <c r="F90" s="1188" t="s">
        <v>107</v>
      </c>
      <c r="G90" s="1189"/>
      <c r="H90" s="1182"/>
      <c r="I90" s="1190"/>
      <c r="J90" s="1182"/>
      <c r="K90" s="1154">
        <v>1000</v>
      </c>
      <c r="L90" s="1184" t="e">
        <f>'통장내역(환율표)'!#REF!</f>
        <v>#REF!</v>
      </c>
      <c r="M90" s="1166" t="e">
        <f t="shared" si="15"/>
        <v>#REF!</v>
      </c>
      <c r="N90" s="1185" t="e">
        <f t="shared" si="17"/>
        <v>#REF!</v>
      </c>
      <c r="O90" s="1185" t="e">
        <f t="shared" si="18"/>
        <v>#REF!</v>
      </c>
      <c r="P90" s="1186" t="s">
        <v>1280</v>
      </c>
      <c r="Q90" s="1187"/>
      <c r="R90" s="2088"/>
      <c r="S90" s="883" t="e">
        <f t="shared" si="16"/>
        <v>#REF!</v>
      </c>
    </row>
    <row r="91" spans="1:29" ht="11.25" customHeight="1">
      <c r="B91" s="1180">
        <v>45800</v>
      </c>
      <c r="C91" s="1157" t="s">
        <v>939</v>
      </c>
      <c r="D91" s="1181"/>
      <c r="E91" s="1181">
        <v>51</v>
      </c>
      <c r="F91" s="1188" t="s">
        <v>107</v>
      </c>
      <c r="G91" s="1189"/>
      <c r="H91" s="1182"/>
      <c r="I91" s="1190"/>
      <c r="J91" s="1182"/>
      <c r="K91" s="1153">
        <v>7431.44</v>
      </c>
      <c r="L91" s="1184" t="e">
        <f>'통장내역(환율표)'!#REF!</f>
        <v>#REF!</v>
      </c>
      <c r="M91" s="1166" t="e">
        <f t="shared" si="15"/>
        <v>#REF!</v>
      </c>
      <c r="N91" s="1185" t="e">
        <f t="shared" si="17"/>
        <v>#REF!</v>
      </c>
      <c r="O91" s="1185" t="e">
        <f t="shared" si="18"/>
        <v>#REF!</v>
      </c>
      <c r="P91" s="1186" t="s">
        <v>1280</v>
      </c>
      <c r="Q91" s="1187"/>
      <c r="R91" s="2089"/>
      <c r="S91" s="883" t="e">
        <f t="shared" si="16"/>
        <v>#REF!</v>
      </c>
    </row>
    <row r="92" spans="1:29" ht="11.25" customHeight="1">
      <c r="B92" s="1180">
        <v>45800</v>
      </c>
      <c r="C92" s="1157" t="s">
        <v>892</v>
      </c>
      <c r="D92" s="1181"/>
      <c r="E92" s="1181">
        <v>51</v>
      </c>
      <c r="F92" s="1188" t="s">
        <v>107</v>
      </c>
      <c r="G92" s="1189"/>
      <c r="H92" s="1182"/>
      <c r="I92" s="1190"/>
      <c r="J92" s="1182"/>
      <c r="K92" s="1153">
        <v>300</v>
      </c>
      <c r="L92" s="1184" t="e">
        <f>'통장내역(환율표)'!#REF!</f>
        <v>#REF!</v>
      </c>
      <c r="M92" s="1166" t="e">
        <f t="shared" si="15"/>
        <v>#REF!</v>
      </c>
      <c r="N92" s="1185" t="e">
        <f t="shared" si="17"/>
        <v>#REF!</v>
      </c>
      <c r="O92" s="1185" t="e">
        <f t="shared" si="18"/>
        <v>#REF!</v>
      </c>
      <c r="P92" s="1186" t="s">
        <v>1280</v>
      </c>
      <c r="Q92" s="1187"/>
      <c r="R92" s="2089"/>
      <c r="S92" s="883" t="e">
        <f t="shared" si="16"/>
        <v>#REF!</v>
      </c>
    </row>
    <row r="93" spans="1:29" ht="11.25" customHeight="1">
      <c r="B93" s="1180">
        <v>45800</v>
      </c>
      <c r="C93" s="1157" t="s">
        <v>983</v>
      </c>
      <c r="D93" s="1181"/>
      <c r="E93" s="1181">
        <v>51</v>
      </c>
      <c r="F93" s="1188" t="s">
        <v>107</v>
      </c>
      <c r="G93" s="1189"/>
      <c r="H93" s="1182"/>
      <c r="I93" s="1190"/>
      <c r="J93" s="1182"/>
      <c r="K93" s="1154">
        <v>200</v>
      </c>
      <c r="L93" s="1184" t="e">
        <f>'통장내역(환율표)'!#REF!</f>
        <v>#REF!</v>
      </c>
      <c r="M93" s="1166" t="e">
        <f t="shared" si="15"/>
        <v>#REF!</v>
      </c>
      <c r="N93" s="1185" t="e">
        <f t="shared" si="17"/>
        <v>#REF!</v>
      </c>
      <c r="O93" s="1185" t="e">
        <f t="shared" si="18"/>
        <v>#REF!</v>
      </c>
      <c r="P93" s="1186" t="s">
        <v>1280</v>
      </c>
      <c r="Q93" s="1187"/>
      <c r="R93" s="2089"/>
      <c r="S93" s="883" t="e">
        <f t="shared" si="16"/>
        <v>#REF!</v>
      </c>
    </row>
    <row r="94" spans="1:29" ht="11.25" customHeight="1">
      <c r="B94" s="1180">
        <v>45800</v>
      </c>
      <c r="C94" s="1157" t="s">
        <v>891</v>
      </c>
      <c r="D94" s="1181"/>
      <c r="E94" s="1181">
        <v>51</v>
      </c>
      <c r="F94" s="1188" t="s">
        <v>107</v>
      </c>
      <c r="G94" s="1189"/>
      <c r="H94" s="1182"/>
      <c r="I94" s="1190"/>
      <c r="J94" s="1182"/>
      <c r="K94" s="1154">
        <v>13390</v>
      </c>
      <c r="L94" s="1184" t="e">
        <f>'통장내역(환율표)'!#REF!</f>
        <v>#REF!</v>
      </c>
      <c r="M94" s="1166" t="e">
        <f t="shared" si="15"/>
        <v>#REF!</v>
      </c>
      <c r="N94" s="1185" t="e">
        <f t="shared" si="17"/>
        <v>#REF!</v>
      </c>
      <c r="O94" s="1185" t="e">
        <f t="shared" si="18"/>
        <v>#REF!</v>
      </c>
      <c r="P94" s="1186" t="s">
        <v>1280</v>
      </c>
      <c r="Q94" s="1187"/>
      <c r="R94" s="2090" t="s">
        <v>1440</v>
      </c>
      <c r="S94" s="883" t="e">
        <f t="shared" si="16"/>
        <v>#REF!</v>
      </c>
    </row>
    <row r="95" spans="1:29" ht="11.25" customHeight="1">
      <c r="B95" s="1180">
        <v>45800</v>
      </c>
      <c r="C95" s="1157" t="s">
        <v>1109</v>
      </c>
      <c r="D95" s="1181"/>
      <c r="E95" s="1181">
        <v>51</v>
      </c>
      <c r="F95" s="1188" t="s">
        <v>107</v>
      </c>
      <c r="G95" s="1189"/>
      <c r="H95" s="1182"/>
      <c r="I95" s="1190"/>
      <c r="J95" s="1182"/>
      <c r="K95" s="1154">
        <v>1000</v>
      </c>
      <c r="L95" s="1184" t="e">
        <f>'통장내역(환율표)'!#REF!</f>
        <v>#REF!</v>
      </c>
      <c r="M95" s="1166" t="e">
        <f t="shared" si="15"/>
        <v>#REF!</v>
      </c>
      <c r="N95" s="1185" t="e">
        <f t="shared" si="17"/>
        <v>#REF!</v>
      </c>
      <c r="O95" s="1185" t="e">
        <f t="shared" si="18"/>
        <v>#REF!</v>
      </c>
      <c r="P95" s="1186" t="s">
        <v>1280</v>
      </c>
      <c r="Q95" s="1187"/>
      <c r="R95" s="2088"/>
      <c r="S95" s="883" t="e">
        <f t="shared" si="16"/>
        <v>#REF!</v>
      </c>
    </row>
    <row r="96" spans="1:29" ht="11.25" customHeight="1">
      <c r="B96" s="1180">
        <v>45800</v>
      </c>
      <c r="C96" s="1157" t="s">
        <v>939</v>
      </c>
      <c r="D96" s="1181"/>
      <c r="E96" s="1181">
        <v>51</v>
      </c>
      <c r="F96" s="1188" t="s">
        <v>107</v>
      </c>
      <c r="G96" s="1189"/>
      <c r="H96" s="1182"/>
      <c r="I96" s="1190"/>
      <c r="J96" s="1182"/>
      <c r="K96" s="1155">
        <v>3281.57</v>
      </c>
      <c r="L96" s="1184" t="e">
        <f>'통장내역(환율표)'!#REF!</f>
        <v>#REF!</v>
      </c>
      <c r="M96" s="1166" t="e">
        <f t="shared" si="15"/>
        <v>#REF!</v>
      </c>
      <c r="N96" s="1185" t="e">
        <f t="shared" si="17"/>
        <v>#REF!</v>
      </c>
      <c r="O96" s="1185" t="e">
        <f t="shared" si="18"/>
        <v>#REF!</v>
      </c>
      <c r="P96" s="1186" t="s">
        <v>1280</v>
      </c>
      <c r="Q96" s="1187"/>
      <c r="R96" s="2089"/>
      <c r="S96" s="883" t="e">
        <f t="shared" si="16"/>
        <v>#REF!</v>
      </c>
    </row>
    <row r="97" spans="1:29" ht="11.25" customHeight="1">
      <c r="B97" s="1180">
        <v>45800</v>
      </c>
      <c r="C97" s="1157" t="s">
        <v>892</v>
      </c>
      <c r="D97" s="1181"/>
      <c r="E97" s="1181">
        <v>51</v>
      </c>
      <c r="F97" s="1188" t="s">
        <v>107</v>
      </c>
      <c r="G97" s="1189"/>
      <c r="H97" s="1182"/>
      <c r="I97" s="1190"/>
      <c r="J97" s="1182"/>
      <c r="K97" s="1155">
        <v>300</v>
      </c>
      <c r="L97" s="1184" t="e">
        <f>'통장내역(환율표)'!#REF!</f>
        <v>#REF!</v>
      </c>
      <c r="M97" s="1166" t="e">
        <f t="shared" si="15"/>
        <v>#REF!</v>
      </c>
      <c r="N97" s="1185" t="e">
        <f t="shared" si="17"/>
        <v>#REF!</v>
      </c>
      <c r="O97" s="1185" t="e">
        <f t="shared" si="18"/>
        <v>#REF!</v>
      </c>
      <c r="P97" s="1186" t="s">
        <v>1280</v>
      </c>
      <c r="Q97" s="1187"/>
      <c r="R97" s="2089"/>
      <c r="S97" s="883" t="e">
        <f t="shared" si="16"/>
        <v>#REF!</v>
      </c>
    </row>
    <row r="98" spans="1:29" ht="11.25" customHeight="1">
      <c r="B98" s="1180">
        <v>45800</v>
      </c>
      <c r="C98" s="1157" t="s">
        <v>983</v>
      </c>
      <c r="D98" s="1181"/>
      <c r="E98" s="1181">
        <v>51</v>
      </c>
      <c r="F98" s="1188" t="s">
        <v>107</v>
      </c>
      <c r="G98" s="1189"/>
      <c r="H98" s="1182"/>
      <c r="I98" s="1190"/>
      <c r="J98" s="1182"/>
      <c r="K98" s="1154">
        <v>1100</v>
      </c>
      <c r="L98" s="1184" t="e">
        <f>'통장내역(환율표)'!#REF!</f>
        <v>#REF!</v>
      </c>
      <c r="M98" s="1166" t="e">
        <f t="shared" si="15"/>
        <v>#REF!</v>
      </c>
      <c r="N98" s="1185" t="e">
        <f t="shared" si="17"/>
        <v>#REF!</v>
      </c>
      <c r="O98" s="1185" t="e">
        <f t="shared" si="18"/>
        <v>#REF!</v>
      </c>
      <c r="P98" s="1186" t="s">
        <v>1280</v>
      </c>
      <c r="Q98" s="1187"/>
      <c r="R98" s="2089"/>
      <c r="S98" s="883" t="e">
        <f t="shared" si="16"/>
        <v>#REF!</v>
      </c>
    </row>
    <row r="99" spans="1:29" ht="11.25" customHeight="1">
      <c r="B99" s="1180">
        <v>45800</v>
      </c>
      <c r="C99" s="1157" t="s">
        <v>891</v>
      </c>
      <c r="D99" s="1181"/>
      <c r="E99" s="1181">
        <v>51</v>
      </c>
      <c r="F99" s="1188" t="s">
        <v>107</v>
      </c>
      <c r="G99" s="1189"/>
      <c r="H99" s="1182"/>
      <c r="I99" s="1190"/>
      <c r="J99" s="1182"/>
      <c r="K99" s="1154">
        <v>25750</v>
      </c>
      <c r="L99" s="1184" t="e">
        <f>'통장내역(환율표)'!#REF!</f>
        <v>#REF!</v>
      </c>
      <c r="M99" s="1166" t="e">
        <f t="shared" si="15"/>
        <v>#REF!</v>
      </c>
      <c r="N99" s="1185" t="e">
        <f t="shared" si="17"/>
        <v>#REF!</v>
      </c>
      <c r="O99" s="1185" t="e">
        <f t="shared" si="18"/>
        <v>#REF!</v>
      </c>
      <c r="P99" s="1186" t="s">
        <v>1280</v>
      </c>
      <c r="Q99" s="1187"/>
      <c r="R99" s="2088" t="s">
        <v>1441</v>
      </c>
      <c r="S99" s="883" t="e">
        <f t="shared" si="16"/>
        <v>#REF!</v>
      </c>
    </row>
    <row r="100" spans="1:29" ht="11.25" customHeight="1">
      <c r="B100" s="1180">
        <v>45800</v>
      </c>
      <c r="C100" s="1157" t="s">
        <v>1109</v>
      </c>
      <c r="D100" s="1181"/>
      <c r="E100" s="1181">
        <v>51</v>
      </c>
      <c r="F100" s="1188" t="s">
        <v>107</v>
      </c>
      <c r="G100" s="1189"/>
      <c r="H100" s="1182"/>
      <c r="I100" s="1190"/>
      <c r="J100" s="1182"/>
      <c r="K100" s="1154">
        <v>1000</v>
      </c>
      <c r="L100" s="1184" t="e">
        <f>'통장내역(환율표)'!#REF!</f>
        <v>#REF!</v>
      </c>
      <c r="M100" s="1166" t="e">
        <f t="shared" si="15"/>
        <v>#REF!</v>
      </c>
      <c r="N100" s="1185" t="e">
        <f t="shared" si="17"/>
        <v>#REF!</v>
      </c>
      <c r="O100" s="1185" t="e">
        <f t="shared" si="18"/>
        <v>#REF!</v>
      </c>
      <c r="P100" s="1186" t="s">
        <v>1280</v>
      </c>
      <c r="Q100" s="1187"/>
      <c r="R100" s="2088"/>
      <c r="S100" s="883" t="e">
        <f t="shared" si="16"/>
        <v>#REF!</v>
      </c>
    </row>
    <row r="101" spans="1:29" ht="11.25" customHeight="1">
      <c r="B101" s="1180">
        <v>45800</v>
      </c>
      <c r="C101" s="1157" t="s">
        <v>939</v>
      </c>
      <c r="D101" s="1181"/>
      <c r="E101" s="1181">
        <v>51</v>
      </c>
      <c r="F101" s="1188" t="s">
        <v>107</v>
      </c>
      <c r="G101" s="1189"/>
      <c r="H101" s="1182"/>
      <c r="I101" s="1190"/>
      <c r="J101" s="1182"/>
      <c r="K101" s="1155">
        <v>7431.44</v>
      </c>
      <c r="L101" s="1184" t="e">
        <f>'통장내역(환율표)'!#REF!</f>
        <v>#REF!</v>
      </c>
      <c r="M101" s="1166" t="e">
        <f t="shared" si="15"/>
        <v>#REF!</v>
      </c>
      <c r="N101" s="1185" t="e">
        <f t="shared" si="17"/>
        <v>#REF!</v>
      </c>
      <c r="O101" s="1185" t="e">
        <f t="shared" si="18"/>
        <v>#REF!</v>
      </c>
      <c r="P101" s="1186" t="s">
        <v>1280</v>
      </c>
      <c r="Q101" s="1187"/>
      <c r="R101" s="2089"/>
      <c r="S101" s="883" t="e">
        <f t="shared" si="16"/>
        <v>#REF!</v>
      </c>
    </row>
    <row r="102" spans="1:29" ht="11.25" customHeight="1">
      <c r="B102" s="1180">
        <v>45800</v>
      </c>
      <c r="C102" s="1157" t="s">
        <v>892</v>
      </c>
      <c r="D102" s="1181"/>
      <c r="E102" s="1181">
        <v>51</v>
      </c>
      <c r="F102" s="1188" t="s">
        <v>107</v>
      </c>
      <c r="G102" s="1189"/>
      <c r="H102" s="1182"/>
      <c r="I102" s="1190"/>
      <c r="J102" s="1182"/>
      <c r="K102" s="1155">
        <v>300</v>
      </c>
      <c r="L102" s="1184" t="e">
        <f>'통장내역(환율표)'!#REF!</f>
        <v>#REF!</v>
      </c>
      <c r="M102" s="1166" t="e">
        <f t="shared" si="15"/>
        <v>#REF!</v>
      </c>
      <c r="N102" s="1185" t="e">
        <f t="shared" si="17"/>
        <v>#REF!</v>
      </c>
      <c r="O102" s="1185" t="e">
        <f t="shared" si="18"/>
        <v>#REF!</v>
      </c>
      <c r="P102" s="1186" t="s">
        <v>1280</v>
      </c>
      <c r="Q102" s="1187"/>
      <c r="R102" s="2089"/>
      <c r="S102" s="883" t="e">
        <f t="shared" si="16"/>
        <v>#REF!</v>
      </c>
    </row>
    <row r="103" spans="1:29" ht="11.25" customHeight="1">
      <c r="B103" s="1180">
        <v>45800</v>
      </c>
      <c r="C103" s="1157" t="s">
        <v>891</v>
      </c>
      <c r="D103" s="1181"/>
      <c r="E103" s="1181">
        <v>51</v>
      </c>
      <c r="F103" s="1188" t="s">
        <v>107</v>
      </c>
      <c r="G103" s="1189"/>
      <c r="H103" s="1182"/>
      <c r="I103" s="1190"/>
      <c r="J103" s="1182"/>
      <c r="K103" s="1156">
        <v>21300</v>
      </c>
      <c r="L103" s="1184" t="e">
        <f>'통장내역(환율표)'!#REF!</f>
        <v>#REF!</v>
      </c>
      <c r="M103" s="1166" t="e">
        <f t="shared" si="15"/>
        <v>#REF!</v>
      </c>
      <c r="N103" s="1185" t="e">
        <f t="shared" si="17"/>
        <v>#REF!</v>
      </c>
      <c r="O103" s="1185" t="e">
        <f t="shared" si="18"/>
        <v>#REF!</v>
      </c>
      <c r="P103" s="1186" t="s">
        <v>1280</v>
      </c>
      <c r="Q103" s="1187"/>
      <c r="R103" s="2088" t="s">
        <v>1442</v>
      </c>
      <c r="S103" s="883" t="e">
        <f t="shared" si="16"/>
        <v>#REF!</v>
      </c>
    </row>
    <row r="104" spans="1:29" ht="11.25" customHeight="1">
      <c r="B104" s="1180">
        <v>45800</v>
      </c>
      <c r="C104" s="1157" t="s">
        <v>1109</v>
      </c>
      <c r="D104" s="1181"/>
      <c r="E104" s="1181">
        <v>51</v>
      </c>
      <c r="F104" s="1188" t="s">
        <v>107</v>
      </c>
      <c r="G104" s="1189"/>
      <c r="H104" s="1182"/>
      <c r="I104" s="1190"/>
      <c r="J104" s="1182"/>
      <c r="K104" s="1156">
        <v>1000</v>
      </c>
      <c r="L104" s="1184" t="e">
        <f>'통장내역(환율표)'!#REF!</f>
        <v>#REF!</v>
      </c>
      <c r="M104" s="1166" t="e">
        <f t="shared" si="15"/>
        <v>#REF!</v>
      </c>
      <c r="N104" s="1185" t="e">
        <f t="shared" si="17"/>
        <v>#REF!</v>
      </c>
      <c r="O104" s="1185" t="e">
        <f t="shared" si="18"/>
        <v>#REF!</v>
      </c>
      <c r="P104" s="1186" t="s">
        <v>1280</v>
      </c>
      <c r="Q104" s="1187"/>
      <c r="R104" s="2088"/>
      <c r="S104" s="883" t="e">
        <f t="shared" si="16"/>
        <v>#REF!</v>
      </c>
    </row>
    <row r="105" spans="1:29" s="489" customFormat="1" ht="11.25" customHeight="1">
      <c r="A105" s="544"/>
      <c r="B105" s="1180">
        <v>45800</v>
      </c>
      <c r="C105" s="1157" t="s">
        <v>939</v>
      </c>
      <c r="D105" s="1181"/>
      <c r="E105" s="1181">
        <v>51</v>
      </c>
      <c r="F105" s="1188" t="s">
        <v>107</v>
      </c>
      <c r="G105" s="1189"/>
      <c r="H105" s="1182"/>
      <c r="I105" s="1190"/>
      <c r="J105" s="1182"/>
      <c r="K105" s="1200">
        <v>5941.29</v>
      </c>
      <c r="L105" s="1184" t="e">
        <f>'통장내역(환율표)'!#REF!</f>
        <v>#REF!</v>
      </c>
      <c r="M105" s="1166">
        <v>827.44399999999996</v>
      </c>
      <c r="N105" s="1185" t="e">
        <f t="shared" si="17"/>
        <v>#REF!</v>
      </c>
      <c r="O105" s="1185" t="e">
        <f t="shared" si="18"/>
        <v>#REF!</v>
      </c>
      <c r="P105" s="1186" t="s">
        <v>1280</v>
      </c>
      <c r="Q105" s="1187"/>
      <c r="R105" s="2089"/>
      <c r="S105" s="883" t="e">
        <f t="shared" si="16"/>
        <v>#REF!</v>
      </c>
      <c r="T105" s="461"/>
      <c r="U105" s="574"/>
      <c r="V105" s="461"/>
      <c r="W105" s="461"/>
      <c r="X105" s="461"/>
      <c r="Y105" s="461"/>
      <c r="Z105" s="461"/>
      <c r="AA105" s="461"/>
      <c r="AB105" s="461"/>
      <c r="AC105" s="461"/>
    </row>
    <row r="106" spans="1:29" s="489" customFormat="1" ht="11.25" customHeight="1">
      <c r="A106" s="544"/>
      <c r="B106" s="1180">
        <v>45800</v>
      </c>
      <c r="C106" s="1157" t="s">
        <v>892</v>
      </c>
      <c r="D106" s="1181"/>
      <c r="E106" s="1181">
        <v>51</v>
      </c>
      <c r="F106" s="1188" t="s">
        <v>107</v>
      </c>
      <c r="G106" s="1189"/>
      <c r="H106" s="1182"/>
      <c r="I106" s="1190"/>
      <c r="J106" s="1182"/>
      <c r="K106" s="1200">
        <v>300</v>
      </c>
      <c r="L106" s="1184" t="e">
        <f>'통장내역(환율표)'!#REF!</f>
        <v>#REF!</v>
      </c>
      <c r="M106" s="1166" t="e">
        <f t="shared" si="15"/>
        <v>#REF!</v>
      </c>
      <c r="N106" s="1185" t="e">
        <f t="shared" si="17"/>
        <v>#REF!</v>
      </c>
      <c r="O106" s="1185" t="e">
        <f t="shared" si="18"/>
        <v>#REF!</v>
      </c>
      <c r="P106" s="1186" t="s">
        <v>1280</v>
      </c>
      <c r="Q106" s="1187"/>
      <c r="R106" s="2089"/>
      <c r="S106" s="883" t="e">
        <f t="shared" si="16"/>
        <v>#REF!</v>
      </c>
      <c r="T106" s="461"/>
      <c r="U106" s="574"/>
      <c r="V106" s="461"/>
      <c r="W106" s="461"/>
      <c r="X106" s="461"/>
      <c r="Y106" s="461"/>
      <c r="Z106" s="461"/>
      <c r="AA106" s="461"/>
      <c r="AB106" s="461"/>
      <c r="AC106" s="461"/>
    </row>
    <row r="107" spans="1:29" s="489" customFormat="1" ht="11.25" customHeight="1">
      <c r="A107" s="544"/>
      <c r="B107" s="1180">
        <v>45800</v>
      </c>
      <c r="C107" s="1157" t="s">
        <v>983</v>
      </c>
      <c r="D107" s="1181"/>
      <c r="E107" s="1181">
        <v>51</v>
      </c>
      <c r="F107" s="1188" t="s">
        <v>107</v>
      </c>
      <c r="G107" s="1189"/>
      <c r="H107" s="1182"/>
      <c r="I107" s="1190"/>
      <c r="J107" s="1182"/>
      <c r="K107" s="1200">
        <v>200</v>
      </c>
      <c r="L107" s="1184" t="e">
        <f>'통장내역(환율표)'!#REF!</f>
        <v>#REF!</v>
      </c>
      <c r="M107" s="1166" t="e">
        <f t="shared" si="15"/>
        <v>#REF!</v>
      </c>
      <c r="N107" s="1185" t="e">
        <f t="shared" si="17"/>
        <v>#REF!</v>
      </c>
      <c r="O107" s="1185" t="e">
        <f t="shared" si="18"/>
        <v>#REF!</v>
      </c>
      <c r="P107" s="1186" t="s">
        <v>1280</v>
      </c>
      <c r="Q107" s="1187"/>
      <c r="R107" s="2089"/>
      <c r="S107" s="883" t="e">
        <f t="shared" si="16"/>
        <v>#REF!</v>
      </c>
      <c r="T107" s="461"/>
      <c r="U107" s="574"/>
      <c r="V107" s="461"/>
      <c r="W107" s="461"/>
      <c r="X107" s="461"/>
      <c r="Y107" s="461"/>
      <c r="Z107" s="461"/>
      <c r="AA107" s="461"/>
      <c r="AB107" s="461"/>
      <c r="AC107" s="461"/>
    </row>
    <row r="108" spans="1:29" s="489" customFormat="1" ht="11.25" customHeight="1">
      <c r="A108" s="544"/>
      <c r="B108" s="1180">
        <v>45800</v>
      </c>
      <c r="C108" s="1157" t="s">
        <v>250</v>
      </c>
      <c r="D108" s="1181"/>
      <c r="E108" s="1201">
        <v>52</v>
      </c>
      <c r="F108" s="1188" t="s">
        <v>107</v>
      </c>
      <c r="G108" s="1189"/>
      <c r="H108" s="1182"/>
      <c r="I108" s="1190"/>
      <c r="J108" s="1182"/>
      <c r="K108" s="1202">
        <v>12</v>
      </c>
      <c r="L108" s="1184" t="e">
        <f>'통장내역(환율표)'!#REF!</f>
        <v>#REF!</v>
      </c>
      <c r="M108" s="1204" t="e">
        <f t="shared" si="15"/>
        <v>#REF!</v>
      </c>
      <c r="N108" s="1185" t="e">
        <f t="shared" si="17"/>
        <v>#REF!</v>
      </c>
      <c r="O108" s="1185" t="e">
        <f t="shared" si="18"/>
        <v>#REF!</v>
      </c>
      <c r="P108" s="1186" t="s">
        <v>1280</v>
      </c>
      <c r="Q108" s="1187"/>
      <c r="R108" s="1157"/>
      <c r="S108" s="883" t="e">
        <f t="shared" si="16"/>
        <v>#REF!</v>
      </c>
      <c r="T108" s="461"/>
      <c r="U108" s="574"/>
      <c r="V108" s="461"/>
      <c r="W108" s="461"/>
      <c r="X108" s="461"/>
      <c r="Y108" s="461"/>
      <c r="Z108" s="461"/>
      <c r="AA108" s="461"/>
      <c r="AB108" s="461"/>
      <c r="AC108" s="461"/>
    </row>
    <row r="109" spans="1:29" s="489" customFormat="1" ht="11.25" customHeight="1">
      <c r="A109" s="544"/>
      <c r="B109" s="1180">
        <v>45800</v>
      </c>
      <c r="C109" s="1157" t="s">
        <v>1449</v>
      </c>
      <c r="D109" s="1181"/>
      <c r="E109" s="1181">
        <v>53</v>
      </c>
      <c r="F109" s="1188" t="s">
        <v>146</v>
      </c>
      <c r="G109" s="1189" t="s">
        <v>147</v>
      </c>
      <c r="H109" s="1182"/>
      <c r="I109" s="1190"/>
      <c r="J109" s="1182"/>
      <c r="K109" s="1202">
        <v>800</v>
      </c>
      <c r="L109" s="1184" t="e">
        <f>'통장내역(환율표)'!#REF!</f>
        <v>#REF!</v>
      </c>
      <c r="M109" s="1166">
        <v>111.41800000000001</v>
      </c>
      <c r="N109" s="1185" t="e">
        <f t="shared" si="17"/>
        <v>#REF!</v>
      </c>
      <c r="O109" s="1185" t="e">
        <f t="shared" si="18"/>
        <v>#REF!</v>
      </c>
      <c r="P109" s="1186" t="s">
        <v>1280</v>
      </c>
      <c r="Q109" s="1187"/>
      <c r="R109" s="1157" t="s">
        <v>1449</v>
      </c>
      <c r="S109" s="883" t="e">
        <f t="shared" si="16"/>
        <v>#REF!</v>
      </c>
      <c r="T109" s="461"/>
      <c r="U109" s="574"/>
      <c r="V109" s="461"/>
      <c r="W109" s="461"/>
      <c r="X109" s="461"/>
      <c r="Y109" s="461"/>
      <c r="Z109" s="461"/>
      <c r="AA109" s="461"/>
      <c r="AB109" s="461"/>
      <c r="AC109" s="461"/>
    </row>
    <row r="110" spans="1:29" s="489" customFormat="1" ht="11.25" customHeight="1">
      <c r="A110" s="544"/>
      <c r="B110" s="1180">
        <v>45800</v>
      </c>
      <c r="C110" s="1191" t="s">
        <v>250</v>
      </c>
      <c r="D110" s="1181"/>
      <c r="E110" s="1181">
        <v>54</v>
      </c>
      <c r="F110" s="1188" t="s">
        <v>107</v>
      </c>
      <c r="G110" s="1189"/>
      <c r="H110" s="1182"/>
      <c r="I110" s="1190"/>
      <c r="J110" s="1182"/>
      <c r="K110" s="1199">
        <v>3.6</v>
      </c>
      <c r="L110" s="1184" t="e">
        <f>'통장내역(환율표)'!#REF!</f>
        <v>#REF!</v>
      </c>
      <c r="M110" s="1166" t="e">
        <f t="shared" ref="M110" si="19">K110/L110</f>
        <v>#REF!</v>
      </c>
      <c r="N110" s="1205" t="e">
        <f t="shared" si="17"/>
        <v>#REF!</v>
      </c>
      <c r="O110" s="1205" t="e">
        <f t="shared" si="18"/>
        <v>#REF!</v>
      </c>
      <c r="P110" s="1186" t="s">
        <v>1280</v>
      </c>
      <c r="Q110" s="1187"/>
      <c r="R110" s="1194"/>
      <c r="S110" s="899" t="e">
        <f t="shared" si="16"/>
        <v>#REF!</v>
      </c>
      <c r="T110" s="461"/>
      <c r="U110" s="574"/>
      <c r="V110" s="461"/>
      <c r="W110" s="461"/>
      <c r="X110" s="461"/>
      <c r="Y110" s="461"/>
      <c r="Z110" s="461"/>
      <c r="AA110" s="461"/>
      <c r="AB110" s="461"/>
      <c r="AC110" s="461"/>
    </row>
    <row r="111" spans="1:29" ht="11.25" customHeight="1">
      <c r="C111" s="461"/>
      <c r="M111" s="852"/>
    </row>
    <row r="112" spans="1:29" ht="11.25" customHeight="1">
      <c r="M112" s="852"/>
    </row>
  </sheetData>
  <autoFilter ref="B18:R110" xr:uid="{00000000-0009-0000-0000-000001000000}">
    <filterColumn colId="14" showButton="0"/>
    <sortState xmlns:xlrd2="http://schemas.microsoft.com/office/spreadsheetml/2017/richdata2" ref="B19:R110">
      <sortCondition sortBy="cellColor" ref="M18:M110" dxfId="11"/>
    </sortState>
  </autoFilter>
  <mergeCells count="11">
    <mergeCell ref="H17:J17"/>
    <mergeCell ref="K17:M17"/>
    <mergeCell ref="N17:O17"/>
    <mergeCell ref="P17:Q17"/>
    <mergeCell ref="P18:Q18"/>
    <mergeCell ref="R103:R107"/>
    <mergeCell ref="R79:R83"/>
    <mergeCell ref="R84:R88"/>
    <mergeCell ref="R89:R93"/>
    <mergeCell ref="R94:R98"/>
    <mergeCell ref="R99:R102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A15-8CDB-4380-8057-790B4A1009F8}">
  <sheetPr>
    <tabColor rgb="FFFEFED8"/>
  </sheetPr>
  <dimension ref="A1:AC97"/>
  <sheetViews>
    <sheetView showGridLines="0" topLeftCell="C1" zoomScale="85" zoomScaleNormal="85" workbookViewId="0">
      <pane ySplit="19" topLeftCell="A20" activePane="bottomLeft" state="frozen"/>
      <selection activeCell="G66" sqref="G66"/>
      <selection pane="bottomLeft" activeCell="G66" sqref="G66"/>
    </sheetView>
  </sheetViews>
  <sheetFormatPr defaultColWidth="9" defaultRowHeight="11.25" customHeight="1"/>
  <cols>
    <col min="1" max="1" width="1.69921875" style="544" customWidth="1"/>
    <col min="2" max="2" width="9.69921875" style="519" customWidth="1"/>
    <col min="3" max="3" width="24" style="520" customWidth="1"/>
    <col min="4" max="4" width="12.59765625" style="461" bestFit="1" customWidth="1"/>
    <col min="5" max="5" width="11.5" style="461" bestFit="1" customWidth="1"/>
    <col min="6" max="6" width="10.5" style="461" bestFit="1" customWidth="1"/>
    <col min="7" max="7" width="9.796875" style="489" customWidth="1"/>
    <col min="8" max="8" width="9.69921875" style="461" customWidth="1"/>
    <col min="9" max="9" width="9.796875" style="461" customWidth="1"/>
    <col min="10" max="10" width="10.5" style="489" customWidth="1"/>
    <col min="11" max="11" width="11" style="890" customWidth="1"/>
    <col min="12" max="12" width="11.09765625" style="461" customWidth="1"/>
    <col min="13" max="13" width="9.69921875" style="461" customWidth="1"/>
    <col min="14" max="14" width="12.296875" style="461" customWidth="1"/>
    <col min="15" max="15" width="9.796875" style="461" customWidth="1"/>
    <col min="16" max="16" width="32.796875" style="461" customWidth="1"/>
    <col min="17" max="17" width="9.59765625" style="461" customWidth="1"/>
    <col min="18" max="18" width="31.5" style="489" customWidth="1"/>
    <col min="19" max="19" width="10.5" style="492" bestFit="1" customWidth="1"/>
    <col min="20" max="20" width="9" style="461"/>
    <col min="21" max="21" width="9" style="574"/>
    <col min="22" max="16384" width="9" style="461"/>
  </cols>
  <sheetData>
    <row r="1" spans="1:29" ht="4.5" customHeight="1">
      <c r="A1" s="449"/>
      <c r="B1" s="450"/>
      <c r="C1" s="1066"/>
      <c r="D1" s="451"/>
      <c r="E1" s="453"/>
      <c r="F1" s="453"/>
      <c r="G1" s="454"/>
      <c r="H1" s="453"/>
      <c r="I1" s="453"/>
      <c r="J1" s="455"/>
      <c r="K1" s="1072"/>
      <c r="L1" s="456"/>
      <c r="M1" s="457"/>
      <c r="N1" s="457"/>
      <c r="O1" s="451"/>
      <c r="P1" s="458"/>
      <c r="Q1" s="458"/>
      <c r="R1" s="459"/>
      <c r="S1" s="460"/>
    </row>
    <row r="2" spans="1:29" ht="15" customHeight="1">
      <c r="B2" s="1053" t="s">
        <v>1587</v>
      </c>
      <c r="D2" s="520"/>
      <c r="F2" s="1004"/>
      <c r="H2" s="1005"/>
      <c r="I2" s="1005"/>
      <c r="J2" s="1005"/>
      <c r="K2" s="1005"/>
      <c r="L2" s="1005"/>
      <c r="M2" s="525"/>
      <c r="N2" s="767"/>
      <c r="O2" s="1006"/>
      <c r="Q2" s="1007"/>
    </row>
    <row r="3" spans="1:29" s="483" customFormat="1" ht="11.25" customHeight="1">
      <c r="A3" s="475"/>
      <c r="B3" s="476" t="s">
        <v>1589</v>
      </c>
      <c r="C3" s="477"/>
      <c r="D3" s="477"/>
      <c r="E3" s="477"/>
      <c r="F3" s="983">
        <v>1373.8</v>
      </c>
      <c r="G3" s="480"/>
      <c r="H3" s="1320"/>
      <c r="I3" s="1320"/>
      <c r="J3" s="1005"/>
      <c r="K3" s="1005"/>
      <c r="L3" s="1005"/>
      <c r="Q3" s="476"/>
      <c r="R3" s="476"/>
      <c r="T3" s="476"/>
      <c r="U3" s="477"/>
      <c r="V3" s="478"/>
      <c r="W3" s="478"/>
      <c r="X3" s="715">
        <v>1327.2</v>
      </c>
    </row>
    <row r="4" spans="1:29" ht="11.25" customHeight="1">
      <c r="A4" s="449"/>
      <c r="B4" s="484" t="s">
        <v>1</v>
      </c>
      <c r="C4" s="1067" t="s">
        <v>2</v>
      </c>
      <c r="D4" s="485" t="s">
        <v>1049</v>
      </c>
      <c r="E4" s="487" t="s">
        <v>1050</v>
      </c>
      <c r="F4" s="488" t="s">
        <v>1051</v>
      </c>
      <c r="G4" s="865"/>
      <c r="H4" s="865"/>
      <c r="I4" s="1320"/>
      <c r="L4" s="1005"/>
      <c r="M4" s="1318"/>
      <c r="N4" s="1318"/>
      <c r="O4" s="1318"/>
      <c r="P4" s="1318"/>
      <c r="Q4" s="476"/>
      <c r="R4" s="476"/>
      <c r="U4" s="461"/>
    </row>
    <row r="5" spans="1:29" ht="11.25" customHeight="1">
      <c r="A5" s="492">
        <v>51131050</v>
      </c>
      <c r="B5" s="493" t="s">
        <v>1052</v>
      </c>
      <c r="C5" s="494" t="s">
        <v>12</v>
      </c>
      <c r="D5" s="500">
        <v>22368.53</v>
      </c>
      <c r="E5" s="496">
        <v>3120.87</v>
      </c>
      <c r="F5" s="497">
        <f>ROUND(E5*$F$3,0)</f>
        <v>4287451</v>
      </c>
      <c r="G5" s="121">
        <v>51131050</v>
      </c>
      <c r="H5" s="865"/>
      <c r="I5" s="1320"/>
      <c r="J5" s="1320"/>
      <c r="L5" s="1005" t="s">
        <v>1586</v>
      </c>
      <c r="M5" s="1318"/>
      <c r="N5" s="1318"/>
      <c r="O5" s="1318"/>
      <c r="P5" s="1318"/>
      <c r="Q5" s="476"/>
      <c r="R5" s="476"/>
      <c r="S5" s="1036" t="e">
        <f>F5+#REF!+R5</f>
        <v>#REF!</v>
      </c>
      <c r="U5" s="461"/>
    </row>
    <row r="6" spans="1:29" ht="11.25" customHeight="1">
      <c r="A6" s="492">
        <v>51061030</v>
      </c>
      <c r="B6" s="493" t="s">
        <v>1053</v>
      </c>
      <c r="C6" s="494" t="s">
        <v>1054</v>
      </c>
      <c r="D6" s="500">
        <v>52113.450000000004</v>
      </c>
      <c r="E6" s="500">
        <v>7270.9</v>
      </c>
      <c r="F6" s="497">
        <f t="shared" ref="F6:F14" si="0">ROUND(E6*$F$3,0)</f>
        <v>9988762</v>
      </c>
      <c r="G6" s="121">
        <v>51061030</v>
      </c>
      <c r="H6" s="865"/>
      <c r="I6" s="1320"/>
      <c r="J6" s="1320"/>
      <c r="L6" s="1005"/>
      <c r="M6" s="1318"/>
      <c r="N6" s="1318"/>
      <c r="O6" s="1318"/>
      <c r="P6" s="1318"/>
      <c r="Q6" s="476"/>
      <c r="R6" s="476"/>
      <c r="S6" s="1036" t="e">
        <f>F6+#REF!+R6</f>
        <v>#REF!</v>
      </c>
      <c r="U6" s="461"/>
      <c r="AB6" s="525"/>
      <c r="AC6" s="489"/>
    </row>
    <row r="7" spans="1:29" ht="11.25" customHeight="1">
      <c r="A7" s="492">
        <v>51201020</v>
      </c>
      <c r="B7" s="493" t="s">
        <v>15</v>
      </c>
      <c r="C7" s="494" t="s">
        <v>180</v>
      </c>
      <c r="D7" s="500">
        <v>25074</v>
      </c>
      <c r="E7" s="500">
        <v>3498.34</v>
      </c>
      <c r="F7" s="497">
        <f t="shared" si="0"/>
        <v>4806019</v>
      </c>
      <c r="G7" s="121">
        <v>51201020</v>
      </c>
      <c r="H7" s="865"/>
      <c r="I7" s="1320"/>
      <c r="J7" s="1320"/>
      <c r="L7" s="1005"/>
      <c r="M7" s="1318"/>
      <c r="N7" s="1318"/>
      <c r="O7" s="1318"/>
      <c r="P7" s="1318"/>
      <c r="Q7" s="476"/>
      <c r="R7" s="476"/>
      <c r="S7" s="1036" t="e">
        <f>F7+#REF!+R7</f>
        <v>#REF!</v>
      </c>
      <c r="U7" s="461"/>
    </row>
    <row r="8" spans="1:29" ht="15" customHeight="1">
      <c r="A8" s="492">
        <v>51201030</v>
      </c>
      <c r="B8" s="493" t="s">
        <v>1056</v>
      </c>
      <c r="C8" s="494" t="s">
        <v>17</v>
      </c>
      <c r="D8" s="500">
        <v>20000</v>
      </c>
      <c r="E8" s="500">
        <v>2790.41</v>
      </c>
      <c r="F8" s="497">
        <f t="shared" si="0"/>
        <v>3833465</v>
      </c>
      <c r="G8" s="121">
        <v>51201030</v>
      </c>
      <c r="H8" s="865"/>
      <c r="I8" s="1320"/>
      <c r="J8" s="1320"/>
      <c r="L8" s="1005"/>
      <c r="M8" s="1318"/>
      <c r="N8" s="1318"/>
      <c r="O8" s="1318"/>
      <c r="P8" s="1318"/>
      <c r="Q8" s="476"/>
      <c r="R8" s="476"/>
      <c r="S8" s="1036" t="e">
        <f>F8+#REF!+R8</f>
        <v>#REF!</v>
      </c>
      <c r="U8" s="461"/>
    </row>
    <row r="9" spans="1:29" ht="11.25" customHeight="1">
      <c r="A9" s="492">
        <v>51071700</v>
      </c>
      <c r="B9" s="493" t="s">
        <v>19</v>
      </c>
      <c r="C9" s="494" t="s">
        <v>20</v>
      </c>
      <c r="D9" s="500">
        <v>2383.8000000000002</v>
      </c>
      <c r="E9" s="500">
        <v>332.59</v>
      </c>
      <c r="F9" s="497">
        <f t="shared" si="0"/>
        <v>456912</v>
      </c>
      <c r="G9" s="121">
        <v>51071700</v>
      </c>
      <c r="H9" s="865"/>
      <c r="I9" s="1320"/>
      <c r="J9" s="1320"/>
      <c r="L9" s="1005"/>
      <c r="M9" s="1318"/>
      <c r="N9" s="1318"/>
      <c r="O9" s="1318"/>
      <c r="P9" s="1318"/>
      <c r="Q9" s="476"/>
      <c r="R9" s="476"/>
      <c r="S9" s="1036" t="e">
        <f>F9+#REF!+R9</f>
        <v>#REF!</v>
      </c>
      <c r="U9" s="461"/>
    </row>
    <row r="10" spans="1:29" ht="11.25" customHeight="1">
      <c r="A10" s="492">
        <v>51321010</v>
      </c>
      <c r="B10" s="493" t="s">
        <v>21</v>
      </c>
      <c r="C10" s="494"/>
      <c r="D10" s="500">
        <v>279247.79999999987</v>
      </c>
      <c r="E10" s="500">
        <v>38995.82</v>
      </c>
      <c r="F10" s="497">
        <f t="shared" si="0"/>
        <v>53572458</v>
      </c>
      <c r="G10" s="121">
        <v>51321010</v>
      </c>
      <c r="H10" s="865"/>
      <c r="I10" s="1320"/>
      <c r="J10" s="1320"/>
      <c r="L10" s="1005"/>
      <c r="M10" s="1318"/>
      <c r="N10" s="1318"/>
      <c r="O10" s="1318"/>
      <c r="P10" s="1318"/>
      <c r="Q10" s="476"/>
      <c r="R10" s="476"/>
      <c r="S10" s="1036" t="e">
        <f>F10+#REF!+R10</f>
        <v>#REF!</v>
      </c>
      <c r="U10" s="461"/>
      <c r="AB10" s="525"/>
      <c r="AC10" s="489"/>
    </row>
    <row r="11" spans="1:29" ht="11.25" customHeight="1">
      <c r="A11" s="492">
        <v>51031020</v>
      </c>
      <c r="B11" s="507" t="s">
        <v>1057</v>
      </c>
      <c r="C11" s="1068" t="s">
        <v>1058</v>
      </c>
      <c r="D11" s="507"/>
      <c r="E11" s="507"/>
      <c r="F11" s="509"/>
      <c r="G11" s="510"/>
      <c r="H11" s="865"/>
      <c r="I11" s="1320"/>
      <c r="J11" s="1320"/>
      <c r="L11" s="1005"/>
      <c r="M11" s="1318"/>
      <c r="N11" s="1318"/>
      <c r="O11" s="1318"/>
      <c r="P11" s="1318"/>
      <c r="Q11" s="844"/>
      <c r="R11" s="476"/>
      <c r="S11" s="1036" t="e">
        <f>F11+#REF!+R11</f>
        <v>#REF!</v>
      </c>
      <c r="U11" s="461"/>
      <c r="AB11" s="525"/>
      <c r="AC11" s="489"/>
    </row>
    <row r="12" spans="1:29" ht="11.25" customHeight="1">
      <c r="A12" s="492">
        <v>52981010</v>
      </c>
      <c r="B12" s="499" t="s">
        <v>1059</v>
      </c>
      <c r="C12" s="494" t="s">
        <v>1060</v>
      </c>
      <c r="D12" s="926"/>
      <c r="E12" s="500"/>
      <c r="F12" s="497">
        <f t="shared" si="0"/>
        <v>0</v>
      </c>
      <c r="G12" s="512"/>
      <c r="H12" s="865"/>
      <c r="I12" s="1320"/>
      <c r="J12" s="1320"/>
      <c r="L12" s="1005"/>
      <c r="M12" s="1318"/>
      <c r="N12" s="1318"/>
      <c r="O12" s="1318"/>
      <c r="P12" s="1318"/>
      <c r="Q12" s="844"/>
      <c r="R12" s="476"/>
      <c r="S12" s="1036" t="e">
        <f>F12+#REF!+R12</f>
        <v>#REF!</v>
      </c>
      <c r="U12" s="461"/>
      <c r="AB12" s="525"/>
      <c r="AC12" s="489"/>
    </row>
    <row r="13" spans="1:29" s="489" customFormat="1" ht="11.25" customHeight="1">
      <c r="A13" s="867"/>
      <c r="B13" s="868" t="s">
        <v>22</v>
      </c>
      <c r="C13" s="1069"/>
      <c r="D13" s="515">
        <f>SUM(D5:D11)-D12</f>
        <v>401187.5799999999</v>
      </c>
      <c r="E13" s="1089">
        <f>SUM(E5:E11)-E12</f>
        <v>56008.93</v>
      </c>
      <c r="F13" s="870">
        <f>SUM(F5:F11)-F12</f>
        <v>76945067</v>
      </c>
      <c r="G13" s="518"/>
      <c r="H13" s="865"/>
      <c r="I13" s="1320"/>
      <c r="J13" s="1320"/>
      <c r="L13" s="1005"/>
      <c r="M13" s="1318"/>
      <c r="N13" s="1318"/>
      <c r="O13" s="1318"/>
      <c r="P13" s="1318"/>
      <c r="Q13" s="844"/>
      <c r="R13" s="476"/>
      <c r="S13" s="1036" t="e">
        <f>F13+#REF!+R13</f>
        <v>#REF!</v>
      </c>
      <c r="U13" s="850"/>
      <c r="X13" s="844">
        <f>F13+R13</f>
        <v>76945067</v>
      </c>
      <c r="Y13" s="876"/>
      <c r="Z13" s="890"/>
      <c r="AB13" s="526"/>
    </row>
    <row r="14" spans="1:29" ht="11.25" customHeight="1">
      <c r="A14" s="492"/>
      <c r="B14" s="499" t="s">
        <v>23</v>
      </c>
      <c r="C14" s="494" t="s">
        <v>1588</v>
      </c>
      <c r="D14" s="926">
        <v>128000</v>
      </c>
      <c r="E14" s="500">
        <v>17858.634260974373</v>
      </c>
      <c r="F14" s="497">
        <f t="shared" si="0"/>
        <v>24534192</v>
      </c>
      <c r="G14" s="121">
        <v>13081010</v>
      </c>
      <c r="H14" s="865"/>
      <c r="I14" s="1320"/>
      <c r="J14" s="1320"/>
      <c r="L14" s="1005"/>
      <c r="M14" s="1318"/>
      <c r="N14" s="1318"/>
      <c r="O14" s="1318"/>
      <c r="P14" s="1318"/>
      <c r="Q14" s="844"/>
      <c r="R14" s="476"/>
      <c r="S14" s="1036"/>
      <c r="U14" s="461"/>
      <c r="AB14" s="525"/>
      <c r="AC14" s="489"/>
    </row>
    <row r="15" spans="1:29" ht="14.25" customHeight="1">
      <c r="A15" s="449"/>
      <c r="D15" s="1088"/>
      <c r="E15" s="1088"/>
      <c r="F15" s="1088"/>
      <c r="G15" s="1319"/>
      <c r="H15" s="1320"/>
      <c r="I15" s="1320"/>
      <c r="J15" s="865"/>
      <c r="K15" s="1321"/>
      <c r="L15" s="865"/>
      <c r="M15" s="850"/>
      <c r="O15" s="844"/>
      <c r="P15" s="844"/>
      <c r="Q15" s="844"/>
      <c r="R15" s="845"/>
      <c r="X15" s="525"/>
      <c r="Y15" s="525"/>
      <c r="AB15" s="525"/>
      <c r="AC15" s="489"/>
    </row>
    <row r="16" spans="1:29" ht="18.75" customHeight="1">
      <c r="A16" s="449"/>
      <c r="D16" s="520"/>
      <c r="E16" s="523"/>
      <c r="F16" s="523"/>
      <c r="G16" s="524"/>
      <c r="I16" s="525"/>
      <c r="J16" s="526"/>
      <c r="K16" s="1080">
        <f>SUBTOTAL(9,K19:K92)</f>
        <v>529187.57999999984</v>
      </c>
      <c r="L16" s="1009"/>
      <c r="M16" s="1080">
        <f>SUBTOTAL(9,M19:M92)</f>
        <v>73867.564204247377</v>
      </c>
      <c r="N16" s="525"/>
      <c r="Q16" s="525"/>
    </row>
    <row r="17" spans="1:29" ht="11.25" customHeight="1">
      <c r="A17" s="449"/>
      <c r="B17" s="1038" t="s">
        <v>24</v>
      </c>
      <c r="C17" s="1070" t="s">
        <v>25</v>
      </c>
      <c r="D17" s="1267" t="s">
        <v>1061</v>
      </c>
      <c r="E17" s="1040" t="s">
        <v>26</v>
      </c>
      <c r="F17" s="1283" t="s">
        <v>1</v>
      </c>
      <c r="G17" s="1041" t="s">
        <v>2</v>
      </c>
      <c r="H17" s="2083" t="s">
        <v>29</v>
      </c>
      <c r="I17" s="2083"/>
      <c r="J17" s="2083"/>
      <c r="K17" s="2083" t="s">
        <v>30</v>
      </c>
      <c r="L17" s="2083"/>
      <c r="M17" s="2084"/>
      <c r="N17" s="2085" t="s">
        <v>31</v>
      </c>
      <c r="O17" s="2085"/>
      <c r="P17" s="2086"/>
      <c r="Q17" s="2086"/>
      <c r="R17" s="1041" t="s">
        <v>1062</v>
      </c>
    </row>
    <row r="18" spans="1:29" ht="11.25" customHeight="1">
      <c r="A18" s="449"/>
      <c r="B18" s="1042" t="s">
        <v>1063</v>
      </c>
      <c r="C18" s="1071" t="s">
        <v>1064</v>
      </c>
      <c r="D18" s="1268" t="s">
        <v>1065</v>
      </c>
      <c r="E18" s="1044" t="s">
        <v>1066</v>
      </c>
      <c r="F18" s="1284" t="s">
        <v>1067</v>
      </c>
      <c r="G18" s="1045" t="s">
        <v>1068</v>
      </c>
      <c r="H18" s="1046" t="s">
        <v>1069</v>
      </c>
      <c r="I18" s="1046" t="s">
        <v>1070</v>
      </c>
      <c r="J18" s="1047" t="s">
        <v>34</v>
      </c>
      <c r="K18" s="1047" t="s">
        <v>1069</v>
      </c>
      <c r="L18" s="1046" t="s">
        <v>1070</v>
      </c>
      <c r="M18" s="1085" t="s">
        <v>34</v>
      </c>
      <c r="N18" s="1266" t="s">
        <v>1069</v>
      </c>
      <c r="O18" s="1266" t="s">
        <v>34</v>
      </c>
      <c r="P18" s="2087" t="s">
        <v>32</v>
      </c>
      <c r="Q18" s="2087"/>
      <c r="R18" s="1045" t="s">
        <v>1062</v>
      </c>
    </row>
    <row r="19" spans="1:29" ht="11.25" customHeight="1">
      <c r="B19" s="657">
        <v>45825</v>
      </c>
      <c r="C19" s="660"/>
      <c r="D19" s="658"/>
      <c r="E19" s="660"/>
      <c r="F19" s="863"/>
      <c r="G19" s="661"/>
      <c r="H19" s="662"/>
      <c r="I19" s="658"/>
      <c r="J19" s="661"/>
      <c r="K19" s="1107"/>
      <c r="L19" s="663"/>
      <c r="M19" s="906"/>
      <c r="N19" s="907">
        <v>0</v>
      </c>
      <c r="O19" s="907">
        <v>0</v>
      </c>
      <c r="P19" s="908"/>
      <c r="Q19" s="660"/>
      <c r="R19" s="665"/>
      <c r="S19" s="846"/>
    </row>
    <row r="20" spans="1:29" s="1276" customFormat="1" ht="11.25" customHeight="1">
      <c r="A20" s="1269"/>
      <c r="B20" s="1293">
        <v>45854</v>
      </c>
      <c r="C20" s="1294" t="s">
        <v>1088</v>
      </c>
      <c r="D20" s="1207"/>
      <c r="E20" s="1295" t="s">
        <v>1584</v>
      </c>
      <c r="F20" s="1296"/>
      <c r="G20" s="758"/>
      <c r="H20" s="1297">
        <v>530297.58000000007</v>
      </c>
      <c r="I20" s="1297"/>
      <c r="J20" s="1297">
        <v>74022.44</v>
      </c>
      <c r="K20" s="1298"/>
      <c r="L20" s="763"/>
      <c r="M20" s="1096"/>
      <c r="N20" s="909">
        <f>N19+H20-K20</f>
        <v>530297.58000000007</v>
      </c>
      <c r="O20" s="909">
        <f>O19+J20-M20</f>
        <v>74022.44</v>
      </c>
      <c r="P20" s="1299"/>
      <c r="Q20" s="1300"/>
      <c r="R20" s="1300"/>
      <c r="S20" s="883"/>
      <c r="T20" s="1275"/>
      <c r="V20" s="1275"/>
      <c r="W20" s="1275"/>
      <c r="X20" s="1275"/>
      <c r="Y20" s="1275"/>
      <c r="Z20" s="1275"/>
      <c r="AA20" s="1275"/>
      <c r="AB20" s="1275"/>
      <c r="AC20" s="1275"/>
    </row>
    <row r="21" spans="1:29" s="1276" customFormat="1" ht="11.25" customHeight="1">
      <c r="A21" s="1269"/>
      <c r="B21" s="1293">
        <v>45854</v>
      </c>
      <c r="C21" s="1294" t="s">
        <v>1463</v>
      </c>
      <c r="D21" s="1207"/>
      <c r="E21" s="1295" t="s">
        <v>1584</v>
      </c>
      <c r="F21" s="1296" t="s">
        <v>107</v>
      </c>
      <c r="G21" s="758"/>
      <c r="H21" s="1297"/>
      <c r="I21" s="1297"/>
      <c r="J21" s="1297"/>
      <c r="K21" s="1298"/>
      <c r="L21" s="763"/>
      <c r="M21" s="1096">
        <v>35</v>
      </c>
      <c r="N21" s="909">
        <f t="shared" ref="N21:N80" si="1">N20+H21-K21</f>
        <v>530297.58000000007</v>
      </c>
      <c r="O21" s="909">
        <f t="shared" ref="O21:O80" si="2">O20+J21-M21</f>
        <v>73987.44</v>
      </c>
      <c r="P21" s="1299"/>
      <c r="Q21" s="1300"/>
      <c r="R21" s="1300"/>
      <c r="S21" s="883"/>
      <c r="T21" s="1275"/>
      <c r="V21" s="1275"/>
      <c r="W21" s="1275"/>
      <c r="X21" s="1275"/>
      <c r="Y21" s="1275"/>
      <c r="Z21" s="1275"/>
      <c r="AA21" s="1275"/>
      <c r="AB21" s="1275"/>
      <c r="AC21" s="1275"/>
    </row>
    <row r="22" spans="1:29" s="1276" customFormat="1" ht="11.25" customHeight="1">
      <c r="A22" s="1269"/>
      <c r="B22" s="1270">
        <v>45854</v>
      </c>
      <c r="C22" s="1277" t="s">
        <v>1464</v>
      </c>
      <c r="D22" s="1271"/>
      <c r="E22" s="1206">
        <v>7</v>
      </c>
      <c r="F22" s="1286" t="s">
        <v>105</v>
      </c>
      <c r="G22" s="1287" t="s">
        <v>1122</v>
      </c>
      <c r="H22" s="1272"/>
      <c r="I22" s="1272"/>
      <c r="J22" s="1272"/>
      <c r="K22" s="919">
        <v>25074</v>
      </c>
      <c r="L22" s="542">
        <f>'통장내역(환율표)'!$D$5</f>
        <v>7.1674000343842152</v>
      </c>
      <c r="M22" s="1285">
        <f>K22/L22</f>
        <v>3498.3396879917873</v>
      </c>
      <c r="N22" s="928">
        <f t="shared" si="1"/>
        <v>505223.58000000007</v>
      </c>
      <c r="O22" s="928">
        <f t="shared" si="2"/>
        <v>70489.100312008217</v>
      </c>
      <c r="P22" s="1273"/>
      <c r="Q22" s="1274"/>
      <c r="R22" s="1274"/>
      <c r="S22" s="883">
        <f>73987.44-M22</f>
        <v>70489.100312008217</v>
      </c>
      <c r="T22" s="1275"/>
      <c r="V22" s="1275"/>
      <c r="W22" s="1275"/>
      <c r="X22" s="1275"/>
      <c r="Y22" s="1275"/>
      <c r="Z22" s="1275"/>
      <c r="AA22" s="1275"/>
      <c r="AB22" s="1275"/>
      <c r="AC22" s="1275"/>
    </row>
    <row r="23" spans="1:29" s="1276" customFormat="1" ht="11.25" customHeight="1">
      <c r="A23" s="1269"/>
      <c r="B23" s="1270">
        <v>45854</v>
      </c>
      <c r="C23" s="1277" t="s">
        <v>1463</v>
      </c>
      <c r="D23" s="1271"/>
      <c r="E23" s="1206">
        <v>8</v>
      </c>
      <c r="F23" s="1286" t="s">
        <v>107</v>
      </c>
      <c r="G23" s="1287"/>
      <c r="H23" s="1272"/>
      <c r="I23" s="1272"/>
      <c r="J23" s="1272"/>
      <c r="K23" s="919">
        <v>9</v>
      </c>
      <c r="L23" s="542">
        <f>'통장내역(환율표)'!$D$5</f>
        <v>7.1674000343842152</v>
      </c>
      <c r="M23" s="1285">
        <f t="shared" ref="M23:M87" si="3">K23/L23</f>
        <v>1.2556854587192345</v>
      </c>
      <c r="N23" s="928">
        <f t="shared" si="1"/>
        <v>505214.58000000007</v>
      </c>
      <c r="O23" s="928">
        <f t="shared" si="2"/>
        <v>70487.8446265495</v>
      </c>
      <c r="P23" s="1273"/>
      <c r="Q23" s="1274"/>
      <c r="R23" s="1274"/>
      <c r="S23" s="883">
        <f>S22-M23+J23</f>
        <v>70487.8446265495</v>
      </c>
      <c r="T23" s="1275"/>
      <c r="V23" s="1275"/>
      <c r="W23" s="1275"/>
      <c r="X23" s="1275"/>
      <c r="Y23" s="1275"/>
      <c r="Z23" s="1275"/>
      <c r="AA23" s="1275"/>
      <c r="AB23" s="1275"/>
      <c r="AC23" s="1275"/>
    </row>
    <row r="24" spans="1:29" s="1276" customFormat="1" ht="11.25" customHeight="1">
      <c r="A24" s="1269"/>
      <c r="B24" s="1303">
        <v>45854</v>
      </c>
      <c r="C24" s="1304" t="s">
        <v>1582</v>
      </c>
      <c r="D24" s="1305"/>
      <c r="E24" s="1306">
        <v>9</v>
      </c>
      <c r="F24" s="1307" t="s">
        <v>69</v>
      </c>
      <c r="G24" s="1308" t="s">
        <v>1585</v>
      </c>
      <c r="H24" s="1309"/>
      <c r="I24" s="1309"/>
      <c r="J24" s="1309"/>
      <c r="K24" s="1310">
        <v>48000</v>
      </c>
      <c r="L24" s="1311">
        <f>'통장내역(환율표)'!$D$5</f>
        <v>7.1674000343842152</v>
      </c>
      <c r="M24" s="1312">
        <v>6696.99</v>
      </c>
      <c r="N24" s="1313">
        <f t="shared" si="1"/>
        <v>457214.58000000007</v>
      </c>
      <c r="O24" s="1313">
        <f t="shared" si="2"/>
        <v>63790.854626549502</v>
      </c>
      <c r="P24" s="1314"/>
      <c r="Q24" s="1315"/>
      <c r="R24" s="1315"/>
      <c r="S24" s="883">
        <f t="shared" ref="S24:S87" si="4">S23-M24+J24</f>
        <v>63790.854626549502</v>
      </c>
      <c r="T24" s="1275"/>
      <c r="V24" s="1275"/>
      <c r="W24" s="1275"/>
      <c r="X24" s="1275"/>
      <c r="Y24" s="1275"/>
      <c r="Z24" s="1275"/>
      <c r="AA24" s="1275"/>
      <c r="AB24" s="1275"/>
      <c r="AC24" s="1275"/>
    </row>
    <row r="25" spans="1:29" s="1276" customFormat="1" ht="11.25" customHeight="1">
      <c r="A25" s="1269"/>
      <c r="B25" s="1270">
        <v>45854</v>
      </c>
      <c r="C25" s="1277" t="s">
        <v>1463</v>
      </c>
      <c r="D25" s="1271"/>
      <c r="E25" s="1206">
        <v>10</v>
      </c>
      <c r="F25" s="1286" t="s">
        <v>107</v>
      </c>
      <c r="G25" s="1287"/>
      <c r="H25" s="1272"/>
      <c r="I25" s="1272"/>
      <c r="J25" s="1272"/>
      <c r="K25" s="919">
        <v>9</v>
      </c>
      <c r="L25" s="542">
        <f>'통장내역(환율표)'!$D$5</f>
        <v>7.1674000343842152</v>
      </c>
      <c r="M25" s="1285">
        <f t="shared" si="3"/>
        <v>1.2556854587192345</v>
      </c>
      <c r="N25" s="928">
        <f t="shared" si="1"/>
        <v>457205.58000000007</v>
      </c>
      <c r="O25" s="928">
        <f t="shared" si="2"/>
        <v>63789.598941090786</v>
      </c>
      <c r="P25" s="1273"/>
      <c r="Q25" s="1274"/>
      <c r="R25" s="1274"/>
      <c r="S25" s="883">
        <f t="shared" si="4"/>
        <v>63789.598941090786</v>
      </c>
      <c r="T25" s="1275"/>
      <c r="V25" s="1275"/>
      <c r="W25" s="1275"/>
      <c r="X25" s="1275"/>
      <c r="Y25" s="1275"/>
      <c r="Z25" s="1275"/>
      <c r="AA25" s="1275"/>
      <c r="AB25" s="1275"/>
      <c r="AC25" s="1275"/>
    </row>
    <row r="26" spans="1:29" s="1276" customFormat="1" ht="11.25" customHeight="1">
      <c r="A26" s="1269"/>
      <c r="B26" s="1270">
        <v>45855</v>
      </c>
      <c r="C26" s="1277" t="s">
        <v>1576</v>
      </c>
      <c r="D26" s="1271"/>
      <c r="E26" s="1206">
        <v>11</v>
      </c>
      <c r="F26" s="1286" t="s">
        <v>146</v>
      </c>
      <c r="G26" s="1287" t="s">
        <v>147</v>
      </c>
      <c r="H26" s="1272"/>
      <c r="I26" s="1272"/>
      <c r="J26" s="1272"/>
      <c r="K26" s="919">
        <v>2400</v>
      </c>
      <c r="L26" s="542">
        <f>'통장내역(환율표)'!$D$5</f>
        <v>7.1674000343842152</v>
      </c>
      <c r="M26" s="1285">
        <f t="shared" si="3"/>
        <v>334.84945565846249</v>
      </c>
      <c r="N26" s="928">
        <f t="shared" si="1"/>
        <v>454805.58000000007</v>
      </c>
      <c r="O26" s="928">
        <f t="shared" si="2"/>
        <v>63454.749485432323</v>
      </c>
      <c r="P26" s="1273" t="s">
        <v>1577</v>
      </c>
      <c r="Q26" s="1274"/>
      <c r="R26" s="1274"/>
      <c r="S26" s="883">
        <f t="shared" si="4"/>
        <v>63454.749485432323</v>
      </c>
      <c r="T26" s="1275"/>
      <c r="V26" s="1275"/>
      <c r="W26" s="1275"/>
      <c r="X26" s="1275"/>
      <c r="Y26" s="1275"/>
      <c r="Z26" s="1275"/>
      <c r="AA26" s="1275"/>
      <c r="AB26" s="1275"/>
      <c r="AC26" s="1275"/>
    </row>
    <row r="27" spans="1:29" s="1276" customFormat="1" ht="11.25" customHeight="1">
      <c r="A27" s="1269"/>
      <c r="B27" s="1270">
        <v>45855</v>
      </c>
      <c r="C27" s="1277" t="s">
        <v>250</v>
      </c>
      <c r="D27" s="1271"/>
      <c r="E27" s="1206">
        <v>12</v>
      </c>
      <c r="F27" s="1286" t="s">
        <v>107</v>
      </c>
      <c r="G27" s="1287"/>
      <c r="H27" s="1272"/>
      <c r="I27" s="1272"/>
      <c r="J27" s="1272"/>
      <c r="K27" s="919">
        <v>3.6</v>
      </c>
      <c r="L27" s="542">
        <f>'통장내역(환율표)'!$D$5</f>
        <v>7.1674000343842152</v>
      </c>
      <c r="M27" s="1285">
        <f t="shared" si="3"/>
        <v>0.50227418348769381</v>
      </c>
      <c r="N27" s="928">
        <f t="shared" si="1"/>
        <v>454801.9800000001</v>
      </c>
      <c r="O27" s="928">
        <f t="shared" si="2"/>
        <v>63454.247211248832</v>
      </c>
      <c r="P27" s="1273"/>
      <c r="Q27" s="1274"/>
      <c r="R27" s="1274"/>
      <c r="S27" s="883">
        <f t="shared" si="4"/>
        <v>63454.247211248832</v>
      </c>
      <c r="T27" s="1275"/>
      <c r="V27" s="1275"/>
      <c r="W27" s="1275"/>
      <c r="X27" s="1275"/>
      <c r="Y27" s="1275"/>
      <c r="Z27" s="1275"/>
      <c r="AA27" s="1275"/>
      <c r="AB27" s="1275"/>
      <c r="AC27" s="1275"/>
    </row>
    <row r="28" spans="1:29" s="1276" customFormat="1" ht="12" customHeight="1">
      <c r="A28" s="1269"/>
      <c r="B28" s="1270">
        <v>45860</v>
      </c>
      <c r="C28" s="1277" t="s">
        <v>1583</v>
      </c>
      <c r="D28" s="1271"/>
      <c r="E28" s="1206">
        <v>13</v>
      </c>
      <c r="F28" s="1286" t="s">
        <v>107</v>
      </c>
      <c r="G28" s="1287"/>
      <c r="H28" s="1272"/>
      <c r="I28" s="1278"/>
      <c r="J28" s="1272"/>
      <c r="K28" s="919">
        <f>15655+12625</f>
        <v>28280</v>
      </c>
      <c r="L28" s="542">
        <f>'통장내역(환율표)'!$D$5</f>
        <v>7.1674000343842152</v>
      </c>
      <c r="M28" s="1285">
        <f t="shared" si="3"/>
        <v>3945.6427525088834</v>
      </c>
      <c r="N28" s="928">
        <f t="shared" si="1"/>
        <v>426521.9800000001</v>
      </c>
      <c r="O28" s="928">
        <f t="shared" si="2"/>
        <v>59508.604458739952</v>
      </c>
      <c r="P28" s="1273"/>
      <c r="Q28" s="1274"/>
      <c r="R28" s="1274"/>
      <c r="S28" s="883">
        <f t="shared" si="4"/>
        <v>59508.604458739952</v>
      </c>
      <c r="T28" s="1275"/>
      <c r="V28" s="1275"/>
      <c r="W28" s="1275"/>
      <c r="X28" s="1275"/>
      <c r="Y28" s="1275"/>
      <c r="Z28" s="1275"/>
      <c r="AA28" s="1275"/>
      <c r="AB28" s="1275"/>
      <c r="AC28" s="1275"/>
    </row>
    <row r="29" spans="1:29" s="1276" customFormat="1" ht="12" customHeight="1">
      <c r="A29" s="1269"/>
      <c r="B29" s="1270">
        <v>45860</v>
      </c>
      <c r="C29" s="1277" t="s">
        <v>250</v>
      </c>
      <c r="D29" s="1271"/>
      <c r="E29" s="1206">
        <v>14</v>
      </c>
      <c r="F29" s="1286" t="s">
        <v>107</v>
      </c>
      <c r="G29" s="1287"/>
      <c r="H29" s="1272"/>
      <c r="I29" s="1278"/>
      <c r="J29" s="1272"/>
      <c r="K29" s="919">
        <v>7.2</v>
      </c>
      <c r="L29" s="542">
        <f>'통장내역(환율표)'!$D$5</f>
        <v>7.1674000343842152</v>
      </c>
      <c r="M29" s="1285">
        <f t="shared" si="3"/>
        <v>1.0045483669753876</v>
      </c>
      <c r="N29" s="928">
        <f t="shared" si="1"/>
        <v>426514.78000000009</v>
      </c>
      <c r="O29" s="928">
        <f t="shared" si="2"/>
        <v>59507.599910372977</v>
      </c>
      <c r="P29" s="1273"/>
      <c r="Q29" s="1274"/>
      <c r="R29" s="1274"/>
      <c r="S29" s="883">
        <f t="shared" si="4"/>
        <v>59507.599910372977</v>
      </c>
      <c r="T29" s="1275"/>
      <c r="V29" s="1275"/>
      <c r="W29" s="1275"/>
      <c r="X29" s="1275"/>
      <c r="Y29" s="1275"/>
      <c r="Z29" s="1275"/>
      <c r="AA29" s="1275"/>
      <c r="AB29" s="1275"/>
      <c r="AC29" s="1275"/>
    </row>
    <row r="30" spans="1:29" s="1276" customFormat="1" ht="12" customHeight="1">
      <c r="A30" s="1269"/>
      <c r="B30" s="1270">
        <v>45862</v>
      </c>
      <c r="C30" s="1288" t="s">
        <v>1462</v>
      </c>
      <c r="D30" s="1271"/>
      <c r="E30" s="1206">
        <v>15</v>
      </c>
      <c r="F30" s="1286" t="s">
        <v>107</v>
      </c>
      <c r="G30" s="1287"/>
      <c r="H30" s="1272"/>
      <c r="I30" s="1278"/>
      <c r="J30" s="1272"/>
      <c r="K30" s="919">
        <v>225204.15</v>
      </c>
      <c r="L30" s="542">
        <f>'통장내역(환율표)'!$D$5</f>
        <v>7.1674000343842152</v>
      </c>
      <c r="M30" s="1285">
        <f t="shared" si="3"/>
        <v>31420.619599802809</v>
      </c>
      <c r="N30" s="928">
        <f t="shared" si="1"/>
        <v>201310.63000000009</v>
      </c>
      <c r="O30" s="928">
        <f t="shared" si="2"/>
        <v>28086.980310570169</v>
      </c>
      <c r="P30" s="1273"/>
      <c r="Q30" s="1274"/>
      <c r="R30" s="1274"/>
      <c r="S30" s="883">
        <f t="shared" si="4"/>
        <v>28086.980310570169</v>
      </c>
      <c r="T30" s="1275"/>
      <c r="V30" s="1275"/>
      <c r="W30" s="1275"/>
      <c r="X30" s="1275"/>
      <c r="Y30" s="1275"/>
      <c r="Z30" s="1275"/>
      <c r="AA30" s="1275"/>
      <c r="AB30" s="1275"/>
      <c r="AC30" s="1275"/>
    </row>
    <row r="31" spans="1:29" s="1276" customFormat="1" ht="12" customHeight="1">
      <c r="A31" s="1269"/>
      <c r="B31" s="1270">
        <v>45862</v>
      </c>
      <c r="C31" s="1288" t="s">
        <v>862</v>
      </c>
      <c r="D31" s="1271"/>
      <c r="E31" s="1206">
        <v>16</v>
      </c>
      <c r="F31" s="1286" t="s">
        <v>107</v>
      </c>
      <c r="G31" s="1287"/>
      <c r="H31" s="1272"/>
      <c r="I31" s="1278"/>
      <c r="J31" s="1272"/>
      <c r="K31" s="919">
        <v>12</v>
      </c>
      <c r="L31" s="542">
        <f>'통장내역(환율표)'!$D$5</f>
        <v>7.1674000343842152</v>
      </c>
      <c r="M31" s="1285">
        <f t="shared" si="3"/>
        <v>1.6742472782923126</v>
      </c>
      <c r="N31" s="928">
        <f t="shared" si="1"/>
        <v>201298.63000000009</v>
      </c>
      <c r="O31" s="928">
        <f t="shared" si="2"/>
        <v>28085.306063291875</v>
      </c>
      <c r="P31" s="1273"/>
      <c r="Q31" s="1274"/>
      <c r="R31" s="1274"/>
      <c r="S31" s="883">
        <f t="shared" si="4"/>
        <v>28085.306063291875</v>
      </c>
      <c r="T31" s="1275"/>
      <c r="V31" s="1275"/>
      <c r="W31" s="1275"/>
      <c r="X31" s="1275"/>
      <c r="Y31" s="1275"/>
      <c r="Z31" s="1275"/>
      <c r="AA31" s="1275"/>
      <c r="AB31" s="1275"/>
      <c r="AC31" s="1275"/>
    </row>
    <row r="32" spans="1:29" s="1276" customFormat="1" ht="12" customHeight="1">
      <c r="A32" s="1269"/>
      <c r="B32" s="1270">
        <v>45862</v>
      </c>
      <c r="C32" s="1288" t="s">
        <v>305</v>
      </c>
      <c r="D32" s="1271"/>
      <c r="E32" s="1206">
        <v>17</v>
      </c>
      <c r="F32" s="1286" t="s">
        <v>105</v>
      </c>
      <c r="G32" s="1287" t="s">
        <v>227</v>
      </c>
      <c r="H32" s="1272"/>
      <c r="I32" s="1278"/>
      <c r="J32" s="1272"/>
      <c r="K32" s="919">
        <v>7000</v>
      </c>
      <c r="L32" s="542">
        <f>'통장내역(환율표)'!$D$5</f>
        <v>7.1674000343842152</v>
      </c>
      <c r="M32" s="1285">
        <f t="shared" si="3"/>
        <v>976.64424567051572</v>
      </c>
      <c r="N32" s="928">
        <f t="shared" si="1"/>
        <v>194298.63000000009</v>
      </c>
      <c r="O32" s="928">
        <f t="shared" si="2"/>
        <v>27108.66181762136</v>
      </c>
      <c r="P32" s="1273"/>
      <c r="Q32" s="1274"/>
      <c r="R32" s="1274"/>
      <c r="S32" s="883">
        <f t="shared" si="4"/>
        <v>27108.66181762136</v>
      </c>
      <c r="T32" s="1275"/>
      <c r="V32" s="1275"/>
      <c r="W32" s="1275"/>
      <c r="X32" s="1275"/>
      <c r="Y32" s="1275"/>
      <c r="Z32" s="1275"/>
      <c r="AA32" s="1275"/>
      <c r="AB32" s="1275"/>
      <c r="AC32" s="1275"/>
    </row>
    <row r="33" spans="1:29" s="1276" customFormat="1" ht="12" customHeight="1">
      <c r="A33" s="1269"/>
      <c r="B33" s="1270">
        <v>45862</v>
      </c>
      <c r="C33" s="1288" t="s">
        <v>1107</v>
      </c>
      <c r="D33" s="1271"/>
      <c r="E33" s="1206">
        <v>17</v>
      </c>
      <c r="F33" s="1286" t="s">
        <v>107</v>
      </c>
      <c r="G33" s="1287"/>
      <c r="H33" s="1272"/>
      <c r="I33" s="1278"/>
      <c r="J33" s="1272"/>
      <c r="K33" s="919">
        <v>6000</v>
      </c>
      <c r="L33" s="542">
        <f>'통장내역(환율표)'!$D$5</f>
        <v>7.1674000343842152</v>
      </c>
      <c r="M33" s="1285">
        <f t="shared" si="3"/>
        <v>837.12363914615628</v>
      </c>
      <c r="N33" s="928">
        <f t="shared" si="1"/>
        <v>188298.63000000009</v>
      </c>
      <c r="O33" s="928">
        <f t="shared" si="2"/>
        <v>26271.538178475203</v>
      </c>
      <c r="P33" s="1273"/>
      <c r="Q33" s="1274"/>
      <c r="R33" s="1274"/>
      <c r="S33" s="883">
        <f t="shared" si="4"/>
        <v>26271.538178475203</v>
      </c>
      <c r="T33" s="1275"/>
      <c r="V33" s="1275"/>
      <c r="W33" s="1275"/>
      <c r="X33" s="1275"/>
      <c r="Y33" s="1275"/>
      <c r="Z33" s="1275"/>
      <c r="AA33" s="1275"/>
      <c r="AB33" s="1275"/>
      <c r="AC33" s="1275"/>
    </row>
    <row r="34" spans="1:29" s="1276" customFormat="1" ht="12" customHeight="1">
      <c r="A34" s="1269"/>
      <c r="B34" s="1270">
        <v>45862</v>
      </c>
      <c r="C34" s="1288" t="s">
        <v>1108</v>
      </c>
      <c r="D34" s="1271"/>
      <c r="E34" s="1206">
        <v>17</v>
      </c>
      <c r="F34" s="1286" t="s">
        <v>107</v>
      </c>
      <c r="G34" s="1287"/>
      <c r="H34" s="1272"/>
      <c r="I34" s="1278"/>
      <c r="J34" s="1272"/>
      <c r="K34" s="919">
        <v>490</v>
      </c>
      <c r="L34" s="542">
        <f>'통장내역(환율표)'!$D$5</f>
        <v>7.1674000343842152</v>
      </c>
      <c r="M34" s="1285">
        <f t="shared" si="3"/>
        <v>68.365097196936091</v>
      </c>
      <c r="N34" s="928">
        <f t="shared" si="1"/>
        <v>187808.63000000009</v>
      </c>
      <c r="O34" s="928">
        <f t="shared" si="2"/>
        <v>26203.173081278266</v>
      </c>
      <c r="P34" s="1273"/>
      <c r="Q34" s="1274"/>
      <c r="R34" s="1274"/>
      <c r="S34" s="883">
        <f t="shared" si="4"/>
        <v>26203.173081278266</v>
      </c>
      <c r="T34" s="1275"/>
      <c r="V34" s="1275"/>
      <c r="W34" s="1275"/>
      <c r="X34" s="1275"/>
      <c r="Y34" s="1275"/>
      <c r="Z34" s="1275"/>
      <c r="AA34" s="1275"/>
      <c r="AB34" s="1275"/>
      <c r="AC34" s="1275"/>
    </row>
    <row r="35" spans="1:29" s="1276" customFormat="1" ht="12" customHeight="1">
      <c r="A35" s="1269"/>
      <c r="B35" s="1270">
        <v>45862</v>
      </c>
      <c r="C35" s="1288" t="s">
        <v>305</v>
      </c>
      <c r="D35" s="1271"/>
      <c r="E35" s="1206">
        <v>17</v>
      </c>
      <c r="F35" s="1286" t="s">
        <v>105</v>
      </c>
      <c r="G35" s="1287" t="s">
        <v>227</v>
      </c>
      <c r="H35" s="1272"/>
      <c r="I35" s="1278"/>
      <c r="J35" s="1272"/>
      <c r="K35" s="919">
        <v>7000</v>
      </c>
      <c r="L35" s="542">
        <f>'통장내역(환율표)'!$D$5</f>
        <v>7.1674000343842152</v>
      </c>
      <c r="M35" s="1285">
        <f t="shared" si="3"/>
        <v>976.64424567051572</v>
      </c>
      <c r="N35" s="928">
        <f t="shared" si="1"/>
        <v>180808.63000000009</v>
      </c>
      <c r="O35" s="928">
        <f t="shared" si="2"/>
        <v>25226.528835607751</v>
      </c>
      <c r="P35" s="1273"/>
      <c r="Q35" s="1274"/>
      <c r="R35" s="1274"/>
      <c r="S35" s="883">
        <f t="shared" si="4"/>
        <v>25226.528835607751</v>
      </c>
      <c r="T35" s="1275"/>
      <c r="V35" s="1275"/>
      <c r="W35" s="1275"/>
      <c r="X35" s="1275"/>
      <c r="Y35" s="1275"/>
      <c r="Z35" s="1275"/>
      <c r="AA35" s="1275"/>
      <c r="AB35" s="1275"/>
      <c r="AC35" s="1275"/>
    </row>
    <row r="36" spans="1:29" s="1276" customFormat="1" ht="12" customHeight="1">
      <c r="A36" s="1269"/>
      <c r="B36" s="1270">
        <v>45862</v>
      </c>
      <c r="C36" s="1288" t="s">
        <v>1107</v>
      </c>
      <c r="D36" s="1271"/>
      <c r="E36" s="1206">
        <v>17</v>
      </c>
      <c r="F36" s="1286" t="s">
        <v>107</v>
      </c>
      <c r="G36" s="1287"/>
      <c r="H36" s="1272"/>
      <c r="I36" s="1278"/>
      <c r="J36" s="1272"/>
      <c r="K36" s="919">
        <v>6000</v>
      </c>
      <c r="L36" s="542">
        <f>'통장내역(환율표)'!$D$5</f>
        <v>7.1674000343842152</v>
      </c>
      <c r="M36" s="1285">
        <f t="shared" si="3"/>
        <v>837.12363914615628</v>
      </c>
      <c r="N36" s="928">
        <f t="shared" si="1"/>
        <v>174808.63000000009</v>
      </c>
      <c r="O36" s="928">
        <f t="shared" si="2"/>
        <v>24389.405196461594</v>
      </c>
      <c r="P36" s="1273"/>
      <c r="Q36" s="1274"/>
      <c r="R36" s="1274"/>
      <c r="S36" s="883">
        <f t="shared" si="4"/>
        <v>24389.405196461594</v>
      </c>
      <c r="T36" s="1275"/>
      <c r="V36" s="1275"/>
      <c r="W36" s="1275"/>
      <c r="X36" s="1275"/>
      <c r="Y36" s="1275"/>
      <c r="Z36" s="1275"/>
      <c r="AA36" s="1275"/>
      <c r="AB36" s="1275"/>
      <c r="AC36" s="1275"/>
    </row>
    <row r="37" spans="1:29" s="1276" customFormat="1" ht="12" customHeight="1">
      <c r="A37" s="1269"/>
      <c r="B37" s="1270">
        <v>45862</v>
      </c>
      <c r="C37" s="1288" t="s">
        <v>1108</v>
      </c>
      <c r="D37" s="1271"/>
      <c r="E37" s="1206">
        <v>17</v>
      </c>
      <c r="F37" s="1286" t="s">
        <v>107</v>
      </c>
      <c r="G37" s="1287"/>
      <c r="H37" s="1272"/>
      <c r="I37" s="1278"/>
      <c r="J37" s="1272"/>
      <c r="K37" s="919">
        <v>920</v>
      </c>
      <c r="L37" s="542">
        <f>'통장내역(환율표)'!$D$5</f>
        <v>7.1674000343842152</v>
      </c>
      <c r="M37" s="1285">
        <f t="shared" si="3"/>
        <v>128.35895800241065</v>
      </c>
      <c r="N37" s="928">
        <f t="shared" si="1"/>
        <v>173888.63000000009</v>
      </c>
      <c r="O37" s="928">
        <f t="shared" si="2"/>
        <v>24261.046238459185</v>
      </c>
      <c r="P37" s="1273"/>
      <c r="Q37" s="1274"/>
      <c r="R37" s="1274"/>
      <c r="S37" s="883">
        <f t="shared" si="4"/>
        <v>24261.046238459185</v>
      </c>
      <c r="T37" s="1275"/>
      <c r="V37" s="1275"/>
      <c r="W37" s="1275"/>
      <c r="X37" s="1275"/>
      <c r="Y37" s="1275"/>
      <c r="Z37" s="1275"/>
      <c r="AA37" s="1275"/>
      <c r="AB37" s="1275"/>
      <c r="AC37" s="1275"/>
    </row>
    <row r="38" spans="1:29" s="1276" customFormat="1" ht="12" customHeight="1">
      <c r="A38" s="1269"/>
      <c r="B38" s="1270">
        <v>45862</v>
      </c>
      <c r="C38" s="1288" t="s">
        <v>305</v>
      </c>
      <c r="D38" s="1271"/>
      <c r="E38" s="1206">
        <v>17</v>
      </c>
      <c r="F38" s="1286" t="s">
        <v>105</v>
      </c>
      <c r="G38" s="1287" t="s">
        <v>227</v>
      </c>
      <c r="H38" s="1272"/>
      <c r="I38" s="1278"/>
      <c r="J38" s="1272"/>
      <c r="K38" s="919">
        <v>6000</v>
      </c>
      <c r="L38" s="542">
        <f>'통장내역(환율표)'!$D$5</f>
        <v>7.1674000343842152</v>
      </c>
      <c r="M38" s="1285">
        <f t="shared" si="3"/>
        <v>837.12363914615628</v>
      </c>
      <c r="N38" s="928">
        <f t="shared" si="1"/>
        <v>167888.63000000009</v>
      </c>
      <c r="O38" s="928">
        <f t="shared" si="2"/>
        <v>23423.922599313028</v>
      </c>
      <c r="P38" s="1273"/>
      <c r="Q38" s="1274"/>
      <c r="R38" s="1274"/>
      <c r="S38" s="883">
        <f t="shared" si="4"/>
        <v>23423.922599313028</v>
      </c>
      <c r="T38" s="1275"/>
      <c r="V38" s="1275"/>
      <c r="W38" s="1275"/>
      <c r="X38" s="1275"/>
      <c r="Y38" s="1275"/>
      <c r="Z38" s="1275"/>
      <c r="AA38" s="1275"/>
      <c r="AB38" s="1275"/>
      <c r="AC38" s="1275"/>
    </row>
    <row r="39" spans="1:29" s="1276" customFormat="1" ht="12" customHeight="1">
      <c r="A39" s="1269"/>
      <c r="B39" s="1270">
        <v>45862</v>
      </c>
      <c r="C39" s="1288" t="s">
        <v>1107</v>
      </c>
      <c r="D39" s="1271"/>
      <c r="E39" s="1206">
        <v>17</v>
      </c>
      <c r="F39" s="1286" t="s">
        <v>107</v>
      </c>
      <c r="G39" s="1287"/>
      <c r="H39" s="1272"/>
      <c r="I39" s="1278"/>
      <c r="J39" s="1272"/>
      <c r="K39" s="919">
        <v>6000</v>
      </c>
      <c r="L39" s="542">
        <f>'통장내역(환율표)'!$D$5</f>
        <v>7.1674000343842152</v>
      </c>
      <c r="M39" s="1285">
        <f t="shared" si="3"/>
        <v>837.12363914615628</v>
      </c>
      <c r="N39" s="928">
        <f t="shared" si="1"/>
        <v>161888.63000000009</v>
      </c>
      <c r="O39" s="928">
        <f t="shared" si="2"/>
        <v>22586.798960166871</v>
      </c>
      <c r="P39" s="1273"/>
      <c r="Q39" s="1274"/>
      <c r="R39" s="1274"/>
      <c r="S39" s="883">
        <f t="shared" si="4"/>
        <v>22586.798960166871</v>
      </c>
      <c r="T39" s="1275"/>
      <c r="V39" s="1275"/>
      <c r="W39" s="1275"/>
      <c r="X39" s="1275"/>
      <c r="Y39" s="1275"/>
      <c r="Z39" s="1275"/>
      <c r="AA39" s="1275"/>
      <c r="AB39" s="1275"/>
      <c r="AC39" s="1275"/>
    </row>
    <row r="40" spans="1:29" s="1276" customFormat="1" ht="12" customHeight="1">
      <c r="A40" s="1269"/>
      <c r="B40" s="1270">
        <v>45862</v>
      </c>
      <c r="C40" s="1288" t="s">
        <v>1108</v>
      </c>
      <c r="D40" s="1271"/>
      <c r="E40" s="1206">
        <v>17</v>
      </c>
      <c r="F40" s="1286" t="s">
        <v>107</v>
      </c>
      <c r="G40" s="1287"/>
      <c r="H40" s="1272"/>
      <c r="I40" s="1278"/>
      <c r="J40" s="1272"/>
      <c r="K40" s="919">
        <v>200</v>
      </c>
      <c r="L40" s="542">
        <f>'통장내역(환율표)'!$D$5</f>
        <v>7.1674000343842152</v>
      </c>
      <c r="M40" s="1285">
        <f t="shared" si="3"/>
        <v>27.904121304871875</v>
      </c>
      <c r="N40" s="928">
        <f t="shared" si="1"/>
        <v>161688.63000000009</v>
      </c>
      <c r="O40" s="928">
        <f t="shared" si="2"/>
        <v>22558.894838861997</v>
      </c>
      <c r="P40" s="1273"/>
      <c r="Q40" s="1274"/>
      <c r="R40" s="1274"/>
      <c r="S40" s="883">
        <f t="shared" si="4"/>
        <v>22558.894838861997</v>
      </c>
      <c r="T40" s="1275"/>
      <c r="V40" s="1275"/>
      <c r="W40" s="1275"/>
      <c r="X40" s="1275"/>
      <c r="Y40" s="1275"/>
      <c r="Z40" s="1275"/>
      <c r="AA40" s="1275"/>
      <c r="AB40" s="1275"/>
      <c r="AC40" s="1275"/>
    </row>
    <row r="41" spans="1:29" s="1276" customFormat="1" ht="12" customHeight="1">
      <c r="A41" s="1269"/>
      <c r="B41" s="1270">
        <v>45862</v>
      </c>
      <c r="C41" s="1288" t="s">
        <v>250</v>
      </c>
      <c r="D41" s="1271"/>
      <c r="E41" s="1206">
        <v>18</v>
      </c>
      <c r="F41" s="1286" t="s">
        <v>107</v>
      </c>
      <c r="G41" s="1287"/>
      <c r="H41" s="1272"/>
      <c r="I41" s="1278"/>
      <c r="J41" s="1272"/>
      <c r="K41" s="919">
        <v>7.2</v>
      </c>
      <c r="L41" s="542">
        <f>'통장내역(환율표)'!$D$5</f>
        <v>7.1674000343842152</v>
      </c>
      <c r="M41" s="1285">
        <f t="shared" si="3"/>
        <v>1.0045483669753876</v>
      </c>
      <c r="N41" s="928">
        <f t="shared" si="1"/>
        <v>161681.43000000008</v>
      </c>
      <c r="O41" s="928">
        <f t="shared" si="2"/>
        <v>22557.890290495023</v>
      </c>
      <c r="P41" s="1273"/>
      <c r="Q41" s="1274"/>
      <c r="R41" s="1274"/>
      <c r="S41" s="883">
        <f t="shared" si="4"/>
        <v>22557.890290495023</v>
      </c>
      <c r="T41" s="1275"/>
      <c r="V41" s="1275"/>
      <c r="W41" s="1275"/>
      <c r="X41" s="1275"/>
      <c r="Y41" s="1275"/>
      <c r="Z41" s="1275"/>
      <c r="AA41" s="1275"/>
      <c r="AB41" s="1275"/>
      <c r="AC41" s="1275"/>
    </row>
    <row r="42" spans="1:29" s="1276" customFormat="1" ht="12" customHeight="1">
      <c r="A42" s="1269"/>
      <c r="B42" s="1270">
        <v>45862</v>
      </c>
      <c r="C42" s="1277" t="s">
        <v>1461</v>
      </c>
      <c r="D42" s="1271" t="s">
        <v>188</v>
      </c>
      <c r="E42" s="1206">
        <v>19</v>
      </c>
      <c r="F42" s="1286" t="s">
        <v>116</v>
      </c>
      <c r="G42" s="1287" t="s">
        <v>140</v>
      </c>
      <c r="H42" s="1272"/>
      <c r="I42" s="1278"/>
      <c r="J42" s="1272"/>
      <c r="K42" s="919">
        <v>716.8</v>
      </c>
      <c r="L42" s="542">
        <f>'통장내역(환율표)'!$D$5</f>
        <v>7.1674000343842152</v>
      </c>
      <c r="M42" s="1285">
        <f t="shared" si="3"/>
        <v>100.0083707566608</v>
      </c>
      <c r="N42" s="928">
        <f t="shared" si="1"/>
        <v>160964.63000000009</v>
      </c>
      <c r="O42" s="928">
        <f t="shared" si="2"/>
        <v>22457.881919738364</v>
      </c>
      <c r="P42" s="1273"/>
      <c r="Q42" s="1274"/>
      <c r="R42" s="1274"/>
      <c r="S42" s="883">
        <f t="shared" si="4"/>
        <v>22457.881919738364</v>
      </c>
      <c r="T42" s="1275"/>
      <c r="V42" s="1275"/>
      <c r="W42" s="1275"/>
      <c r="X42" s="1275"/>
      <c r="Y42" s="1275"/>
      <c r="Z42" s="1275"/>
      <c r="AA42" s="1275"/>
      <c r="AB42" s="1275"/>
      <c r="AC42" s="1275"/>
    </row>
    <row r="43" spans="1:29" s="1276" customFormat="1" ht="12" customHeight="1">
      <c r="A43" s="1269"/>
      <c r="B43" s="1270">
        <v>45862</v>
      </c>
      <c r="C43" s="1277" t="s">
        <v>1459</v>
      </c>
      <c r="D43" s="1271" t="s">
        <v>188</v>
      </c>
      <c r="E43" s="1206">
        <v>20</v>
      </c>
      <c r="F43" s="1286" t="s">
        <v>125</v>
      </c>
      <c r="G43" s="1287" t="s">
        <v>145</v>
      </c>
      <c r="H43" s="1272"/>
      <c r="I43" s="1272"/>
      <c r="J43" s="1272"/>
      <c r="K43" s="919">
        <v>4255</v>
      </c>
      <c r="L43" s="542">
        <f>'통장내역(환율표)'!$D$5</f>
        <v>7.1674000343842152</v>
      </c>
      <c r="M43" s="1285">
        <f t="shared" si="3"/>
        <v>593.66018076114915</v>
      </c>
      <c r="N43" s="928">
        <f t="shared" si="1"/>
        <v>156709.63000000009</v>
      </c>
      <c r="O43" s="928">
        <f t="shared" si="2"/>
        <v>21864.221738977216</v>
      </c>
      <c r="P43" s="1273"/>
      <c r="Q43" s="1274"/>
      <c r="R43" s="1274"/>
      <c r="S43" s="883">
        <f t="shared" si="4"/>
        <v>21864.221738977216</v>
      </c>
      <c r="T43" s="1275"/>
      <c r="V43" s="1275"/>
      <c r="W43" s="1275"/>
      <c r="X43" s="1275"/>
      <c r="Y43" s="1275"/>
      <c r="Z43" s="1275"/>
      <c r="AA43" s="1275"/>
      <c r="AB43" s="1275"/>
      <c r="AC43" s="1275"/>
    </row>
    <row r="44" spans="1:29" s="1276" customFormat="1" ht="12" customHeight="1">
      <c r="A44" s="1269"/>
      <c r="B44" s="1270">
        <v>45862</v>
      </c>
      <c r="C44" s="1277" t="s">
        <v>1451</v>
      </c>
      <c r="D44" s="1271" t="s">
        <v>188</v>
      </c>
      <c r="E44" s="1206">
        <v>21</v>
      </c>
      <c r="F44" s="1286" t="s">
        <v>146</v>
      </c>
      <c r="G44" s="1287" t="s">
        <v>147</v>
      </c>
      <c r="H44" s="1272"/>
      <c r="I44" s="1272"/>
      <c r="J44" s="1272"/>
      <c r="K44" s="919">
        <v>340.12</v>
      </c>
      <c r="L44" s="542">
        <f>'통장내역(환율표)'!$D$5</f>
        <v>7.1674000343842152</v>
      </c>
      <c r="M44" s="1285">
        <f t="shared" si="3"/>
        <v>47.453748691065115</v>
      </c>
      <c r="N44" s="928">
        <f t="shared" si="1"/>
        <v>156369.5100000001</v>
      </c>
      <c r="O44" s="928">
        <f t="shared" si="2"/>
        <v>21816.767990286149</v>
      </c>
      <c r="P44" s="1273"/>
      <c r="Q44" s="1274"/>
      <c r="R44" s="1274"/>
      <c r="S44" s="883">
        <f t="shared" si="4"/>
        <v>21816.767990286149</v>
      </c>
      <c r="T44" s="1275"/>
      <c r="V44" s="1275"/>
      <c r="W44" s="1275"/>
      <c r="X44" s="1275"/>
      <c r="Y44" s="1275"/>
      <c r="Z44" s="1275"/>
      <c r="AA44" s="1275"/>
      <c r="AB44" s="1275"/>
      <c r="AC44" s="1275"/>
    </row>
    <row r="45" spans="1:29" s="1276" customFormat="1" ht="12" customHeight="1">
      <c r="A45" s="1269"/>
      <c r="B45" s="1270">
        <v>45862</v>
      </c>
      <c r="C45" s="1277" t="s">
        <v>1403</v>
      </c>
      <c r="D45" s="1271" t="s">
        <v>188</v>
      </c>
      <c r="E45" s="1206">
        <v>22</v>
      </c>
      <c r="F45" s="1286" t="s">
        <v>146</v>
      </c>
      <c r="G45" s="1287" t="s">
        <v>147</v>
      </c>
      <c r="H45" s="1272"/>
      <c r="I45" s="1272"/>
      <c r="J45" s="1272"/>
      <c r="K45" s="919">
        <v>10336.67</v>
      </c>
      <c r="L45" s="542">
        <f>'통장내역(환율표)'!$D$5</f>
        <v>7.1674000343842152</v>
      </c>
      <c r="M45" s="1285">
        <f t="shared" si="3"/>
        <v>1442.17846784215</v>
      </c>
      <c r="N45" s="928">
        <f t="shared" si="1"/>
        <v>146032.84000000008</v>
      </c>
      <c r="O45" s="928">
        <f t="shared" si="2"/>
        <v>20374.589522443999</v>
      </c>
      <c r="P45" s="1273"/>
      <c r="Q45" s="1274"/>
      <c r="R45" s="1274"/>
      <c r="S45" s="883">
        <f t="shared" si="4"/>
        <v>20374.589522443999</v>
      </c>
      <c r="T45" s="1275"/>
      <c r="V45" s="1275"/>
      <c r="W45" s="1275"/>
      <c r="X45" s="1275"/>
      <c r="Y45" s="1275"/>
      <c r="Z45" s="1275"/>
      <c r="AA45" s="1275"/>
      <c r="AB45" s="1275"/>
      <c r="AC45" s="1275"/>
    </row>
    <row r="46" spans="1:29" s="1276" customFormat="1" ht="12" customHeight="1">
      <c r="A46" s="1269"/>
      <c r="B46" s="1270">
        <v>45862</v>
      </c>
      <c r="C46" s="1277" t="s">
        <v>1405</v>
      </c>
      <c r="D46" s="1271" t="s">
        <v>188</v>
      </c>
      <c r="E46" s="1206">
        <v>23</v>
      </c>
      <c r="F46" s="1286" t="s">
        <v>107</v>
      </c>
      <c r="G46" s="1287"/>
      <c r="H46" s="1272"/>
      <c r="I46" s="1272"/>
      <c r="J46" s="1272"/>
      <c r="K46" s="919">
        <v>327.98</v>
      </c>
      <c r="L46" s="542">
        <f>'통장내역(환율표)'!$D$5</f>
        <v>7.1674000343842152</v>
      </c>
      <c r="M46" s="1285">
        <f t="shared" si="3"/>
        <v>45.759968527859392</v>
      </c>
      <c r="N46" s="928">
        <f t="shared" si="1"/>
        <v>145704.86000000007</v>
      </c>
      <c r="O46" s="928">
        <f t="shared" si="2"/>
        <v>20328.829553916141</v>
      </c>
      <c r="P46" s="1273"/>
      <c r="Q46" s="1274"/>
      <c r="R46" s="1274"/>
      <c r="S46" s="883">
        <f t="shared" si="4"/>
        <v>20328.829553916141</v>
      </c>
      <c r="T46" s="1275"/>
      <c r="V46" s="1275"/>
      <c r="W46" s="1275"/>
      <c r="X46" s="1275"/>
      <c r="Y46" s="1275"/>
      <c r="Z46" s="1275"/>
      <c r="AA46" s="1275"/>
      <c r="AB46" s="1275"/>
      <c r="AC46" s="1275"/>
    </row>
    <row r="47" spans="1:29" s="1276" customFormat="1" ht="12" customHeight="1">
      <c r="A47" s="1269"/>
      <c r="B47" s="1270">
        <v>45862</v>
      </c>
      <c r="C47" s="1277" t="s">
        <v>1510</v>
      </c>
      <c r="D47" s="1271" t="s">
        <v>188</v>
      </c>
      <c r="E47" s="1206">
        <v>24</v>
      </c>
      <c r="F47" s="1286" t="s">
        <v>21</v>
      </c>
      <c r="G47" s="1287"/>
      <c r="H47" s="1272"/>
      <c r="I47" s="1272"/>
      <c r="J47" s="1272"/>
      <c r="K47" s="919">
        <f>390.2</f>
        <v>390.2</v>
      </c>
      <c r="L47" s="542">
        <f>'통장내역(환율표)'!$D$5</f>
        <v>7.1674000343842152</v>
      </c>
      <c r="M47" s="1285">
        <f t="shared" si="3"/>
        <v>54.44094066580503</v>
      </c>
      <c r="N47" s="928">
        <f t="shared" si="1"/>
        <v>145314.66000000006</v>
      </c>
      <c r="O47" s="928">
        <f t="shared" si="2"/>
        <v>20274.388613250336</v>
      </c>
      <c r="Q47" s="1274"/>
      <c r="R47" s="1274"/>
      <c r="S47" s="883">
        <f t="shared" si="4"/>
        <v>20274.388613250336</v>
      </c>
      <c r="T47" s="1275"/>
      <c r="V47" s="1275"/>
      <c r="W47" s="1275"/>
      <c r="X47" s="1275"/>
      <c r="Y47" s="1275"/>
      <c r="Z47" s="1275"/>
      <c r="AA47" s="1275"/>
      <c r="AB47" s="1275"/>
      <c r="AC47" s="1275"/>
    </row>
    <row r="48" spans="1:29" s="1276" customFormat="1" ht="12" customHeight="1">
      <c r="A48" s="1269"/>
      <c r="B48" s="1270">
        <v>45862</v>
      </c>
      <c r="C48" s="1277" t="s">
        <v>862</v>
      </c>
      <c r="D48" s="1271" t="s">
        <v>188</v>
      </c>
      <c r="E48" s="1206">
        <v>25</v>
      </c>
      <c r="F48" s="1286" t="s">
        <v>107</v>
      </c>
      <c r="G48" s="1287"/>
      <c r="H48" s="1272"/>
      <c r="I48" s="1272"/>
      <c r="J48" s="1272"/>
      <c r="K48" s="919">
        <v>7.2</v>
      </c>
      <c r="L48" s="542">
        <f>'통장내역(환율표)'!$D$5</f>
        <v>7.1674000343842152</v>
      </c>
      <c r="M48" s="1285">
        <f t="shared" si="3"/>
        <v>1.0045483669753876</v>
      </c>
      <c r="N48" s="928">
        <f t="shared" si="1"/>
        <v>145307.46000000005</v>
      </c>
      <c r="O48" s="928">
        <f t="shared" si="2"/>
        <v>20273.384064883361</v>
      </c>
      <c r="P48" s="1273"/>
      <c r="Q48" s="1274"/>
      <c r="R48" s="1274"/>
      <c r="S48" s="883">
        <f t="shared" si="4"/>
        <v>20273.384064883361</v>
      </c>
      <c r="T48" s="1275"/>
      <c r="V48" s="1275"/>
      <c r="W48" s="1275"/>
      <c r="X48" s="1275"/>
      <c r="Y48" s="1275"/>
      <c r="Z48" s="1275"/>
      <c r="AA48" s="1275"/>
      <c r="AB48" s="1275"/>
      <c r="AC48" s="1275"/>
    </row>
    <row r="49" spans="1:29" s="1281" customFormat="1" ht="11.25" customHeight="1">
      <c r="A49" s="1269"/>
      <c r="B49" s="1270">
        <v>45862</v>
      </c>
      <c r="C49" s="1277" t="s">
        <v>1451</v>
      </c>
      <c r="D49" s="1271" t="s">
        <v>1390</v>
      </c>
      <c r="E49" s="1206">
        <v>26</v>
      </c>
      <c r="F49" s="1286" t="s">
        <v>146</v>
      </c>
      <c r="G49" s="1287" t="s">
        <v>147</v>
      </c>
      <c r="H49" s="1279"/>
      <c r="I49" s="1280"/>
      <c r="J49" s="1280"/>
      <c r="K49" s="919">
        <v>268.58999999999997</v>
      </c>
      <c r="L49" s="542">
        <f>'통장내역(환율표)'!$D$5</f>
        <v>7.1674000343842152</v>
      </c>
      <c r="M49" s="1285">
        <f t="shared" si="3"/>
        <v>37.473839706377682</v>
      </c>
      <c r="N49" s="928">
        <f t="shared" si="1"/>
        <v>145038.87000000005</v>
      </c>
      <c r="O49" s="928">
        <f t="shared" si="2"/>
        <v>20235.910225176984</v>
      </c>
      <c r="P49" s="1273"/>
      <c r="Q49" s="1274"/>
      <c r="R49" s="1274"/>
      <c r="S49" s="883">
        <f t="shared" si="4"/>
        <v>20235.910225176984</v>
      </c>
      <c r="T49" s="1275"/>
      <c r="U49" s="1276"/>
      <c r="V49" s="1275"/>
      <c r="W49" s="1275"/>
      <c r="X49" s="1275"/>
      <c r="Y49" s="1275"/>
      <c r="Z49" s="1275"/>
      <c r="AA49" s="1275"/>
      <c r="AB49" s="1275"/>
      <c r="AC49" s="1275"/>
    </row>
    <row r="50" spans="1:29" s="1281" customFormat="1" ht="11.25" customHeight="1">
      <c r="A50" s="1269"/>
      <c r="B50" s="1270">
        <v>45862</v>
      </c>
      <c r="C50" s="1277" t="s">
        <v>1403</v>
      </c>
      <c r="D50" s="1271" t="s">
        <v>1390</v>
      </c>
      <c r="E50" s="1206">
        <v>27</v>
      </c>
      <c r="F50" s="1286" t="s">
        <v>146</v>
      </c>
      <c r="G50" s="1287" t="s">
        <v>147</v>
      </c>
      <c r="H50" s="1279"/>
      <c r="I50" s="1280"/>
      <c r="J50" s="1280"/>
      <c r="K50" s="919">
        <v>14616.25</v>
      </c>
      <c r="L50" s="542">
        <f>'통장내역(환율표)'!$D$5</f>
        <v>7.1674000343842152</v>
      </c>
      <c r="M50" s="1285">
        <f t="shared" si="3"/>
        <v>2039.2680651116677</v>
      </c>
      <c r="N50" s="928">
        <f t="shared" si="1"/>
        <v>130422.62000000005</v>
      </c>
      <c r="O50" s="928">
        <f t="shared" si="2"/>
        <v>18196.642160065316</v>
      </c>
      <c r="P50" s="1273"/>
      <c r="Q50" s="1274"/>
      <c r="R50" s="1274"/>
      <c r="S50" s="883">
        <f t="shared" si="4"/>
        <v>18196.642160065316</v>
      </c>
      <c r="T50" s="1275"/>
      <c r="U50" s="1276"/>
      <c r="V50" s="1275"/>
      <c r="W50" s="1275"/>
      <c r="X50" s="1275"/>
      <c r="Y50" s="1275"/>
      <c r="Z50" s="1275"/>
      <c r="AA50" s="1275"/>
      <c r="AB50" s="1275"/>
      <c r="AC50" s="1275"/>
    </row>
    <row r="51" spans="1:29" s="1281" customFormat="1" ht="11.25" customHeight="1">
      <c r="A51" s="1269"/>
      <c r="B51" s="1270">
        <v>45862</v>
      </c>
      <c r="C51" s="1277" t="s">
        <v>19</v>
      </c>
      <c r="D51" s="1271" t="s">
        <v>1390</v>
      </c>
      <c r="E51" s="1206">
        <v>28</v>
      </c>
      <c r="F51" s="1286" t="s">
        <v>116</v>
      </c>
      <c r="G51" s="1287" t="s">
        <v>140</v>
      </c>
      <c r="H51" s="1279"/>
      <c r="I51" s="1280"/>
      <c r="J51" s="1280"/>
      <c r="K51" s="919">
        <v>400</v>
      </c>
      <c r="L51" s="542">
        <f>'통장내역(환율표)'!$D$5</f>
        <v>7.1674000343842152</v>
      </c>
      <c r="M51" s="1285">
        <f t="shared" si="3"/>
        <v>55.808242609743751</v>
      </c>
      <c r="N51" s="928">
        <f t="shared" si="1"/>
        <v>130022.62000000005</v>
      </c>
      <c r="O51" s="928">
        <f t="shared" si="2"/>
        <v>18140.833917455573</v>
      </c>
      <c r="P51" s="1273"/>
      <c r="Q51" s="1274"/>
      <c r="R51" s="1274"/>
      <c r="S51" s="883">
        <f t="shared" si="4"/>
        <v>18140.833917455573</v>
      </c>
      <c r="T51" s="1275"/>
      <c r="U51" s="1276"/>
      <c r="V51" s="1275"/>
      <c r="W51" s="1275"/>
      <c r="X51" s="1275"/>
      <c r="Y51" s="1275"/>
      <c r="Z51" s="1275"/>
      <c r="AA51" s="1275"/>
      <c r="AB51" s="1275"/>
      <c r="AC51" s="1275"/>
    </row>
    <row r="52" spans="1:29" s="1281" customFormat="1" ht="11.25" customHeight="1">
      <c r="A52" s="1269"/>
      <c r="B52" s="1270">
        <v>45862</v>
      </c>
      <c r="C52" s="1277" t="s">
        <v>11</v>
      </c>
      <c r="D52" s="1271" t="s">
        <v>1390</v>
      </c>
      <c r="E52" s="1206">
        <v>29</v>
      </c>
      <c r="F52" s="1286" t="s">
        <v>125</v>
      </c>
      <c r="G52" s="1287" t="s">
        <v>145</v>
      </c>
      <c r="H52" s="1279"/>
      <c r="I52" s="1280"/>
      <c r="J52" s="1280"/>
      <c r="K52" s="919">
        <v>270</v>
      </c>
      <c r="L52" s="542">
        <f>'통장내역(환율표)'!$D$5</f>
        <v>7.1674000343842152</v>
      </c>
      <c r="M52" s="1285">
        <f t="shared" si="3"/>
        <v>37.670563761577036</v>
      </c>
      <c r="N52" s="928">
        <f t="shared" si="1"/>
        <v>129752.62000000005</v>
      </c>
      <c r="O52" s="928">
        <f t="shared" si="2"/>
        <v>18103.163353693995</v>
      </c>
      <c r="P52" s="1273"/>
      <c r="Q52" s="1274"/>
      <c r="R52" s="1274"/>
      <c r="S52" s="883">
        <f t="shared" si="4"/>
        <v>18103.163353693995</v>
      </c>
      <c r="T52" s="1275"/>
      <c r="U52" s="1276"/>
      <c r="V52" s="1275"/>
      <c r="W52" s="1275"/>
      <c r="X52" s="1275"/>
      <c r="Y52" s="1275"/>
      <c r="Z52" s="1275"/>
      <c r="AA52" s="1275"/>
      <c r="AB52" s="1275"/>
      <c r="AC52" s="1275"/>
    </row>
    <row r="53" spans="1:29" s="1281" customFormat="1" ht="11.25" customHeight="1">
      <c r="A53" s="1269"/>
      <c r="B53" s="1270">
        <v>45862</v>
      </c>
      <c r="C53" s="1277" t="s">
        <v>1405</v>
      </c>
      <c r="D53" s="1271" t="s">
        <v>1390</v>
      </c>
      <c r="E53" s="1206">
        <v>30</v>
      </c>
      <c r="F53" s="1286" t="s">
        <v>107</v>
      </c>
      <c r="G53" s="1287"/>
      <c r="H53" s="1279"/>
      <c r="I53" s="1280"/>
      <c r="J53" s="1280"/>
      <c r="K53" s="919">
        <v>165.75</v>
      </c>
      <c r="L53" s="542">
        <f>'통장내역(환율표)'!$D$5</f>
        <v>7.1674000343842152</v>
      </c>
      <c r="M53" s="1285">
        <f t="shared" si="3"/>
        <v>23.125540531412568</v>
      </c>
      <c r="N53" s="928">
        <f t="shared" si="1"/>
        <v>129586.87000000005</v>
      </c>
      <c r="O53" s="928">
        <f t="shared" si="2"/>
        <v>18080.037813162584</v>
      </c>
      <c r="P53" s="1273"/>
      <c r="Q53" s="1274"/>
      <c r="R53" s="1274"/>
      <c r="S53" s="883">
        <f t="shared" si="4"/>
        <v>18080.037813162584</v>
      </c>
      <c r="T53" s="1275"/>
      <c r="U53" s="1276"/>
      <c r="V53" s="1275"/>
      <c r="W53" s="1275"/>
      <c r="X53" s="1275"/>
      <c r="Y53" s="1275"/>
      <c r="Z53" s="1275"/>
      <c r="AA53" s="1275"/>
      <c r="AB53" s="1275"/>
      <c r="AC53" s="1275"/>
    </row>
    <row r="54" spans="1:29" s="1281" customFormat="1" ht="11.25" customHeight="1">
      <c r="A54" s="1269"/>
      <c r="B54" s="1270">
        <v>45862</v>
      </c>
      <c r="C54" s="1277" t="s">
        <v>862</v>
      </c>
      <c r="D54" s="1271" t="s">
        <v>1390</v>
      </c>
      <c r="E54" s="1206">
        <v>31</v>
      </c>
      <c r="F54" s="1286" t="s">
        <v>107</v>
      </c>
      <c r="G54" s="1287"/>
      <c r="H54" s="1272"/>
      <c r="I54" s="1272"/>
      <c r="J54" s="1272"/>
      <c r="K54" s="919">
        <v>7.2</v>
      </c>
      <c r="L54" s="542">
        <f>'통장내역(환율표)'!$D$5</f>
        <v>7.1674000343842152</v>
      </c>
      <c r="M54" s="1285">
        <f t="shared" si="3"/>
        <v>1.0045483669753876</v>
      </c>
      <c r="N54" s="928">
        <f t="shared" si="1"/>
        <v>129579.67000000006</v>
      </c>
      <c r="O54" s="928">
        <f t="shared" si="2"/>
        <v>18079.033264795609</v>
      </c>
      <c r="P54" s="1273"/>
      <c r="Q54" s="1274"/>
      <c r="R54" s="1274"/>
      <c r="S54" s="883">
        <f t="shared" si="4"/>
        <v>18079.033264795609</v>
      </c>
      <c r="T54" s="1275"/>
      <c r="U54" s="1276"/>
      <c r="V54" s="1275"/>
      <c r="W54" s="1275"/>
      <c r="X54" s="1275"/>
      <c r="Y54" s="1275"/>
      <c r="Z54" s="1275"/>
      <c r="AA54" s="1275"/>
      <c r="AB54" s="1275"/>
      <c r="AC54" s="1275"/>
    </row>
    <row r="55" spans="1:29" s="1281" customFormat="1" ht="11.25" customHeight="1">
      <c r="A55" s="1269"/>
      <c r="B55" s="1270">
        <v>45862</v>
      </c>
      <c r="C55" s="1277" t="s">
        <v>1451</v>
      </c>
      <c r="D55" s="1271" t="s">
        <v>1391</v>
      </c>
      <c r="E55" s="1206">
        <v>32</v>
      </c>
      <c r="F55" s="1286" t="s">
        <v>146</v>
      </c>
      <c r="G55" s="1287" t="s">
        <v>147</v>
      </c>
      <c r="H55" s="1272"/>
      <c r="I55" s="1272"/>
      <c r="J55" s="1272"/>
      <c r="K55" s="919">
        <v>484.55</v>
      </c>
      <c r="L55" s="542">
        <f>'통장내역(환율표)'!$D$5</f>
        <v>7.1674000343842152</v>
      </c>
      <c r="M55" s="1285">
        <f t="shared" si="3"/>
        <v>67.604709891378334</v>
      </c>
      <c r="N55" s="928">
        <f t="shared" si="1"/>
        <v>129095.12000000005</v>
      </c>
      <c r="O55" s="928">
        <f t="shared" si="2"/>
        <v>18011.428554904232</v>
      </c>
      <c r="P55" s="1273"/>
      <c r="Q55" s="1274"/>
      <c r="R55" s="1274"/>
      <c r="S55" s="883">
        <f t="shared" si="4"/>
        <v>18011.428554904232</v>
      </c>
      <c r="T55" s="1275"/>
      <c r="U55" s="1276"/>
      <c r="V55" s="1275"/>
      <c r="W55" s="1275"/>
      <c r="X55" s="1275"/>
      <c r="Y55" s="1275"/>
      <c r="Z55" s="1275"/>
      <c r="AA55" s="1275"/>
      <c r="AB55" s="1275"/>
      <c r="AC55" s="1275"/>
    </row>
    <row r="56" spans="1:29" s="1281" customFormat="1" ht="11.25" customHeight="1">
      <c r="A56" s="1269"/>
      <c r="B56" s="1270">
        <v>45862</v>
      </c>
      <c r="C56" s="1277" t="s">
        <v>19</v>
      </c>
      <c r="D56" s="1271" t="s">
        <v>1391</v>
      </c>
      <c r="E56" s="1206">
        <v>33</v>
      </c>
      <c r="F56" s="1286" t="s">
        <v>116</v>
      </c>
      <c r="G56" s="1287" t="s">
        <v>140</v>
      </c>
      <c r="H56" s="1272"/>
      <c r="I56" s="1272"/>
      <c r="J56" s="1272"/>
      <c r="K56" s="919">
        <v>498</v>
      </c>
      <c r="L56" s="542">
        <f>'통장내역(환율표)'!$D$5</f>
        <v>7.1674000343842152</v>
      </c>
      <c r="M56" s="1285">
        <f t="shared" si="3"/>
        <v>69.481262049130976</v>
      </c>
      <c r="N56" s="928">
        <f t="shared" si="1"/>
        <v>128597.12000000005</v>
      </c>
      <c r="O56" s="928">
        <f t="shared" si="2"/>
        <v>17941.9472928551</v>
      </c>
      <c r="P56" s="1273"/>
      <c r="Q56" s="1274"/>
      <c r="R56" s="1274"/>
      <c r="S56" s="883">
        <f t="shared" si="4"/>
        <v>17941.9472928551</v>
      </c>
      <c r="T56" s="1275"/>
      <c r="U56" s="1276"/>
      <c r="V56" s="1275"/>
      <c r="W56" s="1275"/>
      <c r="X56" s="1275"/>
      <c r="Y56" s="1275"/>
      <c r="Z56" s="1275"/>
      <c r="AA56" s="1275"/>
      <c r="AB56" s="1275"/>
      <c r="AC56" s="1275"/>
    </row>
    <row r="57" spans="1:29" s="1281" customFormat="1" ht="11.25" customHeight="1">
      <c r="A57" s="1269"/>
      <c r="B57" s="1270">
        <v>45862</v>
      </c>
      <c r="C57" s="1277" t="s">
        <v>11</v>
      </c>
      <c r="D57" s="1271" t="s">
        <v>1391</v>
      </c>
      <c r="E57" s="1206">
        <v>34</v>
      </c>
      <c r="F57" s="1286" t="s">
        <v>125</v>
      </c>
      <c r="G57" s="1287" t="s">
        <v>145</v>
      </c>
      <c r="H57" s="1272"/>
      <c r="I57" s="1272"/>
      <c r="J57" s="1272"/>
      <c r="K57" s="919">
        <v>1590.73</v>
      </c>
      <c r="L57" s="542">
        <f>'통장내역(환율표)'!$D$5</f>
        <v>7.1674000343842152</v>
      </c>
      <c r="M57" s="1285">
        <f t="shared" si="3"/>
        <v>221.93961441649421</v>
      </c>
      <c r="N57" s="928">
        <f t="shared" si="1"/>
        <v>127006.39000000006</v>
      </c>
      <c r="O57" s="928">
        <f t="shared" si="2"/>
        <v>17720.007678438607</v>
      </c>
      <c r="P57" s="1273"/>
      <c r="Q57" s="1274"/>
      <c r="R57" s="1274"/>
      <c r="S57" s="883">
        <f t="shared" si="4"/>
        <v>17720.007678438607</v>
      </c>
      <c r="T57" s="1275"/>
      <c r="U57" s="1276"/>
      <c r="V57" s="1275"/>
      <c r="W57" s="1275"/>
      <c r="X57" s="1275"/>
      <c r="Y57" s="1275"/>
      <c r="Z57" s="1275"/>
      <c r="AA57" s="1275"/>
      <c r="AB57" s="1275"/>
      <c r="AC57" s="1275"/>
    </row>
    <row r="58" spans="1:29" s="1281" customFormat="1" ht="11.25" customHeight="1">
      <c r="A58" s="1269"/>
      <c r="B58" s="1270">
        <v>45862</v>
      </c>
      <c r="C58" s="1277" t="s">
        <v>1405</v>
      </c>
      <c r="D58" s="1271" t="s">
        <v>1391</v>
      </c>
      <c r="E58" s="1206">
        <v>35</v>
      </c>
      <c r="F58" s="1286" t="s">
        <v>107</v>
      </c>
      <c r="G58" s="1287"/>
      <c r="H58" s="1272"/>
      <c r="I58" s="1272"/>
      <c r="J58" s="1272"/>
      <c r="K58" s="919">
        <v>24</v>
      </c>
      <c r="L58" s="542">
        <f>'통장내역(환율표)'!$D$5</f>
        <v>7.1674000343842152</v>
      </c>
      <c r="M58" s="1285">
        <f t="shared" si="3"/>
        <v>3.3484945565846251</v>
      </c>
      <c r="N58" s="928">
        <f t="shared" si="1"/>
        <v>126982.39000000006</v>
      </c>
      <c r="O58" s="928">
        <f t="shared" si="2"/>
        <v>17716.659183882024</v>
      </c>
      <c r="P58" s="1273"/>
      <c r="Q58" s="1274"/>
      <c r="R58" s="1274"/>
      <c r="S58" s="883">
        <f t="shared" si="4"/>
        <v>17716.659183882024</v>
      </c>
      <c r="T58" s="1275"/>
      <c r="U58" s="1276"/>
      <c r="V58" s="1275"/>
      <c r="W58" s="1275"/>
      <c r="X58" s="1275"/>
      <c r="Y58" s="1275"/>
      <c r="Z58" s="1275"/>
      <c r="AA58" s="1275"/>
      <c r="AB58" s="1275"/>
      <c r="AC58" s="1275"/>
    </row>
    <row r="59" spans="1:29" s="1281" customFormat="1" ht="11.25" customHeight="1">
      <c r="A59" s="1269"/>
      <c r="B59" s="1270">
        <v>45862</v>
      </c>
      <c r="C59" s="1277" t="s">
        <v>1386</v>
      </c>
      <c r="D59" s="1271" t="s">
        <v>1391</v>
      </c>
      <c r="E59" s="1206">
        <v>36</v>
      </c>
      <c r="F59" s="1286" t="s">
        <v>107</v>
      </c>
      <c r="G59" s="1287"/>
      <c r="H59" s="1272"/>
      <c r="I59" s="1272"/>
      <c r="J59" s="1272"/>
      <c r="K59" s="919">
        <v>623.79999999999995</v>
      </c>
      <c r="L59" s="542">
        <f>'통장내역(환율표)'!$D$5</f>
        <v>7.1674000343842152</v>
      </c>
      <c r="M59" s="1285">
        <f t="shared" si="3"/>
        <v>87.032954349895377</v>
      </c>
      <c r="N59" s="928">
        <f t="shared" si="1"/>
        <v>126358.59000000005</v>
      </c>
      <c r="O59" s="928">
        <f t="shared" si="2"/>
        <v>17629.626229532128</v>
      </c>
      <c r="P59" s="1273"/>
      <c r="Q59" s="1274"/>
      <c r="R59" s="1274"/>
      <c r="S59" s="883">
        <f t="shared" si="4"/>
        <v>17629.626229532128</v>
      </c>
      <c r="T59" s="1275"/>
      <c r="U59" s="1276"/>
      <c r="V59" s="1275"/>
      <c r="W59" s="1275"/>
      <c r="X59" s="1275"/>
      <c r="Y59" s="1275"/>
      <c r="Z59" s="1275"/>
      <c r="AA59" s="1275"/>
      <c r="AB59" s="1275"/>
      <c r="AC59" s="1275"/>
    </row>
    <row r="60" spans="1:29" s="1281" customFormat="1" ht="11.25" customHeight="1">
      <c r="A60" s="1269"/>
      <c r="B60" s="1270">
        <v>45862</v>
      </c>
      <c r="C60" s="1282" t="s">
        <v>564</v>
      </c>
      <c r="D60" s="1271" t="s">
        <v>1391</v>
      </c>
      <c r="E60" s="1206">
        <v>37</v>
      </c>
      <c r="F60" s="1286" t="s">
        <v>107</v>
      </c>
      <c r="G60" s="1287"/>
      <c r="H60" s="1272"/>
      <c r="I60" s="1272"/>
      <c r="J60" s="1272"/>
      <c r="K60" s="919">
        <f>445+83.6</f>
        <v>528.6</v>
      </c>
      <c r="L60" s="542">
        <f>'통장내역(환율표)'!$D$5</f>
        <v>7.1674000343842152</v>
      </c>
      <c r="M60" s="1285">
        <f t="shared" si="3"/>
        <v>73.750592608776373</v>
      </c>
      <c r="N60" s="928">
        <f t="shared" si="1"/>
        <v>125829.99000000005</v>
      </c>
      <c r="O60" s="928">
        <f t="shared" si="2"/>
        <v>17555.875636923352</v>
      </c>
      <c r="P60" s="1273" t="s">
        <v>1580</v>
      </c>
      <c r="Q60" s="1274"/>
      <c r="R60" s="1274"/>
      <c r="S60" s="883">
        <f t="shared" si="4"/>
        <v>17555.875636923352</v>
      </c>
      <c r="T60" s="1275"/>
      <c r="U60" s="1276"/>
      <c r="V60" s="1275"/>
      <c r="W60" s="1275"/>
      <c r="X60" s="1275"/>
      <c r="Y60" s="1275"/>
      <c r="Z60" s="1275"/>
      <c r="AA60" s="1275"/>
      <c r="AB60" s="1275"/>
      <c r="AC60" s="1275"/>
    </row>
    <row r="61" spans="1:29" s="1281" customFormat="1" ht="11.25" customHeight="1">
      <c r="A61" s="1269"/>
      <c r="B61" s="1270">
        <v>45862</v>
      </c>
      <c r="C61" s="1277" t="s">
        <v>862</v>
      </c>
      <c r="D61" s="1271" t="s">
        <v>1391</v>
      </c>
      <c r="E61" s="1206">
        <v>38</v>
      </c>
      <c r="F61" s="1286" t="s">
        <v>107</v>
      </c>
      <c r="G61" s="1287"/>
      <c r="H61" s="1272"/>
      <c r="I61" s="1272"/>
      <c r="J61" s="1272"/>
      <c r="K61" s="919">
        <v>3.6</v>
      </c>
      <c r="L61" s="542">
        <f>'통장내역(환율표)'!$D$5</f>
        <v>7.1674000343842152</v>
      </c>
      <c r="M61" s="1285">
        <f t="shared" si="3"/>
        <v>0.50227418348769381</v>
      </c>
      <c r="N61" s="928">
        <f t="shared" si="1"/>
        <v>125826.39000000004</v>
      </c>
      <c r="O61" s="928">
        <f t="shared" si="2"/>
        <v>17555.373362739865</v>
      </c>
      <c r="P61" s="1273"/>
      <c r="Q61" s="1274"/>
      <c r="R61" s="1274"/>
      <c r="S61" s="883">
        <f t="shared" si="4"/>
        <v>17555.373362739865</v>
      </c>
      <c r="T61" s="1275"/>
      <c r="U61" s="1276"/>
      <c r="V61" s="1275"/>
      <c r="W61" s="1275"/>
      <c r="X61" s="1275"/>
      <c r="Y61" s="1275"/>
      <c r="Z61" s="1275"/>
      <c r="AA61" s="1275"/>
      <c r="AB61" s="1275"/>
      <c r="AC61" s="1275"/>
    </row>
    <row r="62" spans="1:29" s="1281" customFormat="1" ht="11.25" customHeight="1">
      <c r="A62" s="1269"/>
      <c r="B62" s="1270">
        <v>45862</v>
      </c>
      <c r="C62" s="1277" t="s">
        <v>1451</v>
      </c>
      <c r="D62" s="1271" t="s">
        <v>1394</v>
      </c>
      <c r="E62" s="1206">
        <v>39</v>
      </c>
      <c r="F62" s="1286" t="s">
        <v>146</v>
      </c>
      <c r="G62" s="1287" t="s">
        <v>147</v>
      </c>
      <c r="H62" s="1272"/>
      <c r="I62" s="1272"/>
      <c r="J62" s="1272"/>
      <c r="K62" s="919">
        <v>93.2</v>
      </c>
      <c r="L62" s="542">
        <f>'통장내역(환율표)'!$D$5</f>
        <v>7.1674000343842152</v>
      </c>
      <c r="M62" s="1285">
        <f t="shared" si="3"/>
        <v>13.003320528070295</v>
      </c>
      <c r="N62" s="928">
        <f t="shared" si="1"/>
        <v>125733.19000000005</v>
      </c>
      <c r="O62" s="928">
        <f t="shared" si="2"/>
        <v>17542.370042211794</v>
      </c>
      <c r="P62" s="1273"/>
      <c r="Q62" s="1274"/>
      <c r="R62" s="1274"/>
      <c r="S62" s="883">
        <f t="shared" si="4"/>
        <v>17542.370042211794</v>
      </c>
      <c r="T62" s="1275"/>
      <c r="U62" s="1276"/>
      <c r="V62" s="1275"/>
      <c r="W62" s="1275"/>
      <c r="X62" s="1275"/>
      <c r="Y62" s="1275"/>
      <c r="Z62" s="1275"/>
      <c r="AA62" s="1275"/>
      <c r="AB62" s="1275"/>
      <c r="AC62" s="1275"/>
    </row>
    <row r="63" spans="1:29" s="1281" customFormat="1" ht="11.25" customHeight="1">
      <c r="A63" s="1269"/>
      <c r="B63" s="1270">
        <v>45862</v>
      </c>
      <c r="C63" s="1277" t="s">
        <v>11</v>
      </c>
      <c r="D63" s="1271" t="s">
        <v>1394</v>
      </c>
      <c r="E63" s="1206">
        <v>40</v>
      </c>
      <c r="F63" s="1286" t="s">
        <v>125</v>
      </c>
      <c r="G63" s="1287" t="s">
        <v>145</v>
      </c>
      <c r="H63" s="1272"/>
      <c r="I63" s="1272"/>
      <c r="J63" s="1272"/>
      <c r="K63" s="919">
        <v>129</v>
      </c>
      <c r="L63" s="542">
        <f>'통장내역(환율표)'!$D$5</f>
        <v>7.1674000343842152</v>
      </c>
      <c r="M63" s="1285">
        <f t="shared" si="3"/>
        <v>17.998158241642361</v>
      </c>
      <c r="N63" s="928">
        <f t="shared" si="1"/>
        <v>125604.19000000005</v>
      </c>
      <c r="O63" s="928">
        <f t="shared" si="2"/>
        <v>17524.371883970151</v>
      </c>
      <c r="P63" s="1273"/>
      <c r="Q63" s="1274"/>
      <c r="R63" s="1274"/>
      <c r="S63" s="883">
        <f t="shared" si="4"/>
        <v>17524.371883970151</v>
      </c>
      <c r="T63" s="1275"/>
      <c r="U63" s="1276"/>
      <c r="V63" s="1275"/>
      <c r="W63" s="1275"/>
      <c r="X63" s="1275"/>
      <c r="Y63" s="1275"/>
      <c r="Z63" s="1275"/>
      <c r="AA63" s="1275"/>
      <c r="AB63" s="1275"/>
      <c r="AC63" s="1275"/>
    </row>
    <row r="64" spans="1:29" s="1281" customFormat="1" ht="11.25" customHeight="1">
      <c r="A64" s="1269"/>
      <c r="B64" s="1270">
        <v>45862</v>
      </c>
      <c r="C64" s="1277" t="s">
        <v>19</v>
      </c>
      <c r="D64" s="1271" t="s">
        <v>1394</v>
      </c>
      <c r="E64" s="1206">
        <v>41</v>
      </c>
      <c r="F64" s="1286" t="s">
        <v>116</v>
      </c>
      <c r="G64" s="1287" t="s">
        <v>140</v>
      </c>
      <c r="H64" s="1272"/>
      <c r="I64" s="1272"/>
      <c r="J64" s="1272"/>
      <c r="K64" s="919">
        <v>274</v>
      </c>
      <c r="L64" s="542">
        <f>'통장내역(환율표)'!$D$5</f>
        <v>7.1674000343842152</v>
      </c>
      <c r="M64" s="1285">
        <f t="shared" si="3"/>
        <v>38.228646187674471</v>
      </c>
      <c r="N64" s="928">
        <f t="shared" si="1"/>
        <v>125330.19000000005</v>
      </c>
      <c r="O64" s="928">
        <f t="shared" si="2"/>
        <v>17486.143237782475</v>
      </c>
      <c r="P64" s="1273"/>
      <c r="Q64" s="1274"/>
      <c r="R64" s="1274"/>
      <c r="S64" s="883">
        <f t="shared" si="4"/>
        <v>17486.143237782475</v>
      </c>
      <c r="T64" s="1275"/>
      <c r="U64" s="1276"/>
      <c r="V64" s="1275"/>
      <c r="W64" s="1275"/>
      <c r="X64" s="1275"/>
      <c r="Y64" s="1275"/>
      <c r="Z64" s="1275"/>
      <c r="AA64" s="1275"/>
      <c r="AB64" s="1275"/>
      <c r="AC64" s="1275"/>
    </row>
    <row r="65" spans="1:29" s="1281" customFormat="1" ht="11.25" customHeight="1">
      <c r="A65" s="1269"/>
      <c r="B65" s="1270">
        <v>45862</v>
      </c>
      <c r="C65" s="1288" t="s">
        <v>1405</v>
      </c>
      <c r="D65" s="1271" t="s">
        <v>1394</v>
      </c>
      <c r="E65" s="1206">
        <v>42</v>
      </c>
      <c r="F65" s="1286" t="s">
        <v>107</v>
      </c>
      <c r="G65" s="1287"/>
      <c r="H65" s="1272"/>
      <c r="I65" s="1272"/>
      <c r="J65" s="1272"/>
      <c r="K65" s="919">
        <v>257.2</v>
      </c>
      <c r="L65" s="542">
        <f>'통장내역(환율표)'!$D$5</f>
        <v>7.1674000343842152</v>
      </c>
      <c r="M65" s="1285">
        <f t="shared" si="3"/>
        <v>35.88469999806523</v>
      </c>
      <c r="N65" s="928">
        <f t="shared" si="1"/>
        <v>125072.99000000005</v>
      </c>
      <c r="O65" s="928">
        <f t="shared" si="2"/>
        <v>17450.258537784408</v>
      </c>
      <c r="P65" s="1273"/>
      <c r="Q65" s="1274"/>
      <c r="R65" s="1274"/>
      <c r="S65" s="883">
        <f t="shared" si="4"/>
        <v>17450.258537784408</v>
      </c>
      <c r="T65" s="1275"/>
      <c r="U65" s="1276"/>
      <c r="V65" s="1275"/>
      <c r="W65" s="1275"/>
      <c r="X65" s="1275"/>
      <c r="Y65" s="1275"/>
      <c r="Z65" s="1275"/>
      <c r="AA65" s="1275"/>
      <c r="AB65" s="1275"/>
      <c r="AC65" s="1275"/>
    </row>
    <row r="66" spans="1:29" s="1281" customFormat="1" ht="11.25" customHeight="1">
      <c r="A66" s="1269"/>
      <c r="B66" s="1270">
        <v>45862</v>
      </c>
      <c r="C66" s="1282" t="s">
        <v>564</v>
      </c>
      <c r="D66" s="1271" t="s">
        <v>1394</v>
      </c>
      <c r="E66" s="1206">
        <v>43</v>
      </c>
      <c r="F66" s="1286" t="s">
        <v>107</v>
      </c>
      <c r="G66" s="1287"/>
      <c r="H66" s="1272"/>
      <c r="I66" s="1272"/>
      <c r="J66" s="1272"/>
      <c r="K66" s="919">
        <v>345.6</v>
      </c>
      <c r="L66" s="542">
        <f>'통장내역(환율표)'!$D$5</f>
        <v>7.1674000343842152</v>
      </c>
      <c r="M66" s="1285">
        <f t="shared" si="3"/>
        <v>48.218321614818606</v>
      </c>
      <c r="N66" s="928">
        <f t="shared" si="1"/>
        <v>124727.39000000004</v>
      </c>
      <c r="O66" s="928">
        <f t="shared" si="2"/>
        <v>17402.040216169589</v>
      </c>
      <c r="P66" s="1273"/>
      <c r="Q66" s="1274"/>
      <c r="R66" s="1274"/>
      <c r="S66" s="883">
        <f t="shared" si="4"/>
        <v>17402.040216169589</v>
      </c>
      <c r="T66" s="1275"/>
      <c r="U66" s="1276"/>
      <c r="V66" s="1275"/>
      <c r="W66" s="1275"/>
      <c r="X66" s="1275"/>
      <c r="Y66" s="1275"/>
      <c r="Z66" s="1275"/>
      <c r="AA66" s="1275"/>
      <c r="AB66" s="1275"/>
      <c r="AC66" s="1275"/>
    </row>
    <row r="67" spans="1:29" s="1281" customFormat="1" ht="11.25" customHeight="1">
      <c r="A67" s="1269"/>
      <c r="B67" s="1270">
        <v>45862</v>
      </c>
      <c r="C67" s="1277" t="s">
        <v>1386</v>
      </c>
      <c r="D67" s="1271" t="s">
        <v>1394</v>
      </c>
      <c r="E67" s="1206">
        <v>44</v>
      </c>
      <c r="F67" s="1286" t="s">
        <v>107</v>
      </c>
      <c r="G67" s="1287"/>
      <c r="H67" s="1272"/>
      <c r="I67" s="1272"/>
      <c r="J67" s="1272"/>
      <c r="K67" s="919">
        <v>588.52</v>
      </c>
      <c r="L67" s="542">
        <f>'통장내역(환율표)'!$D$5</f>
        <v>7.1674000343842152</v>
      </c>
      <c r="M67" s="1285">
        <f t="shared" si="3"/>
        <v>82.110667351715975</v>
      </c>
      <c r="N67" s="928">
        <f t="shared" si="1"/>
        <v>124138.87000000004</v>
      </c>
      <c r="O67" s="928">
        <f t="shared" si="2"/>
        <v>17319.929548817872</v>
      </c>
      <c r="P67" s="1273"/>
      <c r="Q67" s="1274"/>
      <c r="R67" s="1274"/>
      <c r="S67" s="883">
        <f t="shared" si="4"/>
        <v>17319.929548817872</v>
      </c>
      <c r="T67" s="1275"/>
      <c r="U67" s="1276"/>
      <c r="V67" s="1275"/>
      <c r="W67" s="1275"/>
      <c r="X67" s="1275"/>
      <c r="Y67" s="1275"/>
      <c r="Z67" s="1275"/>
      <c r="AA67" s="1275"/>
      <c r="AB67" s="1275"/>
      <c r="AC67" s="1275"/>
    </row>
    <row r="68" spans="1:29" s="1281" customFormat="1" ht="11.25" customHeight="1">
      <c r="A68" s="1269"/>
      <c r="B68" s="1270">
        <v>45862</v>
      </c>
      <c r="C68" s="1288" t="s">
        <v>862</v>
      </c>
      <c r="D68" s="1271" t="s">
        <v>1394</v>
      </c>
      <c r="E68" s="1206">
        <v>45</v>
      </c>
      <c r="F68" s="1286" t="s">
        <v>107</v>
      </c>
      <c r="G68" s="1287"/>
      <c r="H68" s="1272"/>
      <c r="I68" s="1272"/>
      <c r="J68" s="1272"/>
      <c r="K68" s="919">
        <v>3.6</v>
      </c>
      <c r="L68" s="542">
        <f>'통장내역(환율표)'!$D$5</f>
        <v>7.1674000343842152</v>
      </c>
      <c r="M68" s="1285">
        <f t="shared" si="3"/>
        <v>0.50227418348769381</v>
      </c>
      <c r="N68" s="928">
        <f t="shared" si="1"/>
        <v>124135.27000000003</v>
      </c>
      <c r="O68" s="928">
        <f t="shared" si="2"/>
        <v>17319.427274634385</v>
      </c>
      <c r="P68" s="1273"/>
      <c r="Q68" s="1274"/>
      <c r="R68" s="1274"/>
      <c r="S68" s="883">
        <f t="shared" si="4"/>
        <v>17319.427274634385</v>
      </c>
      <c r="T68" s="1275"/>
      <c r="U68" s="1276"/>
      <c r="V68" s="1275"/>
      <c r="W68" s="1275"/>
      <c r="X68" s="1275"/>
      <c r="Y68" s="1275"/>
      <c r="Z68" s="1275"/>
      <c r="AA68" s="1275"/>
      <c r="AB68" s="1275"/>
      <c r="AC68" s="1275"/>
    </row>
    <row r="69" spans="1:29" s="1281" customFormat="1" ht="11.25" customHeight="1">
      <c r="A69" s="1269"/>
      <c r="B69" s="1270">
        <v>45862</v>
      </c>
      <c r="C69" s="1288" t="s">
        <v>1406</v>
      </c>
      <c r="D69" s="1271" t="s">
        <v>1392</v>
      </c>
      <c r="E69" s="1206">
        <v>46</v>
      </c>
      <c r="F69" s="1286" t="s">
        <v>146</v>
      </c>
      <c r="G69" s="1287" t="s">
        <v>147</v>
      </c>
      <c r="H69" s="1272"/>
      <c r="I69" s="1272"/>
      <c r="J69" s="1272"/>
      <c r="K69" s="919">
        <v>2685</v>
      </c>
      <c r="L69" s="542">
        <f>'통장내역(환율표)'!$D$5</f>
        <v>7.1674000343842152</v>
      </c>
      <c r="M69" s="1285">
        <f t="shared" si="3"/>
        <v>374.61282851790492</v>
      </c>
      <c r="N69" s="928">
        <f t="shared" si="1"/>
        <v>121450.27000000003</v>
      </c>
      <c r="O69" s="928">
        <f t="shared" si="2"/>
        <v>16944.814446116481</v>
      </c>
      <c r="P69" s="1273"/>
      <c r="Q69" s="1274"/>
      <c r="R69" s="1274"/>
      <c r="S69" s="883">
        <f t="shared" si="4"/>
        <v>16944.814446116481</v>
      </c>
      <c r="T69" s="1275"/>
      <c r="U69" s="1276"/>
      <c r="V69" s="1275"/>
      <c r="W69" s="1275"/>
      <c r="X69" s="1275"/>
      <c r="Y69" s="1275"/>
      <c r="Z69" s="1275"/>
      <c r="AA69" s="1275"/>
      <c r="AB69" s="1275"/>
      <c r="AC69" s="1275"/>
    </row>
    <row r="70" spans="1:29" s="1281" customFormat="1" ht="11.25" customHeight="1">
      <c r="A70" s="1269"/>
      <c r="B70" s="1270">
        <v>45862</v>
      </c>
      <c r="C70" s="1288" t="s">
        <v>1407</v>
      </c>
      <c r="D70" s="1271" t="s">
        <v>1392</v>
      </c>
      <c r="E70" s="1206">
        <v>47</v>
      </c>
      <c r="F70" s="1286" t="s">
        <v>146</v>
      </c>
      <c r="G70" s="1287" t="s">
        <v>147</v>
      </c>
      <c r="H70" s="1272"/>
      <c r="I70" s="1278"/>
      <c r="J70" s="1272"/>
      <c r="K70" s="919">
        <v>357.5</v>
      </c>
      <c r="L70" s="542">
        <f>'통장내역(환율표)'!$D$5</f>
        <v>7.1674000343842152</v>
      </c>
      <c r="M70" s="1285">
        <f t="shared" si="3"/>
        <v>49.878616832458476</v>
      </c>
      <c r="N70" s="928">
        <f t="shared" si="1"/>
        <v>121092.77000000003</v>
      </c>
      <c r="O70" s="928">
        <f t="shared" si="2"/>
        <v>16894.935829284022</v>
      </c>
      <c r="P70" s="1273"/>
      <c r="Q70" s="1274"/>
      <c r="R70" s="1274"/>
      <c r="S70" s="883">
        <f t="shared" si="4"/>
        <v>16894.935829284022</v>
      </c>
      <c r="T70" s="1275"/>
      <c r="U70" s="1276"/>
      <c r="V70" s="1275"/>
      <c r="W70" s="1275"/>
      <c r="X70" s="1275"/>
      <c r="Y70" s="1275"/>
      <c r="Z70" s="1275"/>
      <c r="AA70" s="1275"/>
      <c r="AB70" s="1275"/>
      <c r="AC70" s="1275"/>
    </row>
    <row r="71" spans="1:29" s="1281" customFormat="1" ht="11.25" customHeight="1">
      <c r="A71" s="1269"/>
      <c r="B71" s="1270">
        <v>45862</v>
      </c>
      <c r="C71" s="1288" t="s">
        <v>1408</v>
      </c>
      <c r="D71" s="1271" t="s">
        <v>1392</v>
      </c>
      <c r="E71" s="1206">
        <v>48</v>
      </c>
      <c r="F71" s="1286" t="s">
        <v>146</v>
      </c>
      <c r="G71" s="1287" t="s">
        <v>147</v>
      </c>
      <c r="H71" s="1272"/>
      <c r="I71" s="1278"/>
      <c r="J71" s="1272"/>
      <c r="K71" s="919">
        <v>237</v>
      </c>
      <c r="L71" s="542">
        <f>'통장내역(환율표)'!$D$5</f>
        <v>7.1674000343842152</v>
      </c>
      <c r="M71" s="1285">
        <f t="shared" si="3"/>
        <v>33.066383746273175</v>
      </c>
      <c r="N71" s="928">
        <f t="shared" si="1"/>
        <v>120855.77000000003</v>
      </c>
      <c r="O71" s="928">
        <f t="shared" si="2"/>
        <v>16861.869445537748</v>
      </c>
      <c r="P71" s="1273"/>
      <c r="Q71" s="1274"/>
      <c r="R71" s="1274"/>
      <c r="S71" s="883">
        <f t="shared" si="4"/>
        <v>16861.869445537748</v>
      </c>
      <c r="T71" s="1275"/>
      <c r="U71" s="1276"/>
      <c r="V71" s="1275"/>
      <c r="W71" s="1275"/>
      <c r="X71" s="1275"/>
      <c r="Y71" s="1275"/>
      <c r="Z71" s="1275"/>
      <c r="AA71" s="1275"/>
      <c r="AB71" s="1275"/>
      <c r="AC71" s="1275"/>
    </row>
    <row r="72" spans="1:29" s="1281" customFormat="1" ht="11.25" customHeight="1">
      <c r="A72" s="1269"/>
      <c r="B72" s="1270">
        <v>45862</v>
      </c>
      <c r="C72" s="1288" t="s">
        <v>862</v>
      </c>
      <c r="D72" s="1271" t="s">
        <v>1392</v>
      </c>
      <c r="E72" s="1206">
        <v>49</v>
      </c>
      <c r="F72" s="1286" t="s">
        <v>107</v>
      </c>
      <c r="G72" s="1287"/>
      <c r="H72" s="1272"/>
      <c r="I72" s="1278"/>
      <c r="J72" s="1272"/>
      <c r="K72" s="919">
        <v>3.6</v>
      </c>
      <c r="L72" s="542">
        <f>'통장내역(환율표)'!$D$5</f>
        <v>7.1674000343842152</v>
      </c>
      <c r="M72" s="1285">
        <f t="shared" si="3"/>
        <v>0.50227418348769381</v>
      </c>
      <c r="N72" s="928">
        <f t="shared" si="1"/>
        <v>120852.17000000003</v>
      </c>
      <c r="O72" s="928">
        <f t="shared" si="2"/>
        <v>16861.367171354261</v>
      </c>
      <c r="P72" s="1273"/>
      <c r="Q72" s="1274"/>
      <c r="R72" s="1274"/>
      <c r="S72" s="883">
        <f t="shared" si="4"/>
        <v>16861.367171354261</v>
      </c>
      <c r="T72" s="1275"/>
      <c r="U72" s="1276"/>
      <c r="V72" s="1275"/>
      <c r="W72" s="1275"/>
      <c r="X72" s="1275"/>
      <c r="Y72" s="1275"/>
      <c r="Z72" s="1275"/>
      <c r="AA72" s="1275"/>
      <c r="AB72" s="1275"/>
      <c r="AC72" s="1275"/>
    </row>
    <row r="73" spans="1:29" s="1281" customFormat="1" ht="11.25" customHeight="1">
      <c r="A73" s="1269"/>
      <c r="B73" s="1270">
        <v>45862</v>
      </c>
      <c r="C73" s="1288" t="s">
        <v>1408</v>
      </c>
      <c r="D73" s="1271" t="s">
        <v>1393</v>
      </c>
      <c r="E73" s="1206">
        <v>50</v>
      </c>
      <c r="F73" s="1286" t="s">
        <v>146</v>
      </c>
      <c r="G73" s="1287" t="s">
        <v>147</v>
      </c>
      <c r="H73" s="1279"/>
      <c r="I73" s="1280"/>
      <c r="J73" s="1280"/>
      <c r="K73" s="919">
        <v>1268</v>
      </c>
      <c r="L73" s="542">
        <f>'통장내역(환율표)'!$D$5</f>
        <v>7.1674000343842152</v>
      </c>
      <c r="M73" s="1285">
        <f t="shared" si="3"/>
        <v>176.91212907288769</v>
      </c>
      <c r="N73" s="928">
        <f t="shared" si="1"/>
        <v>119584.17000000003</v>
      </c>
      <c r="O73" s="928">
        <f t="shared" si="2"/>
        <v>16684.455042281374</v>
      </c>
      <c r="P73" s="1273"/>
      <c r="Q73" s="1274"/>
      <c r="R73" s="1274"/>
      <c r="S73" s="883">
        <f t="shared" si="4"/>
        <v>16684.455042281374</v>
      </c>
      <c r="T73" s="1275"/>
      <c r="U73" s="1276"/>
      <c r="V73" s="1275"/>
      <c r="W73" s="1275"/>
      <c r="X73" s="1275"/>
      <c r="Y73" s="1275"/>
      <c r="Z73" s="1275"/>
      <c r="AA73" s="1275"/>
      <c r="AB73" s="1275"/>
      <c r="AC73" s="1275"/>
    </row>
    <row r="74" spans="1:29" s="1281" customFormat="1" ht="11.25" customHeight="1">
      <c r="A74" s="1269"/>
      <c r="B74" s="1270">
        <v>45862</v>
      </c>
      <c r="C74" s="1288" t="s">
        <v>1406</v>
      </c>
      <c r="D74" s="1271" t="s">
        <v>1393</v>
      </c>
      <c r="E74" s="1206">
        <v>51</v>
      </c>
      <c r="F74" s="1286" t="s">
        <v>146</v>
      </c>
      <c r="G74" s="1287" t="s">
        <v>147</v>
      </c>
      <c r="H74" s="1279"/>
      <c r="I74" s="1280"/>
      <c r="J74" s="1280"/>
      <c r="K74" s="919">
        <v>3924</v>
      </c>
      <c r="L74" s="542">
        <f>'통장내역(환율표)'!$D$5</f>
        <v>7.1674000343842152</v>
      </c>
      <c r="M74" s="1285">
        <f t="shared" si="3"/>
        <v>547.47886000158621</v>
      </c>
      <c r="N74" s="928">
        <f t="shared" si="1"/>
        <v>115660.17000000003</v>
      </c>
      <c r="O74" s="928">
        <f t="shared" si="2"/>
        <v>16136.976182279788</v>
      </c>
      <c r="P74" s="1273"/>
      <c r="Q74" s="1274"/>
      <c r="R74" s="1274"/>
      <c r="S74" s="883">
        <f t="shared" si="4"/>
        <v>16136.976182279788</v>
      </c>
      <c r="T74" s="1275"/>
      <c r="U74" s="1276"/>
      <c r="V74" s="1275"/>
      <c r="W74" s="1275"/>
      <c r="X74" s="1275"/>
      <c r="Y74" s="1275"/>
      <c r="Z74" s="1275"/>
      <c r="AA74" s="1275"/>
      <c r="AB74" s="1275"/>
      <c r="AC74" s="1275"/>
    </row>
    <row r="75" spans="1:29" s="1281" customFormat="1" ht="11.25" customHeight="1">
      <c r="A75" s="1269"/>
      <c r="B75" s="1270">
        <v>45862</v>
      </c>
      <c r="C75" s="1288" t="s">
        <v>1407</v>
      </c>
      <c r="D75" s="1271" t="s">
        <v>1393</v>
      </c>
      <c r="E75" s="1206">
        <v>52</v>
      </c>
      <c r="F75" s="1286" t="s">
        <v>146</v>
      </c>
      <c r="G75" s="1287" t="s">
        <v>147</v>
      </c>
      <c r="H75" s="1279"/>
      <c r="I75" s="1280"/>
      <c r="J75" s="1280"/>
      <c r="K75" s="919">
        <v>77</v>
      </c>
      <c r="L75" s="542">
        <f>'통장내역(환율표)'!$D$5</f>
        <v>7.1674000343842152</v>
      </c>
      <c r="M75" s="1285">
        <f t="shared" si="3"/>
        <v>10.743086702375672</v>
      </c>
      <c r="N75" s="928">
        <f t="shared" si="1"/>
        <v>115583.17000000003</v>
      </c>
      <c r="O75" s="928">
        <f t="shared" si="2"/>
        <v>16126.233095577412</v>
      </c>
      <c r="P75" s="1273"/>
      <c r="Q75" s="1274"/>
      <c r="R75" s="1274"/>
      <c r="S75" s="883">
        <f t="shared" si="4"/>
        <v>16126.233095577412</v>
      </c>
      <c r="T75" s="1275"/>
      <c r="U75" s="1276"/>
      <c r="V75" s="1275"/>
      <c r="W75" s="1275"/>
      <c r="X75" s="1275"/>
      <c r="Y75" s="1275"/>
      <c r="Z75" s="1275"/>
      <c r="AA75" s="1275"/>
      <c r="AB75" s="1275"/>
      <c r="AC75" s="1275"/>
    </row>
    <row r="76" spans="1:29" s="1281" customFormat="1" ht="11.25" customHeight="1">
      <c r="A76" s="1269"/>
      <c r="B76" s="1270">
        <v>45862</v>
      </c>
      <c r="C76" s="1288" t="s">
        <v>862</v>
      </c>
      <c r="D76" s="1271" t="s">
        <v>1393</v>
      </c>
      <c r="E76" s="1206">
        <v>53</v>
      </c>
      <c r="F76" s="1286" t="s">
        <v>107</v>
      </c>
      <c r="G76" s="1287"/>
      <c r="H76" s="1279"/>
      <c r="I76" s="1280"/>
      <c r="J76" s="1280"/>
      <c r="K76" s="919">
        <v>3.6</v>
      </c>
      <c r="L76" s="542">
        <f>'통장내역(환율표)'!$D$5</f>
        <v>7.1674000343842152</v>
      </c>
      <c r="M76" s="1285">
        <f t="shared" si="3"/>
        <v>0.50227418348769381</v>
      </c>
      <c r="N76" s="928">
        <f t="shared" si="1"/>
        <v>115579.57000000002</v>
      </c>
      <c r="O76" s="928">
        <f t="shared" si="2"/>
        <v>16125.730821393925</v>
      </c>
      <c r="P76" s="1273"/>
      <c r="Q76" s="1274"/>
      <c r="R76" s="1274"/>
      <c r="S76" s="883">
        <f t="shared" si="4"/>
        <v>16125.730821393925</v>
      </c>
      <c r="T76" s="1275"/>
      <c r="U76" s="1276"/>
      <c r="V76" s="1275"/>
      <c r="W76" s="1275"/>
      <c r="X76" s="1275"/>
      <c r="Y76" s="1275"/>
      <c r="Z76" s="1275"/>
      <c r="AA76" s="1275"/>
      <c r="AB76" s="1275"/>
      <c r="AC76" s="1275"/>
    </row>
    <row r="77" spans="1:29" s="1281" customFormat="1" ht="11.25" customHeight="1">
      <c r="A77" s="1269"/>
      <c r="B77" s="1270">
        <v>45862</v>
      </c>
      <c r="C77" s="1288" t="s">
        <v>1406</v>
      </c>
      <c r="D77" s="1271" t="s">
        <v>1460</v>
      </c>
      <c r="E77" s="1206">
        <v>54</v>
      </c>
      <c r="F77" s="1286" t="s">
        <v>146</v>
      </c>
      <c r="G77" s="1287" t="s">
        <v>147</v>
      </c>
      <c r="H77" s="1279"/>
      <c r="I77" s="1280"/>
      <c r="J77" s="1280"/>
      <c r="K77" s="919">
        <v>2015.68</v>
      </c>
      <c r="L77" s="542">
        <f>'통장내역(환율표)'!$D$5</f>
        <v>7.1674000343842152</v>
      </c>
      <c r="M77" s="1285">
        <f t="shared" si="3"/>
        <v>281.22889615902074</v>
      </c>
      <c r="N77" s="928">
        <f t="shared" si="1"/>
        <v>113563.89000000003</v>
      </c>
      <c r="O77" s="928">
        <f t="shared" si="2"/>
        <v>15844.501925234905</v>
      </c>
      <c r="P77" s="1273"/>
      <c r="Q77" s="1274"/>
      <c r="R77" s="1274"/>
      <c r="S77" s="883">
        <f t="shared" si="4"/>
        <v>15844.501925234905</v>
      </c>
      <c r="T77" s="1275"/>
      <c r="U77" s="1276"/>
      <c r="V77" s="1275"/>
      <c r="W77" s="1275"/>
      <c r="X77" s="1275"/>
      <c r="Y77" s="1275"/>
      <c r="Z77" s="1275"/>
      <c r="AA77" s="1275"/>
      <c r="AB77" s="1275"/>
      <c r="AC77" s="1275"/>
    </row>
    <row r="78" spans="1:29" s="1281" customFormat="1" ht="11.25" customHeight="1">
      <c r="A78" s="1269"/>
      <c r="B78" s="1270">
        <v>45862</v>
      </c>
      <c r="C78" s="1288" t="s">
        <v>1407</v>
      </c>
      <c r="D78" s="1271" t="s">
        <v>1460</v>
      </c>
      <c r="E78" s="1206">
        <v>55</v>
      </c>
      <c r="F78" s="1286" t="s">
        <v>146</v>
      </c>
      <c r="G78" s="1287" t="s">
        <v>147</v>
      </c>
      <c r="H78" s="1279"/>
      <c r="I78" s="1280"/>
      <c r="J78" s="1280"/>
      <c r="K78" s="919">
        <v>154</v>
      </c>
      <c r="L78" s="542">
        <f>'통장내역(환율표)'!$D$5</f>
        <v>7.1674000343842152</v>
      </c>
      <c r="M78" s="1285">
        <f t="shared" si="3"/>
        <v>21.486173404751344</v>
      </c>
      <c r="N78" s="928">
        <f t="shared" si="1"/>
        <v>113409.89000000003</v>
      </c>
      <c r="O78" s="928">
        <f t="shared" si="2"/>
        <v>15823.015751830153</v>
      </c>
      <c r="P78" s="1273"/>
      <c r="Q78" s="1274"/>
      <c r="R78" s="1274"/>
      <c r="S78" s="883">
        <f t="shared" si="4"/>
        <v>15823.015751830153</v>
      </c>
      <c r="T78" s="1275"/>
      <c r="U78" s="1276"/>
      <c r="V78" s="1275"/>
      <c r="W78" s="1275"/>
      <c r="X78" s="1275"/>
      <c r="Y78" s="1275"/>
      <c r="Z78" s="1275"/>
      <c r="AA78" s="1275"/>
      <c r="AB78" s="1275"/>
      <c r="AC78" s="1275"/>
    </row>
    <row r="79" spans="1:29" s="1281" customFormat="1" ht="11.25" customHeight="1">
      <c r="A79" s="1269"/>
      <c r="B79" s="1270">
        <v>45862</v>
      </c>
      <c r="C79" s="1288" t="s">
        <v>1408</v>
      </c>
      <c r="D79" s="1271" t="s">
        <v>1460</v>
      </c>
      <c r="E79" s="1206">
        <v>56</v>
      </c>
      <c r="F79" s="1286" t="s">
        <v>146</v>
      </c>
      <c r="G79" s="1287" t="s">
        <v>147</v>
      </c>
      <c r="H79" s="1279"/>
      <c r="I79" s="1280"/>
      <c r="J79" s="1280"/>
      <c r="K79" s="919">
        <v>155</v>
      </c>
      <c r="L79" s="542">
        <f>'통장내역(환율표)'!$D$5</f>
        <v>7.1674000343842152</v>
      </c>
      <c r="M79" s="1285">
        <f t="shared" si="3"/>
        <v>21.625694011275705</v>
      </c>
      <c r="N79" s="928">
        <f t="shared" si="1"/>
        <v>113254.89000000003</v>
      </c>
      <c r="O79" s="928">
        <f t="shared" si="2"/>
        <v>15801.390057818877</v>
      </c>
      <c r="P79" s="1273"/>
      <c r="Q79" s="1274"/>
      <c r="R79" s="1274"/>
      <c r="S79" s="883">
        <f t="shared" si="4"/>
        <v>15801.390057818877</v>
      </c>
      <c r="T79" s="1275"/>
      <c r="U79" s="1276"/>
      <c r="V79" s="1275"/>
      <c r="W79" s="1275"/>
      <c r="X79" s="1275"/>
      <c r="Y79" s="1275"/>
      <c r="Z79" s="1275"/>
      <c r="AA79" s="1275"/>
      <c r="AB79" s="1275"/>
      <c r="AC79" s="1275"/>
    </row>
    <row r="80" spans="1:29" s="1281" customFormat="1" ht="11.25" customHeight="1">
      <c r="A80" s="1269"/>
      <c r="B80" s="1270">
        <v>45862</v>
      </c>
      <c r="C80" s="1288" t="s">
        <v>862</v>
      </c>
      <c r="D80" s="1271" t="s">
        <v>1460</v>
      </c>
      <c r="E80" s="1206">
        <v>57</v>
      </c>
      <c r="F80" s="1286" t="s">
        <v>107</v>
      </c>
      <c r="G80" s="1287"/>
      <c r="H80" s="1272"/>
      <c r="I80" s="1278"/>
      <c r="J80" s="1272"/>
      <c r="K80" s="919">
        <v>3.6</v>
      </c>
      <c r="L80" s="542">
        <f>'통장내역(환율표)'!$D$5</f>
        <v>7.1674000343842152</v>
      </c>
      <c r="M80" s="1285">
        <f t="shared" si="3"/>
        <v>0.50227418348769381</v>
      </c>
      <c r="N80" s="928">
        <f t="shared" si="1"/>
        <v>113251.29000000002</v>
      </c>
      <c r="O80" s="928">
        <f t="shared" si="2"/>
        <v>15800.887783635389</v>
      </c>
      <c r="P80" s="1273"/>
      <c r="Q80" s="1274"/>
      <c r="R80" s="1274"/>
      <c r="S80" s="883">
        <f t="shared" si="4"/>
        <v>15800.887783635389</v>
      </c>
      <c r="T80" s="1275"/>
      <c r="U80" s="1276"/>
      <c r="V80" s="1275"/>
      <c r="W80" s="1275"/>
      <c r="X80" s="1275"/>
      <c r="Y80" s="1275"/>
      <c r="Z80" s="1275"/>
      <c r="AA80" s="1275"/>
      <c r="AB80" s="1275"/>
      <c r="AC80" s="1275"/>
    </row>
    <row r="81" spans="1:29" s="1281" customFormat="1" ht="11.25" customHeight="1">
      <c r="A81" s="1269"/>
      <c r="B81" s="1270">
        <v>45862</v>
      </c>
      <c r="C81" s="1288" t="s">
        <v>11</v>
      </c>
      <c r="D81" s="1271" t="s">
        <v>211</v>
      </c>
      <c r="E81" s="1206">
        <v>58</v>
      </c>
      <c r="F81" s="1286" t="s">
        <v>125</v>
      </c>
      <c r="G81" s="1287" t="s">
        <v>145</v>
      </c>
      <c r="H81" s="1272"/>
      <c r="I81" s="1278"/>
      <c r="J81" s="1272"/>
      <c r="K81" s="919">
        <v>8418</v>
      </c>
      <c r="L81" s="542">
        <f>'통장내역(환율표)'!$D$5</f>
        <v>7.1674000343842152</v>
      </c>
      <c r="M81" s="1285">
        <f t="shared" si="3"/>
        <v>1174.4844657220572</v>
      </c>
      <c r="N81" s="928">
        <f t="shared" ref="N81:N92" si="5">N80+H81-K81</f>
        <v>104833.29000000002</v>
      </c>
      <c r="O81" s="928">
        <f t="shared" ref="O81:O92" si="6">O80+J81-M81</f>
        <v>14626.403317913333</v>
      </c>
      <c r="P81" s="1273"/>
      <c r="Q81" s="1274"/>
      <c r="R81" s="1274"/>
      <c r="S81" s="883">
        <f t="shared" si="4"/>
        <v>14626.403317913333</v>
      </c>
      <c r="T81" s="1275"/>
      <c r="U81" s="1276"/>
      <c r="V81" s="1275"/>
      <c r="W81" s="1275"/>
      <c r="X81" s="1275"/>
      <c r="Y81" s="1275"/>
      <c r="Z81" s="1275"/>
      <c r="AA81" s="1275"/>
      <c r="AB81" s="1275"/>
      <c r="AC81" s="1275"/>
    </row>
    <row r="82" spans="1:29" s="1281" customFormat="1" ht="11.25" customHeight="1">
      <c r="A82" s="1269"/>
      <c r="B82" s="1270">
        <v>45862</v>
      </c>
      <c r="C82" s="1277" t="s">
        <v>1403</v>
      </c>
      <c r="D82" s="1271" t="s">
        <v>211</v>
      </c>
      <c r="E82" s="1206">
        <v>59</v>
      </c>
      <c r="F82" s="1286" t="s">
        <v>146</v>
      </c>
      <c r="G82" s="1287" t="s">
        <v>147</v>
      </c>
      <c r="H82" s="1272"/>
      <c r="I82" s="1278"/>
      <c r="J82" s="1272"/>
      <c r="K82" s="919">
        <v>12612.81</v>
      </c>
      <c r="L82" s="542">
        <f>'통장내역(환율표)'!$D$5</f>
        <v>7.1674000343842152</v>
      </c>
      <c r="M82" s="1285">
        <f t="shared" si="3"/>
        <v>1759.7469011765052</v>
      </c>
      <c r="N82" s="928">
        <f t="shared" si="5"/>
        <v>92220.480000000025</v>
      </c>
      <c r="O82" s="928">
        <f t="shared" si="6"/>
        <v>12866.656416736827</v>
      </c>
      <c r="P82" s="1273"/>
      <c r="Q82" s="1274"/>
      <c r="R82" s="1274"/>
      <c r="S82" s="883">
        <f t="shared" si="4"/>
        <v>12866.656416736827</v>
      </c>
      <c r="T82" s="1275"/>
      <c r="U82" s="1276"/>
      <c r="V82" s="1275"/>
      <c r="W82" s="1275"/>
      <c r="X82" s="1275"/>
      <c r="Y82" s="1275"/>
      <c r="Z82" s="1275"/>
      <c r="AA82" s="1275"/>
      <c r="AB82" s="1275"/>
      <c r="AC82" s="1275"/>
    </row>
    <row r="83" spans="1:29" s="1281" customFormat="1" ht="11.25" customHeight="1">
      <c r="A83" s="1269"/>
      <c r="B83" s="1270">
        <v>45862</v>
      </c>
      <c r="C83" s="1277" t="s">
        <v>1451</v>
      </c>
      <c r="D83" s="1271" t="s">
        <v>211</v>
      </c>
      <c r="E83" s="1206">
        <v>60</v>
      </c>
      <c r="F83" s="1286" t="s">
        <v>146</v>
      </c>
      <c r="G83" s="1287" t="s">
        <v>147</v>
      </c>
      <c r="H83" s="1272"/>
      <c r="I83" s="1278"/>
      <c r="J83" s="1272"/>
      <c r="K83" s="919">
        <v>88.08</v>
      </c>
      <c r="L83" s="542">
        <f>'통장내역(환율표)'!$D$5</f>
        <v>7.1674000343842152</v>
      </c>
      <c r="M83" s="1285">
        <f t="shared" si="3"/>
        <v>12.288975022665575</v>
      </c>
      <c r="N83" s="928">
        <f t="shared" si="5"/>
        <v>92132.400000000023</v>
      </c>
      <c r="O83" s="928">
        <f t="shared" si="6"/>
        <v>12854.367441714161</v>
      </c>
      <c r="P83" s="1273"/>
      <c r="Q83" s="1274"/>
      <c r="R83" s="1274"/>
      <c r="S83" s="883">
        <f t="shared" si="4"/>
        <v>12854.367441714161</v>
      </c>
      <c r="T83" s="1275"/>
      <c r="U83" s="1276"/>
      <c r="V83" s="1275"/>
      <c r="W83" s="1275"/>
      <c r="X83" s="1275"/>
      <c r="Y83" s="1275"/>
      <c r="Z83" s="1275"/>
      <c r="AA83" s="1275"/>
      <c r="AB83" s="1275"/>
      <c r="AC83" s="1275"/>
    </row>
    <row r="84" spans="1:29" s="1281" customFormat="1" ht="11.25" customHeight="1">
      <c r="A84" s="1269"/>
      <c r="B84" s="1270">
        <v>45862</v>
      </c>
      <c r="C84" s="1288" t="s">
        <v>19</v>
      </c>
      <c r="D84" s="1271" t="s">
        <v>211</v>
      </c>
      <c r="E84" s="1206">
        <v>61</v>
      </c>
      <c r="F84" s="1286" t="s">
        <v>116</v>
      </c>
      <c r="G84" s="1287" t="s">
        <v>140</v>
      </c>
      <c r="H84" s="1272"/>
      <c r="I84" s="1278"/>
      <c r="J84" s="1272"/>
      <c r="K84" s="919">
        <v>495</v>
      </c>
      <c r="L84" s="542">
        <f>'통장내역(환율표)'!$D$5</f>
        <v>7.1674000343842152</v>
      </c>
      <c r="M84" s="1285">
        <f t="shared" si="3"/>
        <v>69.06270022955789</v>
      </c>
      <c r="N84" s="928">
        <f t="shared" si="5"/>
        <v>91637.400000000023</v>
      </c>
      <c r="O84" s="928">
        <f t="shared" si="6"/>
        <v>12785.304741484602</v>
      </c>
      <c r="P84" s="1273"/>
      <c r="Q84" s="1274"/>
      <c r="R84" s="1274"/>
      <c r="S84" s="883">
        <f t="shared" si="4"/>
        <v>12785.304741484602</v>
      </c>
      <c r="T84" s="1275"/>
      <c r="U84" s="1276"/>
      <c r="V84" s="1275"/>
      <c r="W84" s="1275"/>
      <c r="X84" s="1275"/>
      <c r="Y84" s="1275"/>
      <c r="Z84" s="1275"/>
      <c r="AA84" s="1275"/>
      <c r="AB84" s="1275"/>
      <c r="AC84" s="1275"/>
    </row>
    <row r="85" spans="1:29" s="1281" customFormat="1" ht="11.25" customHeight="1">
      <c r="A85" s="1269"/>
      <c r="B85" s="1270">
        <v>45862</v>
      </c>
      <c r="C85" s="1282" t="s">
        <v>564</v>
      </c>
      <c r="D85" s="1271" t="s">
        <v>211</v>
      </c>
      <c r="E85" s="1206">
        <v>62</v>
      </c>
      <c r="F85" s="1286" t="s">
        <v>107</v>
      </c>
      <c r="G85" s="1287"/>
      <c r="H85" s="1272"/>
      <c r="I85" s="1278"/>
      <c r="J85" s="1272"/>
      <c r="K85" s="919">
        <f>2400</f>
        <v>2400</v>
      </c>
      <c r="L85" s="542">
        <f>'통장내역(환율표)'!$D$5</f>
        <v>7.1674000343842152</v>
      </c>
      <c r="M85" s="1285">
        <f t="shared" si="3"/>
        <v>334.84945565846249</v>
      </c>
      <c r="N85" s="928">
        <f t="shared" si="5"/>
        <v>89237.400000000023</v>
      </c>
      <c r="O85" s="928">
        <f t="shared" si="6"/>
        <v>12450.45528582614</v>
      </c>
      <c r="P85" s="1273" t="s">
        <v>1578</v>
      </c>
      <c r="Q85" s="1274"/>
      <c r="R85" s="1274"/>
      <c r="S85" s="883">
        <f t="shared" si="4"/>
        <v>12450.45528582614</v>
      </c>
      <c r="T85" s="1275"/>
      <c r="U85" s="1276"/>
      <c r="V85" s="1275"/>
      <c r="W85" s="1275"/>
      <c r="X85" s="1275"/>
      <c r="Y85" s="1275"/>
      <c r="Z85" s="1275"/>
      <c r="AA85" s="1275"/>
      <c r="AB85" s="1275"/>
      <c r="AC85" s="1275"/>
    </row>
    <row r="86" spans="1:29" s="1281" customFormat="1" ht="11.25" customHeight="1">
      <c r="A86" s="1269"/>
      <c r="B86" s="1270">
        <v>45862</v>
      </c>
      <c r="C86" s="1288" t="s">
        <v>862</v>
      </c>
      <c r="D86" s="1271" t="s">
        <v>211</v>
      </c>
      <c r="E86" s="1206">
        <v>63</v>
      </c>
      <c r="F86" s="1286" t="s">
        <v>107</v>
      </c>
      <c r="G86" s="1287"/>
      <c r="H86" s="1272"/>
      <c r="I86" s="1278"/>
      <c r="J86" s="1272"/>
      <c r="K86" s="919">
        <v>7.2</v>
      </c>
      <c r="L86" s="542">
        <f>'통장내역(환율표)'!$D$5</f>
        <v>7.1674000343842152</v>
      </c>
      <c r="M86" s="1285">
        <f t="shared" si="3"/>
        <v>1.0045483669753876</v>
      </c>
      <c r="N86" s="928">
        <f t="shared" si="5"/>
        <v>89230.200000000026</v>
      </c>
      <c r="O86" s="928">
        <f t="shared" si="6"/>
        <v>12449.450737459165</v>
      </c>
      <c r="P86" s="1273"/>
      <c r="Q86" s="1274"/>
      <c r="R86" s="1274"/>
      <c r="S86" s="883">
        <f t="shared" si="4"/>
        <v>12449.450737459165</v>
      </c>
      <c r="T86" s="1275"/>
      <c r="U86" s="1276"/>
      <c r="V86" s="1275"/>
      <c r="W86" s="1275"/>
      <c r="X86" s="1275"/>
      <c r="Y86" s="1275"/>
      <c r="Z86" s="1275"/>
      <c r="AA86" s="1275"/>
      <c r="AB86" s="1275"/>
      <c r="AC86" s="1275"/>
    </row>
    <row r="87" spans="1:29" s="1281" customFormat="1" ht="11.25" customHeight="1">
      <c r="A87" s="1269"/>
      <c r="B87" s="1270">
        <v>45862</v>
      </c>
      <c r="C87" s="1288" t="s">
        <v>11</v>
      </c>
      <c r="D87" s="1271" t="s">
        <v>1551</v>
      </c>
      <c r="E87" s="1206">
        <v>64</v>
      </c>
      <c r="F87" s="1286" t="s">
        <v>125</v>
      </c>
      <c r="G87" s="1287" t="s">
        <v>145</v>
      </c>
      <c r="H87" s="1272"/>
      <c r="I87" s="1278"/>
      <c r="J87" s="1272"/>
      <c r="K87" s="919">
        <v>7705.8</v>
      </c>
      <c r="L87" s="542">
        <f>'통장내역(환율표)'!$D$5</f>
        <v>7.1674000343842152</v>
      </c>
      <c r="M87" s="1285">
        <f t="shared" si="3"/>
        <v>1075.1178897554084</v>
      </c>
      <c r="N87" s="928">
        <f t="shared" si="5"/>
        <v>81524.400000000023</v>
      </c>
      <c r="O87" s="928">
        <f t="shared" si="6"/>
        <v>11374.332847703756</v>
      </c>
      <c r="P87" s="1273"/>
      <c r="Q87" s="1274"/>
      <c r="R87" s="1274"/>
      <c r="S87" s="883">
        <f t="shared" si="4"/>
        <v>11374.332847703756</v>
      </c>
      <c r="T87" s="1275"/>
      <c r="U87" s="1276"/>
      <c r="V87" s="1275"/>
      <c r="W87" s="1275"/>
      <c r="X87" s="1275"/>
      <c r="Y87" s="1275"/>
      <c r="Z87" s="1275"/>
      <c r="AA87" s="1275"/>
      <c r="AB87" s="1275"/>
      <c r="AC87" s="1275"/>
    </row>
    <row r="88" spans="1:29" s="1281" customFormat="1" ht="11.25" customHeight="1">
      <c r="A88" s="1269"/>
      <c r="B88" s="1270">
        <v>45862</v>
      </c>
      <c r="C88" s="1282" t="s">
        <v>564</v>
      </c>
      <c r="D88" s="1271" t="s">
        <v>1551</v>
      </c>
      <c r="E88" s="1206">
        <v>65</v>
      </c>
      <c r="F88" s="1286" t="s">
        <v>107</v>
      </c>
      <c r="G88" s="1287"/>
      <c r="H88" s="1272"/>
      <c r="I88" s="1278"/>
      <c r="J88" s="1272"/>
      <c r="K88" s="919">
        <v>400</v>
      </c>
      <c r="L88" s="542">
        <f>'통장내역(환율표)'!$D$5</f>
        <v>7.1674000343842152</v>
      </c>
      <c r="M88" s="1285">
        <f t="shared" ref="M88:M90" si="7">K88/L88</f>
        <v>55.808242609743751</v>
      </c>
      <c r="N88" s="928">
        <f t="shared" si="5"/>
        <v>81124.400000000023</v>
      </c>
      <c r="O88" s="928">
        <f t="shared" si="6"/>
        <v>11318.524605094011</v>
      </c>
      <c r="P88" s="1273" t="s">
        <v>1578</v>
      </c>
      <c r="Q88" s="1274"/>
      <c r="R88" s="1274"/>
      <c r="S88" s="883">
        <f t="shared" ref="S88:S92" si="8">S87-M88+J88</f>
        <v>11318.524605094011</v>
      </c>
      <c r="T88" s="1275"/>
      <c r="U88" s="1276"/>
      <c r="V88" s="1275"/>
      <c r="W88" s="1275"/>
      <c r="X88" s="1275"/>
      <c r="Y88" s="1275"/>
      <c r="Z88" s="1275"/>
      <c r="AA88" s="1275"/>
      <c r="AB88" s="1275"/>
      <c r="AC88" s="1275"/>
    </row>
    <row r="89" spans="1:29" s="1276" customFormat="1" ht="12" customHeight="1">
      <c r="A89" s="1269"/>
      <c r="B89" s="1303">
        <v>45863</v>
      </c>
      <c r="C89" s="1304" t="s">
        <v>1510</v>
      </c>
      <c r="D89" s="1305" t="s">
        <v>188</v>
      </c>
      <c r="E89" s="1306">
        <v>66</v>
      </c>
      <c r="F89" s="1307" t="s">
        <v>69</v>
      </c>
      <c r="G89" s="1308" t="s">
        <v>1585</v>
      </c>
      <c r="H89" s="1309"/>
      <c r="I89" s="1309"/>
      <c r="J89" s="1309"/>
      <c r="K89" s="1310">
        <v>40000</v>
      </c>
      <c r="L89" s="1311">
        <f>'통장내역(환율표)'!$D$5</f>
        <v>7.1674000343842152</v>
      </c>
      <c r="M89" s="1312">
        <f t="shared" si="7"/>
        <v>5580.8242609743756</v>
      </c>
      <c r="N89" s="1313">
        <f t="shared" si="5"/>
        <v>41124.400000000023</v>
      </c>
      <c r="O89" s="1313">
        <f t="shared" si="6"/>
        <v>5737.7003441196357</v>
      </c>
      <c r="P89" s="1314" t="s">
        <v>1579</v>
      </c>
      <c r="Q89" s="1315"/>
      <c r="R89" s="1315"/>
      <c r="S89" s="883">
        <f t="shared" si="8"/>
        <v>5737.7003441196357</v>
      </c>
      <c r="T89" s="1275"/>
      <c r="V89" s="1275"/>
      <c r="W89" s="1275"/>
      <c r="X89" s="1275"/>
      <c r="Y89" s="1275"/>
      <c r="Z89" s="1275"/>
      <c r="AA89" s="1275"/>
      <c r="AB89" s="1275"/>
      <c r="AC89" s="1275"/>
    </row>
    <row r="90" spans="1:29" s="1276" customFormat="1" ht="12" customHeight="1">
      <c r="A90" s="1269"/>
      <c r="B90" s="1270">
        <v>45863</v>
      </c>
      <c r="C90" s="1277" t="s">
        <v>862</v>
      </c>
      <c r="D90" s="1271" t="s">
        <v>188</v>
      </c>
      <c r="E90" s="1206">
        <v>67</v>
      </c>
      <c r="F90" s="1286" t="s">
        <v>107</v>
      </c>
      <c r="G90" s="1287"/>
      <c r="H90" s="1272"/>
      <c r="I90" s="1272"/>
      <c r="J90" s="1272"/>
      <c r="K90" s="919">
        <v>7.2</v>
      </c>
      <c r="L90" s="542">
        <f>'통장내역(환율표)'!$D$5</f>
        <v>7.1674000343842152</v>
      </c>
      <c r="M90" s="1285">
        <f t="shared" si="7"/>
        <v>1.0045483669753876</v>
      </c>
      <c r="N90" s="928">
        <f t="shared" si="5"/>
        <v>41117.200000000026</v>
      </c>
      <c r="O90" s="928">
        <f t="shared" si="6"/>
        <v>5736.6957957526602</v>
      </c>
      <c r="P90" s="1273"/>
      <c r="Q90" s="1274"/>
      <c r="R90" s="1274"/>
      <c r="S90" s="883">
        <f t="shared" si="8"/>
        <v>5736.6957957526602</v>
      </c>
      <c r="T90" s="1275"/>
      <c r="V90" s="1275"/>
      <c r="W90" s="1275"/>
      <c r="X90" s="1275"/>
      <c r="Y90" s="1275"/>
      <c r="Z90" s="1275"/>
      <c r="AA90" s="1275"/>
      <c r="AB90" s="1275"/>
      <c r="AC90" s="1275"/>
    </row>
    <row r="91" spans="1:29" s="1281" customFormat="1" ht="11.25" customHeight="1">
      <c r="A91" s="1269"/>
      <c r="B91" s="1303">
        <v>45863</v>
      </c>
      <c r="C91" s="1316" t="s">
        <v>1510</v>
      </c>
      <c r="D91" s="1305" t="s">
        <v>1454</v>
      </c>
      <c r="E91" s="1306">
        <v>68</v>
      </c>
      <c r="F91" s="1307" t="s">
        <v>69</v>
      </c>
      <c r="G91" s="1308" t="s">
        <v>1585</v>
      </c>
      <c r="H91" s="1309"/>
      <c r="I91" s="1317"/>
      <c r="J91" s="1309"/>
      <c r="K91" s="1310">
        <v>40000</v>
      </c>
      <c r="L91" s="1311">
        <f>'통장내역(환율표)'!$D$5</f>
        <v>7.1674000343842152</v>
      </c>
      <c r="M91" s="1312">
        <v>5580.82</v>
      </c>
      <c r="N91" s="1313">
        <f t="shared" si="5"/>
        <v>1117.2000000000262</v>
      </c>
      <c r="O91" s="1313">
        <f t="shared" si="6"/>
        <v>155.87579575266045</v>
      </c>
      <c r="P91" s="1314" t="s">
        <v>1581</v>
      </c>
      <c r="Q91" s="1315"/>
      <c r="R91" s="1315"/>
      <c r="S91" s="883">
        <f t="shared" si="8"/>
        <v>155.87579575266045</v>
      </c>
      <c r="T91" s="1275"/>
      <c r="U91" s="1276"/>
      <c r="V91" s="1275"/>
      <c r="W91" s="1275"/>
      <c r="X91" s="1275"/>
      <c r="Y91" s="1275"/>
      <c r="Z91" s="1275"/>
      <c r="AA91" s="1275"/>
      <c r="AB91" s="1275"/>
      <c r="AC91" s="1275"/>
    </row>
    <row r="92" spans="1:29" s="1281" customFormat="1" ht="11.25" customHeight="1">
      <c r="A92" s="1269"/>
      <c r="B92" s="1270">
        <v>45863</v>
      </c>
      <c r="C92" s="1288" t="s">
        <v>862</v>
      </c>
      <c r="D92" s="1271" t="s">
        <v>211</v>
      </c>
      <c r="E92" s="1206">
        <v>69</v>
      </c>
      <c r="F92" s="1286" t="s">
        <v>107</v>
      </c>
      <c r="G92" s="1287"/>
      <c r="H92" s="1272"/>
      <c r="I92" s="1278"/>
      <c r="J92" s="1272"/>
      <c r="K92" s="919">
        <v>7.2</v>
      </c>
      <c r="L92" s="542">
        <f>'통장내역(환율표)'!$D$5</f>
        <v>7.1674000343842152</v>
      </c>
      <c r="M92" s="1285">
        <v>1</v>
      </c>
      <c r="N92" s="1301">
        <f t="shared" si="5"/>
        <v>1110.0000000000261</v>
      </c>
      <c r="O92" s="1301">
        <f t="shared" si="6"/>
        <v>154.87579575266045</v>
      </c>
      <c r="P92" s="1273"/>
      <c r="Q92" s="1274"/>
      <c r="R92" s="1274"/>
      <c r="S92" s="1302">
        <f t="shared" si="8"/>
        <v>154.87579575266045</v>
      </c>
      <c r="T92" s="1275"/>
      <c r="U92" s="1276"/>
      <c r="V92" s="1275"/>
      <c r="W92" s="1275"/>
      <c r="X92" s="1275"/>
      <c r="Y92" s="1275"/>
      <c r="Z92" s="1275"/>
      <c r="AA92" s="1275"/>
      <c r="AB92" s="1275"/>
      <c r="AC92" s="1275"/>
    </row>
    <row r="93" spans="1:29" s="1275" customFormat="1" ht="11.25" customHeight="1">
      <c r="A93" s="1269"/>
      <c r="B93" s="1289"/>
      <c r="C93" s="1290"/>
      <c r="G93" s="1281"/>
      <c r="J93" s="1281"/>
      <c r="K93" s="1291"/>
      <c r="R93" s="1281"/>
      <c r="S93" s="1292"/>
      <c r="U93" s="1276"/>
    </row>
    <row r="94" spans="1:29" s="1275" customFormat="1" ht="11.25" customHeight="1">
      <c r="A94" s="1269"/>
      <c r="B94" s="1289"/>
      <c r="C94" s="1290"/>
      <c r="G94" s="1281"/>
      <c r="J94" s="1281"/>
      <c r="K94" s="1291"/>
      <c r="R94" s="1281"/>
      <c r="S94" s="1292"/>
      <c r="U94" s="1276"/>
    </row>
    <row r="95" spans="1:29" s="1275" customFormat="1" ht="11.25" customHeight="1">
      <c r="A95" s="1269"/>
      <c r="B95" s="1289"/>
      <c r="C95" s="1290"/>
      <c r="G95" s="1281"/>
      <c r="J95" s="1281"/>
      <c r="K95" s="1291"/>
      <c r="R95" s="1281"/>
      <c r="S95" s="1292"/>
      <c r="U95" s="1276"/>
    </row>
    <row r="96" spans="1:29" s="1275" customFormat="1" ht="11.25" customHeight="1">
      <c r="A96" s="1269"/>
      <c r="B96" s="1289"/>
      <c r="C96" s="1290"/>
      <c r="G96" s="1281"/>
      <c r="J96" s="1281"/>
      <c r="K96" s="1291"/>
      <c r="R96" s="1281"/>
      <c r="S96" s="1292"/>
      <c r="U96" s="1276"/>
    </row>
    <row r="97" spans="1:21" s="1275" customFormat="1" ht="11.25" customHeight="1">
      <c r="A97" s="1269"/>
      <c r="B97" s="1289"/>
      <c r="C97" s="1290"/>
      <c r="G97" s="1281"/>
      <c r="J97" s="1281"/>
      <c r="K97" s="1291"/>
      <c r="R97" s="1281"/>
      <c r="S97" s="1292"/>
      <c r="U97" s="1276"/>
    </row>
  </sheetData>
  <autoFilter ref="B18:R92" xr:uid="{00000000-0009-0000-0000-000001000000}">
    <filterColumn colId="14" showButton="0"/>
    <sortState xmlns:xlrd2="http://schemas.microsoft.com/office/spreadsheetml/2017/richdata2" ref="B19:R92">
      <sortCondition sortBy="cellColor" ref="M18:M92" dxfId="10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D932-F1CB-4AA9-9E5A-30EA6138AA3D}">
  <sheetPr>
    <tabColor rgb="FFFEFED8"/>
  </sheetPr>
  <dimension ref="A1:AC95"/>
  <sheetViews>
    <sheetView showGridLines="0" zoomScale="85" zoomScaleNormal="85" workbookViewId="0">
      <pane ySplit="19" topLeftCell="A74" activePane="bottomLeft" state="frozen"/>
      <selection activeCell="G66" sqref="G66"/>
      <selection pane="bottomLeft" activeCell="G5" sqref="G5:G12"/>
    </sheetView>
  </sheetViews>
  <sheetFormatPr defaultColWidth="9" defaultRowHeight="11.25" customHeight="1"/>
  <cols>
    <col min="1" max="1" width="1.69921875" style="462" customWidth="1"/>
    <col min="2" max="2" width="9.69921875" style="1398" customWidth="1"/>
    <col min="3" max="3" width="24" style="464" customWidth="1"/>
    <col min="4" max="4" width="15.69921875" style="466" customWidth="1"/>
    <col min="5" max="5" width="8.5" style="466" customWidth="1"/>
    <col min="6" max="6" width="15.09765625" style="466" customWidth="1"/>
    <col min="7" max="7" width="9.796875" style="468" customWidth="1"/>
    <col min="8" max="8" width="9.69921875" style="466" customWidth="1"/>
    <col min="9" max="9" width="9.796875" style="466" customWidth="1"/>
    <col min="10" max="10" width="10.5" style="468" customWidth="1"/>
    <col min="11" max="11" width="11" style="877" customWidth="1"/>
    <col min="12" max="12" width="11.09765625" style="466" customWidth="1"/>
    <col min="13" max="13" width="9.69921875" style="466" customWidth="1"/>
    <col min="14" max="14" width="12.296875" style="466" customWidth="1"/>
    <col min="15" max="15" width="9.796875" style="466" customWidth="1"/>
    <col min="16" max="16" width="10.69921875" style="466" customWidth="1"/>
    <col min="17" max="17" width="9.59765625" style="466" customWidth="1"/>
    <col min="18" max="18" width="31.5" style="468" customWidth="1"/>
    <col min="19" max="19" width="10.5" style="474" bestFit="1" customWidth="1"/>
    <col min="20" max="20" width="9" style="466"/>
    <col min="21" max="21" width="9" style="1346"/>
    <col min="22" max="16384" width="9" style="466"/>
  </cols>
  <sheetData>
    <row r="1" spans="1:29" ht="4.5" customHeight="1">
      <c r="A1" s="1333"/>
      <c r="B1" s="1334"/>
      <c r="C1" s="1335"/>
      <c r="D1" s="1336"/>
      <c r="E1" s="1337"/>
      <c r="F1" s="1337"/>
      <c r="G1" s="1338"/>
      <c r="H1" s="1337"/>
      <c r="I1" s="1337"/>
      <c r="J1" s="1339"/>
      <c r="K1" s="1340"/>
      <c r="L1" s="1341"/>
      <c r="M1" s="1342"/>
      <c r="N1" s="1342"/>
      <c r="O1" s="1336"/>
      <c r="P1" s="1343"/>
      <c r="Q1" s="1343"/>
      <c r="R1" s="1344"/>
      <c r="S1" s="1345"/>
    </row>
    <row r="2" spans="1:29" ht="15" customHeight="1">
      <c r="B2" s="463" t="s">
        <v>1595</v>
      </c>
      <c r="D2" s="464"/>
      <c r="F2" s="467"/>
      <c r="G2" s="468" t="s">
        <v>1047</v>
      </c>
      <c r="H2" s="1347" t="s">
        <v>1398</v>
      </c>
      <c r="I2" s="470"/>
      <c r="J2" s="470"/>
      <c r="K2" s="1348"/>
      <c r="L2" s="470"/>
      <c r="M2" s="470"/>
      <c r="N2" s="1349"/>
      <c r="O2" s="473"/>
      <c r="Q2" s="768"/>
    </row>
    <row r="3" spans="1:29" s="1355" customFormat="1" ht="11.25" customHeight="1">
      <c r="A3" s="1350"/>
      <c r="B3" s="1351" t="s">
        <v>1597</v>
      </c>
      <c r="C3" s="1352"/>
      <c r="D3" s="1352"/>
      <c r="E3" s="1352"/>
      <c r="F3" s="1353">
        <v>1373.8</v>
      </c>
      <c r="G3" s="1354"/>
      <c r="H3" s="1351" t="s">
        <v>1598</v>
      </c>
      <c r="I3" s="1352"/>
      <c r="K3" s="1356"/>
      <c r="L3" s="1353">
        <v>1384.2</v>
      </c>
      <c r="Q3" s="1351"/>
      <c r="R3" s="1351"/>
      <c r="T3" s="1351"/>
      <c r="U3" s="1352"/>
      <c r="V3" s="1357"/>
      <c r="W3" s="1357"/>
      <c r="X3" s="1358">
        <v>1327.2</v>
      </c>
    </row>
    <row r="4" spans="1:29" ht="11.25" customHeight="1">
      <c r="A4" s="1333"/>
      <c r="B4" s="1359" t="s">
        <v>1</v>
      </c>
      <c r="C4" s="1360" t="s">
        <v>2</v>
      </c>
      <c r="D4" s="1361" t="s">
        <v>1049</v>
      </c>
      <c r="E4" s="1362" t="s">
        <v>1050</v>
      </c>
      <c r="F4" s="1363" t="s">
        <v>1051</v>
      </c>
      <c r="H4" s="1359" t="s">
        <v>1</v>
      </c>
      <c r="I4" s="1361" t="s">
        <v>2</v>
      </c>
      <c r="J4" s="1364" t="s">
        <v>1049</v>
      </c>
      <c r="K4" s="1365" t="s">
        <v>1050</v>
      </c>
      <c r="L4" s="1363" t="s">
        <v>1051</v>
      </c>
      <c r="M4" s="1355"/>
      <c r="N4" s="1355"/>
      <c r="O4" s="1355"/>
      <c r="P4" s="1355"/>
      <c r="Q4" s="1351"/>
      <c r="R4" s="1351"/>
      <c r="U4" s="466"/>
    </row>
    <row r="5" spans="1:29" ht="11.25" customHeight="1">
      <c r="A5" s="474">
        <v>51131050</v>
      </c>
      <c r="B5" s="1366" t="s">
        <v>1052</v>
      </c>
      <c r="C5" s="1367" t="s">
        <v>12</v>
      </c>
      <c r="D5" s="1368"/>
      <c r="E5" s="1369"/>
      <c r="F5" s="1370">
        <f>ROUND(E5*$F$3,0)</f>
        <v>0</v>
      </c>
      <c r="G5" s="121">
        <v>51131050</v>
      </c>
      <c r="H5" s="1371" t="s">
        <v>11</v>
      </c>
      <c r="I5" s="1371" t="s">
        <v>12</v>
      </c>
      <c r="J5" s="1372">
        <v>19193.349999999999</v>
      </c>
      <c r="K5" s="1373">
        <v>2673.8</v>
      </c>
      <c r="L5" s="1374">
        <f>ROUND(K5*$L$3,0)</f>
        <v>3701074</v>
      </c>
      <c r="M5" s="1355"/>
      <c r="N5" s="1355"/>
      <c r="O5" s="1355"/>
      <c r="P5" s="1355"/>
      <c r="Q5" s="1351"/>
      <c r="R5" s="1351"/>
      <c r="S5" s="1375">
        <f>F5+L5+R5</f>
        <v>3701074</v>
      </c>
      <c r="U5" s="466"/>
    </row>
    <row r="6" spans="1:29" ht="11.25" customHeight="1">
      <c r="A6" s="474">
        <v>51061030</v>
      </c>
      <c r="B6" s="1366" t="s">
        <v>1053</v>
      </c>
      <c r="C6" s="1367" t="s">
        <v>1054</v>
      </c>
      <c r="D6" s="1368"/>
      <c r="E6" s="1368"/>
      <c r="F6" s="1370">
        <f t="shared" ref="F6:F12" si="0">ROUND(E6*$F$3,0)</f>
        <v>0</v>
      </c>
      <c r="G6" s="121">
        <v>51061030</v>
      </c>
      <c r="H6" s="1371" t="s">
        <v>13</v>
      </c>
      <c r="I6" s="1371" t="s">
        <v>14</v>
      </c>
      <c r="J6" s="1372">
        <v>38472.06</v>
      </c>
      <c r="K6" s="1373">
        <v>5359.49</v>
      </c>
      <c r="L6" s="1374">
        <f t="shared" ref="L6:L11" si="1">ROUND(K6*$L$3,0)</f>
        <v>7418606</v>
      </c>
      <c r="M6" s="1355"/>
      <c r="N6" s="1355"/>
      <c r="O6" s="1355"/>
      <c r="P6" s="1355"/>
      <c r="Q6" s="1351"/>
      <c r="R6" s="1351"/>
      <c r="S6" s="1375">
        <f t="shared" ref="S6:S8" si="2">F6+L6+R6</f>
        <v>7418606</v>
      </c>
      <c r="U6" s="466"/>
      <c r="AB6" s="470"/>
      <c r="AC6" s="468"/>
    </row>
    <row r="7" spans="1:29" ht="11.25" customHeight="1">
      <c r="A7" s="474">
        <v>51201020</v>
      </c>
      <c r="B7" s="1366" t="s">
        <v>15</v>
      </c>
      <c r="C7" s="1367" t="s">
        <v>180</v>
      </c>
      <c r="D7" s="1368">
        <v>1110.06</v>
      </c>
      <c r="E7" s="1368">
        <v>154.88</v>
      </c>
      <c r="F7" s="1370">
        <f t="shared" si="0"/>
        <v>212774</v>
      </c>
      <c r="G7" s="121">
        <v>51201020</v>
      </c>
      <c r="H7" s="1371" t="s">
        <v>15</v>
      </c>
      <c r="I7" s="1371" t="s">
        <v>1055</v>
      </c>
      <c r="J7" s="1376">
        <v>24019.94</v>
      </c>
      <c r="K7" s="1377">
        <v>3346.19</v>
      </c>
      <c r="L7" s="1374">
        <f t="shared" si="1"/>
        <v>4631796</v>
      </c>
      <c r="M7" s="1355"/>
      <c r="N7" s="1355"/>
      <c r="O7" s="1355"/>
      <c r="P7" s="1355"/>
      <c r="Q7" s="1351"/>
      <c r="R7" s="1351"/>
      <c r="S7" s="1375">
        <f t="shared" si="2"/>
        <v>4844570</v>
      </c>
      <c r="U7" s="466"/>
    </row>
    <row r="8" spans="1:29" ht="15" customHeight="1">
      <c r="A8" s="474">
        <v>51201030</v>
      </c>
      <c r="B8" s="1366" t="s">
        <v>1056</v>
      </c>
      <c r="C8" s="1367" t="s">
        <v>17</v>
      </c>
      <c r="D8" s="1368"/>
      <c r="E8" s="1368"/>
      <c r="F8" s="1370">
        <f t="shared" si="0"/>
        <v>0</v>
      </c>
      <c r="G8" s="121">
        <v>51201030</v>
      </c>
      <c r="H8" s="1371" t="s">
        <v>15</v>
      </c>
      <c r="I8" s="1367" t="s">
        <v>17</v>
      </c>
      <c r="J8" s="1376">
        <v>20000</v>
      </c>
      <c r="K8" s="1377">
        <v>2786.17</v>
      </c>
      <c r="L8" s="1374">
        <f t="shared" si="1"/>
        <v>3856617</v>
      </c>
      <c r="M8" s="1355"/>
      <c r="N8" s="1355"/>
      <c r="O8" s="1355"/>
      <c r="P8" s="1355"/>
      <c r="Q8" s="1351"/>
      <c r="R8" s="1351"/>
      <c r="S8" s="1375">
        <f t="shared" si="2"/>
        <v>3856617</v>
      </c>
      <c r="U8" s="466"/>
    </row>
    <row r="9" spans="1:29" ht="11.25" customHeight="1">
      <c r="A9" s="474">
        <v>51071700</v>
      </c>
      <c r="B9" s="1366" t="s">
        <v>19</v>
      </c>
      <c r="C9" s="1367" t="s">
        <v>20</v>
      </c>
      <c r="D9" s="1368"/>
      <c r="E9" s="1368"/>
      <c r="F9" s="1370">
        <f t="shared" si="0"/>
        <v>0</v>
      </c>
      <c r="G9" s="121">
        <v>51071700</v>
      </c>
      <c r="H9" s="1371" t="s">
        <v>19</v>
      </c>
      <c r="I9" s="1367" t="s">
        <v>20</v>
      </c>
      <c r="J9" s="1376">
        <v>2007.4899999999998</v>
      </c>
      <c r="K9" s="1377">
        <v>279.66000000000003</v>
      </c>
      <c r="L9" s="1374">
        <f t="shared" si="1"/>
        <v>387105</v>
      </c>
      <c r="M9" s="1355"/>
      <c r="N9" s="1355"/>
      <c r="O9" s="1355"/>
      <c r="P9" s="1355"/>
      <c r="Q9" s="1351"/>
      <c r="R9" s="1351"/>
      <c r="S9" s="1375"/>
      <c r="U9" s="466"/>
    </row>
    <row r="10" spans="1:29" ht="11.25" customHeight="1">
      <c r="A10" s="474">
        <v>51321010</v>
      </c>
      <c r="B10" s="1366" t="s">
        <v>21</v>
      </c>
      <c r="C10" s="1367"/>
      <c r="D10" s="1368"/>
      <c r="E10" s="1368"/>
      <c r="F10" s="1370">
        <f t="shared" si="0"/>
        <v>0</v>
      </c>
      <c r="G10" s="121">
        <v>51321010</v>
      </c>
      <c r="H10" s="1371" t="s">
        <v>21</v>
      </c>
      <c r="I10" s="1371"/>
      <c r="J10" s="1372">
        <v>362955.37</v>
      </c>
      <c r="K10" s="1373">
        <v>50587.86</v>
      </c>
      <c r="L10" s="1374">
        <f t="shared" si="1"/>
        <v>70023716</v>
      </c>
      <c r="M10" s="1355"/>
      <c r="N10" s="1355"/>
      <c r="O10" s="1355"/>
      <c r="P10" s="1355"/>
      <c r="Q10" s="1351"/>
      <c r="R10" s="1351"/>
      <c r="S10" s="1375"/>
      <c r="U10" s="466"/>
      <c r="AB10" s="470"/>
      <c r="AC10" s="468"/>
    </row>
    <row r="11" spans="1:29" ht="11.25" customHeight="1">
      <c r="A11" s="474">
        <v>51031020</v>
      </c>
      <c r="B11" s="1378" t="s">
        <v>1057</v>
      </c>
      <c r="C11" s="1379" t="s">
        <v>1058</v>
      </c>
      <c r="D11" s="1378"/>
      <c r="E11" s="1378"/>
      <c r="F11" s="1380"/>
      <c r="G11" s="510"/>
      <c r="H11" s="1378" t="s">
        <v>1057</v>
      </c>
      <c r="I11" s="1378" t="s">
        <v>1279</v>
      </c>
      <c r="J11" s="1381"/>
      <c r="K11" s="1382"/>
      <c r="L11" s="1383">
        <f t="shared" si="1"/>
        <v>0</v>
      </c>
      <c r="M11" s="1355"/>
      <c r="N11" s="1355"/>
      <c r="O11" s="1355"/>
      <c r="P11" s="1355"/>
      <c r="Q11" s="875"/>
      <c r="R11" s="1351"/>
      <c r="S11" s="1375"/>
      <c r="U11" s="466"/>
      <c r="AB11" s="470"/>
      <c r="AC11" s="468"/>
    </row>
    <row r="12" spans="1:29" ht="11.25" customHeight="1">
      <c r="A12" s="474">
        <v>52981010</v>
      </c>
      <c r="B12" s="1371" t="s">
        <v>1596</v>
      </c>
      <c r="C12" s="1367" t="s">
        <v>1060</v>
      </c>
      <c r="D12" s="1384"/>
      <c r="E12" s="1368"/>
      <c r="F12" s="1370">
        <f t="shared" si="0"/>
        <v>0</v>
      </c>
      <c r="G12" s="1385">
        <f>E13+R13+AB13</f>
        <v>154.88</v>
      </c>
      <c r="H12" s="1371" t="s">
        <v>1596</v>
      </c>
      <c r="I12" s="1371" t="s">
        <v>1060</v>
      </c>
      <c r="J12" s="1386"/>
      <c r="K12" s="1387"/>
      <c r="L12" s="1374"/>
      <c r="M12" s="1355"/>
      <c r="N12" s="1355"/>
      <c r="O12" s="1355"/>
      <c r="P12" s="1355"/>
      <c r="Q12" s="875"/>
      <c r="R12" s="1351"/>
      <c r="S12" s="1375"/>
      <c r="U12" s="466"/>
      <c r="AB12" s="470"/>
      <c r="AC12" s="468"/>
    </row>
    <row r="13" spans="1:29" s="468" customFormat="1" ht="11.25" customHeight="1">
      <c r="A13" s="1388"/>
      <c r="B13" s="1389" t="s">
        <v>22</v>
      </c>
      <c r="C13" s="1390"/>
      <c r="D13" s="1391">
        <f>SUM(D5:D11)-D12</f>
        <v>1110.06</v>
      </c>
      <c r="E13" s="1392">
        <f>SUM(E5:E11)-E12</f>
        <v>154.88</v>
      </c>
      <c r="F13" s="1393">
        <f>SUM(F5:F11)-F12</f>
        <v>212774</v>
      </c>
      <c r="G13" s="1394" t="e">
        <f>F13+#REF!+AC13</f>
        <v>#REF!</v>
      </c>
      <c r="H13" s="1389" t="s">
        <v>22</v>
      </c>
      <c r="I13" s="1395"/>
      <c r="J13" s="1391">
        <f>SUM(J5:J11)-J12</f>
        <v>466648.20999999996</v>
      </c>
      <c r="K13" s="1365">
        <f>SUM(K5:K11)-K12</f>
        <v>65033.17</v>
      </c>
      <c r="L13" s="1393">
        <f>SUM(L5:L11)-L12</f>
        <v>90018914</v>
      </c>
      <c r="M13" s="1355"/>
      <c r="N13" s="1355"/>
      <c r="O13" s="1355"/>
      <c r="P13" s="1355"/>
      <c r="R13" s="1355"/>
      <c r="S13" s="1375"/>
      <c r="U13" s="1396"/>
      <c r="X13" s="875" t="e">
        <f>F13+#REF!</f>
        <v>#REF!</v>
      </c>
      <c r="Y13" s="1397"/>
      <c r="Z13" s="877"/>
      <c r="AB13" s="471"/>
    </row>
    <row r="14" spans="1:29" ht="14.25" customHeight="1">
      <c r="A14" s="1333"/>
      <c r="D14" s="1399"/>
      <c r="E14" s="1399"/>
      <c r="F14" s="1400"/>
      <c r="G14" s="1401"/>
      <c r="J14" s="1402">
        <f>J13+D13+P13</f>
        <v>467758.26999999996</v>
      </c>
      <c r="K14" s="1403">
        <f>K13+E13+R13</f>
        <v>65188.049999999996</v>
      </c>
      <c r="L14" s="1403">
        <f>L13+F13+S13</f>
        <v>90231688</v>
      </c>
      <c r="M14" s="1355"/>
      <c r="N14" s="1355"/>
      <c r="O14" s="1355"/>
      <c r="P14" s="1355"/>
      <c r="Q14" s="875"/>
      <c r="R14" s="1351"/>
      <c r="X14" s="470"/>
      <c r="Y14" s="470"/>
      <c r="AB14" s="470"/>
      <c r="AC14" s="468"/>
    </row>
    <row r="15" spans="1:29" ht="14.25" customHeight="1">
      <c r="A15" s="1333"/>
      <c r="D15" s="1399"/>
      <c r="E15" s="1399"/>
      <c r="F15" s="1399"/>
      <c r="G15" s="1401"/>
      <c r="J15" s="1404" t="e">
        <f>J16-#REF!</f>
        <v>#REF!</v>
      </c>
      <c r="K15" s="1396"/>
      <c r="L15" s="1404"/>
      <c r="M15" s="1396"/>
      <c r="O15" s="875"/>
      <c r="P15" s="875"/>
      <c r="Q15" s="875"/>
      <c r="R15" s="1405"/>
      <c r="X15" s="470"/>
      <c r="Y15" s="470"/>
      <c r="AB15" s="470"/>
      <c r="AC15" s="468"/>
    </row>
    <row r="16" spans="1:29" ht="18.75" customHeight="1">
      <c r="A16" s="1333"/>
      <c r="D16" s="464"/>
      <c r="E16" s="1406"/>
      <c r="F16" s="1406"/>
      <c r="G16" s="1401"/>
      <c r="I16" s="470"/>
      <c r="J16" s="471"/>
      <c r="K16" s="1407">
        <f>SUBTOTAL(9,K19:K95)</f>
        <v>467758.27000000008</v>
      </c>
      <c r="L16" s="1408"/>
      <c r="M16" s="1407">
        <f>SUBTOTAL(9,M19:M95)</f>
        <v>65188.049287675189</v>
      </c>
      <c r="N16" s="470"/>
      <c r="Q16" s="470"/>
    </row>
    <row r="17" spans="1:29" ht="11.25" customHeight="1">
      <c r="A17" s="1333"/>
      <c r="B17" s="1409" t="s">
        <v>24</v>
      </c>
      <c r="C17" s="1410" t="s">
        <v>25</v>
      </c>
      <c r="D17" s="1411" t="s">
        <v>1061</v>
      </c>
      <c r="E17" s="1412" t="s">
        <v>26</v>
      </c>
      <c r="F17" s="1414" t="s">
        <v>1</v>
      </c>
      <c r="G17" s="1413" t="s">
        <v>2</v>
      </c>
      <c r="H17" s="2091" t="s">
        <v>29</v>
      </c>
      <c r="I17" s="2091"/>
      <c r="J17" s="2091"/>
      <c r="K17" s="2091" t="s">
        <v>30</v>
      </c>
      <c r="L17" s="2091"/>
      <c r="M17" s="2092"/>
      <c r="N17" s="2093" t="s">
        <v>31</v>
      </c>
      <c r="O17" s="2093"/>
      <c r="P17" s="2094"/>
      <c r="Q17" s="2094"/>
      <c r="R17" s="1413" t="s">
        <v>1062</v>
      </c>
    </row>
    <row r="18" spans="1:29" ht="11.25" customHeight="1">
      <c r="A18" s="1333"/>
      <c r="B18" s="1415" t="s">
        <v>1063</v>
      </c>
      <c r="C18" s="1416" t="s">
        <v>1064</v>
      </c>
      <c r="D18" s="1417" t="s">
        <v>1065</v>
      </c>
      <c r="E18" s="1418" t="s">
        <v>1066</v>
      </c>
      <c r="F18" s="1423" t="s">
        <v>1067</v>
      </c>
      <c r="G18" s="1424" t="s">
        <v>1068</v>
      </c>
      <c r="H18" s="1419" t="s">
        <v>1069</v>
      </c>
      <c r="I18" s="1419" t="s">
        <v>1070</v>
      </c>
      <c r="J18" s="1420" t="s">
        <v>34</v>
      </c>
      <c r="K18" s="1420" t="s">
        <v>1069</v>
      </c>
      <c r="L18" s="1419" t="s">
        <v>1070</v>
      </c>
      <c r="M18" s="1421" t="s">
        <v>34</v>
      </c>
      <c r="N18" s="1422" t="s">
        <v>1069</v>
      </c>
      <c r="O18" s="1422" t="s">
        <v>34</v>
      </c>
      <c r="P18" s="2095" t="s">
        <v>32</v>
      </c>
      <c r="Q18" s="2095"/>
      <c r="R18" s="1424" t="s">
        <v>1062</v>
      </c>
    </row>
    <row r="19" spans="1:29" ht="11.25" customHeight="1">
      <c r="B19" s="1425">
        <v>45869</v>
      </c>
      <c r="C19" s="1426"/>
      <c r="D19" s="1427"/>
      <c r="E19" s="1426"/>
      <c r="F19" s="1428"/>
      <c r="G19" s="1429"/>
      <c r="H19" s="1430"/>
      <c r="I19" s="1427"/>
      <c r="J19" s="1429"/>
      <c r="K19" s="1431"/>
      <c r="L19" s="1432"/>
      <c r="M19" s="1433"/>
      <c r="N19" s="1434">
        <v>1110.0000000000261</v>
      </c>
      <c r="O19" s="1434">
        <v>154.87579575266045</v>
      </c>
      <c r="P19" s="1435"/>
      <c r="Q19" s="1426"/>
      <c r="R19" s="1436"/>
      <c r="S19" s="1437">
        <v>154.88</v>
      </c>
    </row>
    <row r="20" spans="1:29" s="1346" customFormat="1" ht="11.25" customHeight="1">
      <c r="A20" s="462"/>
      <c r="B20" s="1445">
        <v>45881</v>
      </c>
      <c r="C20" s="1446" t="s">
        <v>1088</v>
      </c>
      <c r="D20" s="1447"/>
      <c r="E20" s="1448">
        <v>1</v>
      </c>
      <c r="F20" s="1449"/>
      <c r="G20" s="1450"/>
      <c r="H20" s="1451">
        <v>480471.83</v>
      </c>
      <c r="I20" s="1451"/>
      <c r="J20" s="53">
        <v>66958.929999999993</v>
      </c>
      <c r="K20" s="1452"/>
      <c r="L20" s="1453"/>
      <c r="M20" s="1454"/>
      <c r="N20" s="1455">
        <f>N19+H20-K20</f>
        <v>481581.83</v>
      </c>
      <c r="O20" s="1455">
        <f>O19+J20-M20</f>
        <v>67113.805795752647</v>
      </c>
      <c r="P20" s="1456"/>
      <c r="Q20" s="1457"/>
      <c r="R20" s="1457"/>
      <c r="S20" s="1443"/>
      <c r="T20" s="466"/>
      <c r="V20" s="466"/>
      <c r="W20" s="466"/>
      <c r="X20" s="466"/>
      <c r="Y20" s="466"/>
      <c r="Z20" s="466"/>
      <c r="AA20" s="466"/>
      <c r="AB20" s="466"/>
      <c r="AC20" s="466"/>
    </row>
    <row r="21" spans="1:29" s="1346" customFormat="1" ht="11.25" customHeight="1">
      <c r="A21" s="462"/>
      <c r="B21" s="1445">
        <v>45881</v>
      </c>
      <c r="C21" s="1446" t="s">
        <v>250</v>
      </c>
      <c r="D21" s="1447"/>
      <c r="E21" s="1448"/>
      <c r="F21" s="1449" t="s">
        <v>21</v>
      </c>
      <c r="G21" s="1450"/>
      <c r="H21" s="1451"/>
      <c r="I21" s="1451"/>
      <c r="J21" s="1451"/>
      <c r="K21" s="1452"/>
      <c r="L21" s="1453"/>
      <c r="M21" s="1454">
        <v>25</v>
      </c>
      <c r="N21" s="1455">
        <f t="shared" ref="N21:N84" si="3">N20+H21-K21</f>
        <v>481581.83</v>
      </c>
      <c r="O21" s="1455">
        <f t="shared" ref="O21:O84" si="4">O20+J21-M21</f>
        <v>67088.805795752647</v>
      </c>
      <c r="P21" s="1456"/>
      <c r="Q21" s="1457"/>
      <c r="R21" s="1457"/>
      <c r="S21" s="1443"/>
      <c r="T21" s="466"/>
      <c r="V21" s="466"/>
      <c r="W21" s="466"/>
      <c r="X21" s="466"/>
      <c r="Y21" s="466"/>
      <c r="Z21" s="466"/>
      <c r="AA21" s="466"/>
      <c r="AB21" s="466"/>
      <c r="AC21" s="466"/>
    </row>
    <row r="22" spans="1:29" s="1346" customFormat="1" ht="11.25" customHeight="1">
      <c r="A22" s="462"/>
      <c r="B22" s="1332">
        <v>45883</v>
      </c>
      <c r="C22" s="1438" t="s">
        <v>1464</v>
      </c>
      <c r="D22" s="1326"/>
      <c r="E22" s="1439">
        <v>2</v>
      </c>
      <c r="F22" s="1322" t="s">
        <v>105</v>
      </c>
      <c r="G22" s="1323" t="s">
        <v>1122</v>
      </c>
      <c r="H22" s="1327"/>
      <c r="I22" s="1327"/>
      <c r="J22" s="1327"/>
      <c r="K22" s="1440">
        <f>L22*M22</f>
        <v>1110.0567838029012</v>
      </c>
      <c r="L22" s="1324">
        <f>'통장내역(환율표)'!$D$5</f>
        <v>7.1674000343842152</v>
      </c>
      <c r="M22" s="1312">
        <v>154.87579575266045</v>
      </c>
      <c r="N22" s="1441">
        <f t="shared" si="3"/>
        <v>480471.77321619709</v>
      </c>
      <c r="O22" s="1441">
        <f t="shared" si="4"/>
        <v>66933.929999999993</v>
      </c>
      <c r="P22" s="1442"/>
      <c r="Q22" s="1329"/>
      <c r="R22" s="1329"/>
      <c r="S22" s="883">
        <f>S19-M22+J22</f>
        <v>4.2042473395440538E-3</v>
      </c>
      <c r="T22" s="466"/>
      <c r="V22" s="466"/>
      <c r="W22" s="466"/>
      <c r="X22" s="466"/>
      <c r="Y22" s="466"/>
      <c r="Z22" s="466"/>
      <c r="AA22" s="466"/>
      <c r="AB22" s="466"/>
      <c r="AC22" s="466"/>
    </row>
    <row r="23" spans="1:29" s="1346" customFormat="1" ht="11.25" customHeight="1">
      <c r="A23" s="462"/>
      <c r="B23" s="1332">
        <v>45883</v>
      </c>
      <c r="C23" s="1438" t="s">
        <v>1464</v>
      </c>
      <c r="D23" s="1326"/>
      <c r="E23" s="1439">
        <v>2</v>
      </c>
      <c r="F23" s="1322" t="s">
        <v>105</v>
      </c>
      <c r="G23" s="1323" t="s">
        <v>1122</v>
      </c>
      <c r="H23" s="1327"/>
      <c r="I23" s="1327"/>
      <c r="J23" s="1327"/>
      <c r="K23" s="1440">
        <f>25130-K22</f>
        <v>24019.943216197098</v>
      </c>
      <c r="L23" s="1324">
        <f>'통장내역(환율표)'!$D$12</f>
        <v>7.1783000041981708</v>
      </c>
      <c r="M23" s="1096">
        <f t="shared" ref="M23:M86" si="5">K23/L23</f>
        <v>3346.1882621441328</v>
      </c>
      <c r="N23" s="1441">
        <f t="shared" si="3"/>
        <v>456451.83</v>
      </c>
      <c r="O23" s="1441">
        <f t="shared" si="4"/>
        <v>63587.74173785586</v>
      </c>
      <c r="P23" s="1442"/>
      <c r="Q23" s="1329"/>
      <c r="R23" s="1329"/>
      <c r="S23" s="883">
        <f>66933.93-M23+J23</f>
        <v>63587.74173785586</v>
      </c>
      <c r="T23" s="466"/>
      <c r="V23" s="466"/>
      <c r="W23" s="466"/>
      <c r="X23" s="466"/>
      <c r="Y23" s="466"/>
      <c r="Z23" s="466"/>
      <c r="AA23" s="466"/>
      <c r="AB23" s="466"/>
      <c r="AC23" s="466"/>
    </row>
    <row r="24" spans="1:29" s="1346" customFormat="1" ht="11.25" customHeight="1">
      <c r="A24" s="462"/>
      <c r="B24" s="1332">
        <v>45883</v>
      </c>
      <c r="C24" s="1438" t="s">
        <v>1463</v>
      </c>
      <c r="D24" s="1326"/>
      <c r="E24" s="1439">
        <v>3</v>
      </c>
      <c r="F24" s="1322" t="s">
        <v>107</v>
      </c>
      <c r="G24" s="1323"/>
      <c r="H24" s="1327"/>
      <c r="I24" s="1327"/>
      <c r="J24" s="1327"/>
      <c r="K24" s="1440">
        <v>7.2</v>
      </c>
      <c r="L24" s="1324">
        <f>'통장내역(환율표)'!$D$12</f>
        <v>7.1783000041981708</v>
      </c>
      <c r="M24" s="1096">
        <f t="shared" si="5"/>
        <v>1.0030229992880122</v>
      </c>
      <c r="N24" s="1441">
        <f t="shared" si="3"/>
        <v>456444.63</v>
      </c>
      <c r="O24" s="1441">
        <f t="shared" si="4"/>
        <v>63586.738714856576</v>
      </c>
      <c r="P24" s="1442"/>
      <c r="Q24" s="1329"/>
      <c r="R24" s="1329"/>
      <c r="S24" s="1443">
        <f>S23-M24+J24</f>
        <v>63586.738714856576</v>
      </c>
      <c r="T24" s="466"/>
      <c r="V24" s="466"/>
      <c r="W24" s="466"/>
      <c r="X24" s="466"/>
      <c r="Y24" s="466"/>
      <c r="Z24" s="466"/>
      <c r="AA24" s="466"/>
      <c r="AB24" s="466"/>
      <c r="AC24" s="466"/>
    </row>
    <row r="25" spans="1:29" s="1346" customFormat="1" ht="11.25" customHeight="1">
      <c r="A25" s="462"/>
      <c r="B25" s="1332">
        <v>45883</v>
      </c>
      <c r="C25" s="1438" t="s">
        <v>1576</v>
      </c>
      <c r="D25" s="1326"/>
      <c r="E25" s="1439">
        <v>4</v>
      </c>
      <c r="F25" s="1322" t="s">
        <v>146</v>
      </c>
      <c r="G25" s="1323" t="s">
        <v>147</v>
      </c>
      <c r="H25" s="1327"/>
      <c r="I25" s="1327"/>
      <c r="J25" s="1327"/>
      <c r="K25" s="1440">
        <v>2400</v>
      </c>
      <c r="L25" s="1324">
        <f>'통장내역(환율표)'!$D$12</f>
        <v>7.1783000041981708</v>
      </c>
      <c r="M25" s="1096">
        <f t="shared" si="5"/>
        <v>334.34099976267072</v>
      </c>
      <c r="N25" s="1441">
        <f t="shared" si="3"/>
        <v>454044.63</v>
      </c>
      <c r="O25" s="1441">
        <f t="shared" si="4"/>
        <v>63252.397715093903</v>
      </c>
      <c r="P25" s="1442" t="s">
        <v>1577</v>
      </c>
      <c r="Q25" s="1329"/>
      <c r="R25" s="1329"/>
      <c r="S25" s="1443">
        <f t="shared" ref="S25:S88" si="6">S24-M25+J25</f>
        <v>63252.397715093903</v>
      </c>
      <c r="T25" s="466"/>
      <c r="V25" s="466"/>
      <c r="W25" s="466"/>
      <c r="X25" s="466"/>
      <c r="Y25" s="466"/>
      <c r="Z25" s="466"/>
      <c r="AA25" s="466"/>
      <c r="AB25" s="466"/>
      <c r="AC25" s="466"/>
    </row>
    <row r="26" spans="1:29" s="1346" customFormat="1" ht="11.25" customHeight="1">
      <c r="A26" s="462"/>
      <c r="B26" s="1332">
        <v>45883</v>
      </c>
      <c r="C26" s="1438" t="s">
        <v>250</v>
      </c>
      <c r="D26" s="1326"/>
      <c r="E26" s="1439">
        <v>5</v>
      </c>
      <c r="F26" s="1322" t="s">
        <v>107</v>
      </c>
      <c r="G26" s="1323"/>
      <c r="H26" s="1327"/>
      <c r="I26" s="1327"/>
      <c r="J26" s="1327"/>
      <c r="K26" s="1440">
        <v>3.6</v>
      </c>
      <c r="L26" s="1324">
        <f>'통장내역(환율표)'!$D$12</f>
        <v>7.1783000041981708</v>
      </c>
      <c r="M26" s="1096">
        <f t="shared" si="5"/>
        <v>0.5015114996440061</v>
      </c>
      <c r="N26" s="1441">
        <f t="shared" si="3"/>
        <v>454041.03</v>
      </c>
      <c r="O26" s="1441">
        <f t="shared" si="4"/>
        <v>63251.89620359426</v>
      </c>
      <c r="P26" s="1442"/>
      <c r="Q26" s="1329"/>
      <c r="R26" s="1329"/>
      <c r="S26" s="1443">
        <f t="shared" si="6"/>
        <v>63251.89620359426</v>
      </c>
      <c r="T26" s="466"/>
      <c r="V26" s="466"/>
      <c r="W26" s="466"/>
      <c r="X26" s="466"/>
      <c r="Y26" s="466"/>
      <c r="Z26" s="466"/>
      <c r="AA26" s="466"/>
      <c r="AB26" s="466"/>
      <c r="AC26" s="466"/>
    </row>
    <row r="27" spans="1:29" s="1346" customFormat="1" ht="11.1" customHeight="1">
      <c r="A27" s="462"/>
      <c r="B27" s="1332">
        <v>45887</v>
      </c>
      <c r="C27" s="1438" t="s">
        <v>564</v>
      </c>
      <c r="D27" s="1326"/>
      <c r="E27" s="1439">
        <v>6</v>
      </c>
      <c r="F27" s="1322" t="s">
        <v>107</v>
      </c>
      <c r="G27" s="1323"/>
      <c r="H27" s="1327"/>
      <c r="I27" s="1327"/>
      <c r="J27" s="1327"/>
      <c r="K27" s="1440">
        <v>30</v>
      </c>
      <c r="L27" s="1324">
        <f>'통장내역(환율표)'!$D$12</f>
        <v>7.1783000041981708</v>
      </c>
      <c r="M27" s="1096">
        <f t="shared" si="5"/>
        <v>4.1792624970333838</v>
      </c>
      <c r="N27" s="1441">
        <f t="shared" si="3"/>
        <v>454011.03</v>
      </c>
      <c r="O27" s="1441">
        <f t="shared" si="4"/>
        <v>63247.716941097227</v>
      </c>
      <c r="P27" s="1442"/>
      <c r="Q27" s="1329"/>
      <c r="R27" s="1329"/>
      <c r="S27" s="1443">
        <f t="shared" si="6"/>
        <v>63247.716941097227</v>
      </c>
      <c r="T27" s="466"/>
      <c r="V27" s="466"/>
      <c r="W27" s="466"/>
      <c r="X27" s="466"/>
      <c r="Y27" s="466"/>
      <c r="Z27" s="466"/>
      <c r="AA27" s="466"/>
      <c r="AB27" s="466"/>
      <c r="AC27" s="466"/>
    </row>
    <row r="28" spans="1:29" s="1346" customFormat="1" ht="11.25" customHeight="1">
      <c r="A28" s="462"/>
      <c r="B28" s="1332">
        <v>45887</v>
      </c>
      <c r="C28" s="1438" t="s">
        <v>250</v>
      </c>
      <c r="D28" s="1326"/>
      <c r="E28" s="1439">
        <v>7</v>
      </c>
      <c r="F28" s="1322" t="s">
        <v>107</v>
      </c>
      <c r="G28" s="1323"/>
      <c r="H28" s="1327"/>
      <c r="I28" s="1327"/>
      <c r="J28" s="1327"/>
      <c r="K28" s="1440">
        <v>3.6</v>
      </c>
      <c r="L28" s="1324">
        <f>'통장내역(환율표)'!$D$12</f>
        <v>7.1783000041981708</v>
      </c>
      <c r="M28" s="1096">
        <f t="shared" si="5"/>
        <v>0.5015114996440061</v>
      </c>
      <c r="N28" s="1441">
        <f t="shared" si="3"/>
        <v>454007.43000000005</v>
      </c>
      <c r="O28" s="1441">
        <f t="shared" si="4"/>
        <v>63247.215429597585</v>
      </c>
      <c r="P28" s="1442"/>
      <c r="Q28" s="1329"/>
      <c r="R28" s="1329"/>
      <c r="S28" s="1443">
        <f t="shared" si="6"/>
        <v>63247.215429597585</v>
      </c>
      <c r="T28" s="466"/>
      <c r="V28" s="466"/>
      <c r="W28" s="466"/>
      <c r="X28" s="466"/>
      <c r="Y28" s="466"/>
      <c r="Z28" s="466"/>
      <c r="AA28" s="466"/>
      <c r="AB28" s="466"/>
      <c r="AC28" s="466"/>
    </row>
    <row r="29" spans="1:29" s="1346" customFormat="1" ht="12" customHeight="1">
      <c r="A29" s="462"/>
      <c r="B29" s="1332">
        <v>45888</v>
      </c>
      <c r="C29" s="1438" t="s">
        <v>352</v>
      </c>
      <c r="D29" s="1326"/>
      <c r="E29" s="1439">
        <v>8</v>
      </c>
      <c r="F29" s="1322" t="s">
        <v>107</v>
      </c>
      <c r="G29" s="1323"/>
      <c r="H29" s="1327"/>
      <c r="I29" s="1328"/>
      <c r="J29" s="1327"/>
      <c r="K29" s="1440">
        <v>2323</v>
      </c>
      <c r="L29" s="1324">
        <f>'통장내역(환율표)'!$D$12</f>
        <v>7.1783000041981708</v>
      </c>
      <c r="M29" s="1096">
        <f t="shared" si="5"/>
        <v>323.61422602028506</v>
      </c>
      <c r="N29" s="1441">
        <f t="shared" si="3"/>
        <v>451684.43000000005</v>
      </c>
      <c r="O29" s="1441">
        <f t="shared" si="4"/>
        <v>62923.601203577302</v>
      </c>
      <c r="P29" s="1442"/>
      <c r="Q29" s="1329"/>
      <c r="R29" s="1329"/>
      <c r="S29" s="1443">
        <f t="shared" si="6"/>
        <v>62923.601203577302</v>
      </c>
      <c r="T29" s="466"/>
      <c r="V29" s="466"/>
      <c r="W29" s="466"/>
      <c r="X29" s="466"/>
      <c r="Y29" s="466"/>
      <c r="Z29" s="466"/>
      <c r="AA29" s="466"/>
      <c r="AB29" s="466"/>
      <c r="AC29" s="466"/>
    </row>
    <row r="30" spans="1:29" s="1346" customFormat="1" ht="12" customHeight="1">
      <c r="A30" s="462"/>
      <c r="B30" s="1332">
        <v>45888</v>
      </c>
      <c r="C30" s="1438" t="s">
        <v>250</v>
      </c>
      <c r="D30" s="1326"/>
      <c r="E30" s="1439">
        <v>9</v>
      </c>
      <c r="F30" s="1322" t="s">
        <v>107</v>
      </c>
      <c r="G30" s="1323"/>
      <c r="H30" s="1327"/>
      <c r="I30" s="1328"/>
      <c r="J30" s="1327"/>
      <c r="K30" s="1440">
        <v>3.6</v>
      </c>
      <c r="L30" s="1324">
        <f>'통장내역(환율표)'!$D$12</f>
        <v>7.1783000041981708</v>
      </c>
      <c r="M30" s="1096">
        <f t="shared" si="5"/>
        <v>0.5015114996440061</v>
      </c>
      <c r="N30" s="1441">
        <f t="shared" si="3"/>
        <v>451680.83000000007</v>
      </c>
      <c r="O30" s="1441">
        <f t="shared" si="4"/>
        <v>62923.09969207766</v>
      </c>
      <c r="P30" s="1442"/>
      <c r="Q30" s="1329"/>
      <c r="R30" s="1329"/>
      <c r="S30" s="1443">
        <f t="shared" si="6"/>
        <v>62923.09969207766</v>
      </c>
      <c r="T30" s="466"/>
      <c r="V30" s="466"/>
      <c r="W30" s="466"/>
      <c r="X30" s="466"/>
      <c r="Y30" s="466"/>
      <c r="Z30" s="466"/>
      <c r="AA30" s="466"/>
      <c r="AB30" s="466"/>
      <c r="AC30" s="466"/>
    </row>
    <row r="31" spans="1:29" s="1346" customFormat="1" ht="12" customHeight="1">
      <c r="A31" s="462"/>
      <c r="B31" s="1332">
        <v>45888</v>
      </c>
      <c r="C31" s="1325" t="s">
        <v>305</v>
      </c>
      <c r="D31" s="1326"/>
      <c r="E31" s="1439">
        <v>10</v>
      </c>
      <c r="F31" s="1322" t="s">
        <v>105</v>
      </c>
      <c r="G31" s="1323" t="s">
        <v>227</v>
      </c>
      <c r="H31" s="1327"/>
      <c r="I31" s="1328"/>
      <c r="J31" s="1327"/>
      <c r="K31" s="1440">
        <v>7000</v>
      </c>
      <c r="L31" s="1324">
        <f>'통장내역(환율표)'!$D$12</f>
        <v>7.1783000041981708</v>
      </c>
      <c r="M31" s="1096">
        <f t="shared" si="5"/>
        <v>975.1612493077896</v>
      </c>
      <c r="N31" s="1441">
        <f t="shared" si="3"/>
        <v>444680.83000000007</v>
      </c>
      <c r="O31" s="1441">
        <f t="shared" si="4"/>
        <v>61947.938442769868</v>
      </c>
      <c r="P31" s="1442"/>
      <c r="Q31" s="1329"/>
      <c r="R31" s="1329"/>
      <c r="S31" s="1443">
        <f t="shared" si="6"/>
        <v>61947.938442769868</v>
      </c>
      <c r="T31" s="466"/>
      <c r="V31" s="466"/>
      <c r="W31" s="466"/>
      <c r="X31" s="466"/>
      <c r="Y31" s="466"/>
      <c r="Z31" s="466"/>
      <c r="AA31" s="466"/>
      <c r="AB31" s="466"/>
      <c r="AC31" s="466"/>
    </row>
    <row r="32" spans="1:29" s="1346" customFormat="1" ht="12" customHeight="1">
      <c r="A32" s="462"/>
      <c r="B32" s="1332">
        <v>45888</v>
      </c>
      <c r="C32" s="1325" t="s">
        <v>1107</v>
      </c>
      <c r="D32" s="1326"/>
      <c r="E32" s="1439">
        <v>10</v>
      </c>
      <c r="F32" s="1322" t="s">
        <v>107</v>
      </c>
      <c r="G32" s="1323"/>
      <c r="H32" s="1327"/>
      <c r="I32" s="1328"/>
      <c r="J32" s="1327"/>
      <c r="K32" s="1440">
        <v>6000</v>
      </c>
      <c r="L32" s="1324">
        <f>'통장내역(환율표)'!$D$12</f>
        <v>7.1783000041981708</v>
      </c>
      <c r="M32" s="1096">
        <f t="shared" si="5"/>
        <v>835.85249940667688</v>
      </c>
      <c r="N32" s="1441">
        <f t="shared" si="3"/>
        <v>438680.83000000007</v>
      </c>
      <c r="O32" s="1441">
        <f t="shared" si="4"/>
        <v>61112.085943363192</v>
      </c>
      <c r="P32" s="1442"/>
      <c r="Q32" s="1329"/>
      <c r="R32" s="1329"/>
      <c r="S32" s="1443">
        <f t="shared" si="6"/>
        <v>61112.085943363192</v>
      </c>
      <c r="T32" s="466"/>
      <c r="V32" s="466"/>
      <c r="W32" s="466"/>
      <c r="X32" s="466"/>
      <c r="Y32" s="466"/>
      <c r="Z32" s="466"/>
      <c r="AA32" s="466"/>
      <c r="AB32" s="466"/>
      <c r="AC32" s="466"/>
    </row>
    <row r="33" spans="1:29" s="1346" customFormat="1" ht="12" customHeight="1">
      <c r="A33" s="462"/>
      <c r="B33" s="1332">
        <v>45888</v>
      </c>
      <c r="C33" s="1325" t="s">
        <v>1108</v>
      </c>
      <c r="D33" s="1326"/>
      <c r="E33" s="1439">
        <v>10</v>
      </c>
      <c r="F33" s="1322" t="s">
        <v>107</v>
      </c>
      <c r="G33" s="1323"/>
      <c r="H33" s="1327"/>
      <c r="I33" s="1328"/>
      <c r="J33" s="1327"/>
      <c r="K33" s="1440">
        <v>110</v>
      </c>
      <c r="L33" s="1324">
        <f>'통장내역(환율표)'!$D$12</f>
        <v>7.1783000041981708</v>
      </c>
      <c r="M33" s="1096">
        <f t="shared" si="5"/>
        <v>15.323962489122408</v>
      </c>
      <c r="N33" s="1441">
        <f t="shared" si="3"/>
        <v>438570.83000000007</v>
      </c>
      <c r="O33" s="1441">
        <f t="shared" si="4"/>
        <v>61096.761980874071</v>
      </c>
      <c r="P33" s="1442"/>
      <c r="Q33" s="1329"/>
      <c r="R33" s="1329"/>
      <c r="S33" s="1443">
        <f t="shared" si="6"/>
        <v>61096.761980874071</v>
      </c>
      <c r="T33" s="466"/>
      <c r="V33" s="466"/>
      <c r="W33" s="466"/>
      <c r="X33" s="466"/>
      <c r="Y33" s="466"/>
      <c r="Z33" s="466"/>
      <c r="AA33" s="466"/>
      <c r="AB33" s="466"/>
      <c r="AC33" s="466"/>
    </row>
    <row r="34" spans="1:29" s="1346" customFormat="1" ht="12" customHeight="1">
      <c r="A34" s="462"/>
      <c r="B34" s="1332">
        <v>45888</v>
      </c>
      <c r="C34" s="1325" t="s">
        <v>305</v>
      </c>
      <c r="D34" s="1326"/>
      <c r="E34" s="1439">
        <v>10</v>
      </c>
      <c r="F34" s="1322" t="s">
        <v>105</v>
      </c>
      <c r="G34" s="1323" t="s">
        <v>227</v>
      </c>
      <c r="H34" s="1327"/>
      <c r="I34" s="1328"/>
      <c r="J34" s="1327"/>
      <c r="K34" s="1440">
        <v>7000</v>
      </c>
      <c r="L34" s="1324">
        <f>'통장내역(환율표)'!$D$12</f>
        <v>7.1783000041981708</v>
      </c>
      <c r="M34" s="1096">
        <f t="shared" si="5"/>
        <v>975.1612493077896</v>
      </c>
      <c r="N34" s="1441">
        <f t="shared" si="3"/>
        <v>431570.83000000007</v>
      </c>
      <c r="O34" s="1441">
        <f t="shared" si="4"/>
        <v>60121.600731566279</v>
      </c>
      <c r="P34" s="1442"/>
      <c r="Q34" s="1329"/>
      <c r="R34" s="1329"/>
      <c r="S34" s="1443">
        <f t="shared" si="6"/>
        <v>60121.600731566279</v>
      </c>
      <c r="T34" s="466"/>
      <c r="V34" s="466"/>
      <c r="W34" s="466"/>
      <c r="X34" s="466"/>
      <c r="Y34" s="466"/>
      <c r="Z34" s="466"/>
      <c r="AA34" s="466"/>
      <c r="AB34" s="466"/>
      <c r="AC34" s="466"/>
    </row>
    <row r="35" spans="1:29" s="1346" customFormat="1" ht="12" customHeight="1">
      <c r="A35" s="462"/>
      <c r="B35" s="1332">
        <v>45888</v>
      </c>
      <c r="C35" s="1325" t="s">
        <v>1107</v>
      </c>
      <c r="D35" s="1326"/>
      <c r="E35" s="1439">
        <v>10</v>
      </c>
      <c r="F35" s="1322" t="s">
        <v>107</v>
      </c>
      <c r="G35" s="1323"/>
      <c r="H35" s="1327"/>
      <c r="I35" s="1328"/>
      <c r="J35" s="1327"/>
      <c r="K35" s="1440">
        <v>6000</v>
      </c>
      <c r="L35" s="1324">
        <f>'통장내역(환율표)'!$D$12</f>
        <v>7.1783000041981708</v>
      </c>
      <c r="M35" s="1096">
        <f t="shared" si="5"/>
        <v>835.85249940667688</v>
      </c>
      <c r="N35" s="1441">
        <f t="shared" si="3"/>
        <v>425570.83000000007</v>
      </c>
      <c r="O35" s="1441">
        <f t="shared" si="4"/>
        <v>59285.748232159604</v>
      </c>
      <c r="P35" s="1442"/>
      <c r="Q35" s="1329"/>
      <c r="R35" s="1329"/>
      <c r="S35" s="1443">
        <f t="shared" si="6"/>
        <v>59285.748232159604</v>
      </c>
      <c r="T35" s="466"/>
      <c r="V35" s="466"/>
      <c r="W35" s="466"/>
      <c r="X35" s="466"/>
      <c r="Y35" s="466"/>
      <c r="Z35" s="466"/>
      <c r="AA35" s="466"/>
      <c r="AB35" s="466"/>
      <c r="AC35" s="466"/>
    </row>
    <row r="36" spans="1:29" s="1346" customFormat="1" ht="12" customHeight="1">
      <c r="A36" s="462"/>
      <c r="B36" s="1332">
        <v>45888</v>
      </c>
      <c r="C36" s="1325" t="s">
        <v>1108</v>
      </c>
      <c r="D36" s="1326"/>
      <c r="E36" s="1439">
        <v>10</v>
      </c>
      <c r="F36" s="1322" t="s">
        <v>107</v>
      </c>
      <c r="G36" s="1323"/>
      <c r="H36" s="1327"/>
      <c r="I36" s="1328"/>
      <c r="J36" s="1327"/>
      <c r="K36" s="1440">
        <v>500</v>
      </c>
      <c r="L36" s="1324">
        <f>'통장내역(환율표)'!$D$12</f>
        <v>7.1783000041981708</v>
      </c>
      <c r="M36" s="1096">
        <f t="shared" si="5"/>
        <v>69.654374950556402</v>
      </c>
      <c r="N36" s="1441">
        <f t="shared" si="3"/>
        <v>425070.83000000007</v>
      </c>
      <c r="O36" s="1441">
        <f t="shared" si="4"/>
        <v>59216.093857209045</v>
      </c>
      <c r="P36" s="1442"/>
      <c r="Q36" s="1329"/>
      <c r="R36" s="1329"/>
      <c r="S36" s="1443">
        <f t="shared" si="6"/>
        <v>59216.093857209045</v>
      </c>
      <c r="T36" s="466"/>
      <c r="V36" s="466"/>
      <c r="W36" s="466"/>
      <c r="X36" s="466"/>
      <c r="Y36" s="466"/>
      <c r="Z36" s="466"/>
      <c r="AA36" s="466"/>
      <c r="AB36" s="466"/>
      <c r="AC36" s="466"/>
    </row>
    <row r="37" spans="1:29" s="1346" customFormat="1" ht="12" customHeight="1">
      <c r="A37" s="462"/>
      <c r="B37" s="1332">
        <v>45888</v>
      </c>
      <c r="C37" s="1325" t="s">
        <v>305</v>
      </c>
      <c r="D37" s="1326"/>
      <c r="E37" s="1439">
        <v>10</v>
      </c>
      <c r="F37" s="1322" t="s">
        <v>105</v>
      </c>
      <c r="G37" s="1323" t="s">
        <v>227</v>
      </c>
      <c r="H37" s="1327"/>
      <c r="I37" s="1328"/>
      <c r="J37" s="1327"/>
      <c r="K37" s="1440">
        <v>6000</v>
      </c>
      <c r="L37" s="1324">
        <f>'통장내역(환율표)'!$D$12</f>
        <v>7.1783000041981708</v>
      </c>
      <c r="M37" s="1096">
        <f t="shared" si="5"/>
        <v>835.85249940667688</v>
      </c>
      <c r="N37" s="1441">
        <f t="shared" si="3"/>
        <v>419070.83000000007</v>
      </c>
      <c r="O37" s="1441">
        <f t="shared" si="4"/>
        <v>58380.24135780237</v>
      </c>
      <c r="P37" s="1442"/>
      <c r="Q37" s="1329"/>
      <c r="R37" s="1329"/>
      <c r="S37" s="1443">
        <f t="shared" si="6"/>
        <v>58380.24135780237</v>
      </c>
      <c r="T37" s="466"/>
      <c r="V37" s="466"/>
      <c r="W37" s="466"/>
      <c r="X37" s="466"/>
      <c r="Y37" s="466"/>
      <c r="Z37" s="466"/>
      <c r="AA37" s="466"/>
      <c r="AB37" s="466"/>
      <c r="AC37" s="466"/>
    </row>
    <row r="38" spans="1:29" s="1346" customFormat="1" ht="12" customHeight="1">
      <c r="A38" s="462"/>
      <c r="B38" s="1332">
        <v>45888</v>
      </c>
      <c r="C38" s="1325" t="s">
        <v>1107</v>
      </c>
      <c r="D38" s="1326"/>
      <c r="E38" s="1439">
        <v>10</v>
      </c>
      <c r="F38" s="1322" t="s">
        <v>107</v>
      </c>
      <c r="G38" s="1323"/>
      <c r="H38" s="1327"/>
      <c r="I38" s="1328"/>
      <c r="J38" s="1327"/>
      <c r="K38" s="1440">
        <v>6000</v>
      </c>
      <c r="L38" s="1324">
        <f>'통장내역(환율표)'!$D$12</f>
        <v>7.1783000041981708</v>
      </c>
      <c r="M38" s="1096">
        <f t="shared" si="5"/>
        <v>835.85249940667688</v>
      </c>
      <c r="N38" s="1441">
        <f t="shared" si="3"/>
        <v>413070.83000000007</v>
      </c>
      <c r="O38" s="1441">
        <f t="shared" si="4"/>
        <v>57544.388858395694</v>
      </c>
      <c r="P38" s="1442"/>
      <c r="Q38" s="1329"/>
      <c r="R38" s="1329"/>
      <c r="S38" s="1443">
        <f t="shared" si="6"/>
        <v>57544.388858395694</v>
      </c>
      <c r="T38" s="466"/>
      <c r="V38" s="466"/>
      <c r="W38" s="466"/>
      <c r="X38" s="466"/>
      <c r="Y38" s="466"/>
      <c r="Z38" s="466"/>
      <c r="AA38" s="466"/>
      <c r="AB38" s="466"/>
      <c r="AC38" s="466"/>
    </row>
    <row r="39" spans="1:29" s="1346" customFormat="1" ht="12" customHeight="1">
      <c r="A39" s="462"/>
      <c r="B39" s="1332">
        <v>45888</v>
      </c>
      <c r="C39" s="1325" t="s">
        <v>1108</v>
      </c>
      <c r="D39" s="1326"/>
      <c r="E39" s="1439">
        <v>10</v>
      </c>
      <c r="F39" s="1322" t="s">
        <v>107</v>
      </c>
      <c r="G39" s="1323"/>
      <c r="H39" s="1327"/>
      <c r="I39" s="1328"/>
      <c r="J39" s="1327"/>
      <c r="K39" s="1440">
        <v>280</v>
      </c>
      <c r="L39" s="1324">
        <f>'통장내역(환율표)'!$D$12</f>
        <v>7.1783000041981708</v>
      </c>
      <c r="M39" s="1096">
        <f t="shared" si="5"/>
        <v>39.006449972311586</v>
      </c>
      <c r="N39" s="1441">
        <f t="shared" si="3"/>
        <v>412790.83000000007</v>
      </c>
      <c r="O39" s="1441">
        <f t="shared" si="4"/>
        <v>57505.382408423386</v>
      </c>
      <c r="P39" s="1442"/>
      <c r="Q39" s="1329"/>
      <c r="R39" s="1329"/>
      <c r="S39" s="1443">
        <f t="shared" si="6"/>
        <v>57505.382408423386</v>
      </c>
      <c r="T39" s="466"/>
      <c r="V39" s="466"/>
      <c r="W39" s="466"/>
      <c r="X39" s="466"/>
      <c r="Y39" s="466"/>
      <c r="Z39" s="466"/>
      <c r="AA39" s="466"/>
      <c r="AB39" s="466"/>
      <c r="AC39" s="466"/>
    </row>
    <row r="40" spans="1:29" s="1346" customFormat="1" ht="12" customHeight="1">
      <c r="A40" s="462"/>
      <c r="B40" s="1332">
        <v>45888</v>
      </c>
      <c r="C40" s="1325" t="s">
        <v>250</v>
      </c>
      <c r="D40" s="1326"/>
      <c r="E40" s="1439">
        <v>11</v>
      </c>
      <c r="F40" s="1322" t="s">
        <v>107</v>
      </c>
      <c r="G40" s="1323"/>
      <c r="H40" s="1327"/>
      <c r="I40" s="1328"/>
      <c r="J40" s="1327"/>
      <c r="K40" s="1440">
        <v>7.2</v>
      </c>
      <c r="L40" s="1324">
        <f>'통장내역(환율표)'!$D$12</f>
        <v>7.1783000041981708</v>
      </c>
      <c r="M40" s="1096">
        <f t="shared" si="5"/>
        <v>1.0030229992880122</v>
      </c>
      <c r="N40" s="1441">
        <f t="shared" si="3"/>
        <v>412783.63000000006</v>
      </c>
      <c r="O40" s="1441">
        <f t="shared" si="4"/>
        <v>57504.379385424101</v>
      </c>
      <c r="P40" s="1442"/>
      <c r="Q40" s="1329"/>
      <c r="R40" s="1329"/>
      <c r="S40" s="1443">
        <f t="shared" si="6"/>
        <v>57504.379385424101</v>
      </c>
      <c r="T40" s="466"/>
      <c r="V40" s="466"/>
      <c r="W40" s="466"/>
      <c r="X40" s="466"/>
      <c r="Y40" s="466"/>
      <c r="Z40" s="466"/>
      <c r="AA40" s="466"/>
      <c r="AB40" s="466"/>
      <c r="AC40" s="466"/>
    </row>
    <row r="41" spans="1:29" s="1346" customFormat="1" ht="12" customHeight="1">
      <c r="A41" s="462"/>
      <c r="B41" s="1332">
        <v>45888</v>
      </c>
      <c r="C41" s="1438" t="s">
        <v>1461</v>
      </c>
      <c r="D41" s="1326" t="s">
        <v>188</v>
      </c>
      <c r="E41" s="1439">
        <v>12</v>
      </c>
      <c r="F41" s="1322" t="s">
        <v>116</v>
      </c>
      <c r="G41" s="1323" t="s">
        <v>140</v>
      </c>
      <c r="H41" s="1327"/>
      <c r="I41" s="1328"/>
      <c r="J41" s="1327"/>
      <c r="K41" s="1440">
        <v>417.4</v>
      </c>
      <c r="L41" s="1324">
        <f>'통장내역(환율표)'!$D$12</f>
        <v>7.1783000041981708</v>
      </c>
      <c r="M41" s="1096">
        <f t="shared" si="5"/>
        <v>58.14747220872448</v>
      </c>
      <c r="N41" s="1441">
        <f t="shared" si="3"/>
        <v>412366.23000000004</v>
      </c>
      <c r="O41" s="1441">
        <f t="shared" si="4"/>
        <v>57446.231913215379</v>
      </c>
      <c r="P41" s="1442"/>
      <c r="Q41" s="1329"/>
      <c r="R41" s="1329"/>
      <c r="S41" s="1443">
        <f t="shared" si="6"/>
        <v>57446.231913215379</v>
      </c>
      <c r="T41" s="466"/>
      <c r="V41" s="466"/>
      <c r="W41" s="466"/>
      <c r="X41" s="466"/>
      <c r="Y41" s="466"/>
      <c r="Z41" s="466"/>
      <c r="AA41" s="466"/>
      <c r="AB41" s="466"/>
      <c r="AC41" s="466"/>
    </row>
    <row r="42" spans="1:29" s="1346" customFormat="1" ht="12" customHeight="1">
      <c r="A42" s="462"/>
      <c r="B42" s="1332">
        <v>45888</v>
      </c>
      <c r="C42" s="1438" t="s">
        <v>1459</v>
      </c>
      <c r="D42" s="1326" t="s">
        <v>188</v>
      </c>
      <c r="E42" s="1439">
        <v>13</v>
      </c>
      <c r="F42" s="1322" t="s">
        <v>125</v>
      </c>
      <c r="G42" s="1323" t="s">
        <v>145</v>
      </c>
      <c r="H42" s="1327"/>
      <c r="I42" s="1327"/>
      <c r="J42" s="1327"/>
      <c r="K42" s="1440">
        <v>1492.3</v>
      </c>
      <c r="L42" s="1324">
        <f>'통장내역(환율표)'!$D$12</f>
        <v>7.1783000041981708</v>
      </c>
      <c r="M42" s="1096">
        <f t="shared" si="5"/>
        <v>207.89044747743063</v>
      </c>
      <c r="N42" s="1441">
        <f t="shared" si="3"/>
        <v>410873.93000000005</v>
      </c>
      <c r="O42" s="1441">
        <f t="shared" si="4"/>
        <v>57238.341465737947</v>
      </c>
      <c r="P42" s="1442"/>
      <c r="Q42" s="1329"/>
      <c r="R42" s="1329"/>
      <c r="S42" s="1443">
        <f t="shared" si="6"/>
        <v>57238.341465737947</v>
      </c>
      <c r="T42" s="466"/>
      <c r="V42" s="466"/>
      <c r="W42" s="466"/>
      <c r="X42" s="466"/>
      <c r="Y42" s="466"/>
      <c r="Z42" s="466"/>
      <c r="AA42" s="466"/>
      <c r="AB42" s="466"/>
      <c r="AC42" s="466"/>
    </row>
    <row r="43" spans="1:29" s="1346" customFormat="1" ht="12" customHeight="1">
      <c r="A43" s="462"/>
      <c r="B43" s="1332">
        <v>45888</v>
      </c>
      <c r="C43" s="1438" t="s">
        <v>1451</v>
      </c>
      <c r="D43" s="1326" t="s">
        <v>188</v>
      </c>
      <c r="E43" s="1439">
        <v>14</v>
      </c>
      <c r="F43" s="1322" t="s">
        <v>146</v>
      </c>
      <c r="G43" s="1323" t="s">
        <v>147</v>
      </c>
      <c r="H43" s="1327"/>
      <c r="I43" s="1327"/>
      <c r="J43" s="1327"/>
      <c r="K43" s="1440">
        <v>33.5</v>
      </c>
      <c r="L43" s="1324">
        <f>'통장내역(환율표)'!$D$12</f>
        <v>7.1783000041981708</v>
      </c>
      <c r="M43" s="1096">
        <f t="shared" si="5"/>
        <v>4.666843121687279</v>
      </c>
      <c r="N43" s="1441">
        <f t="shared" si="3"/>
        <v>410840.43000000005</v>
      </c>
      <c r="O43" s="1441">
        <f t="shared" si="4"/>
        <v>57233.674622616258</v>
      </c>
      <c r="P43" s="1442"/>
      <c r="Q43" s="1329"/>
      <c r="R43" s="1329"/>
      <c r="S43" s="1443">
        <f t="shared" si="6"/>
        <v>57233.674622616258</v>
      </c>
      <c r="T43" s="466"/>
      <c r="V43" s="466"/>
      <c r="W43" s="466"/>
      <c r="X43" s="466"/>
      <c r="Y43" s="466"/>
      <c r="Z43" s="466"/>
      <c r="AA43" s="466"/>
      <c r="AB43" s="466"/>
      <c r="AC43" s="466"/>
    </row>
    <row r="44" spans="1:29" s="1346" customFormat="1" ht="12" customHeight="1">
      <c r="A44" s="462"/>
      <c r="B44" s="1332">
        <v>45888</v>
      </c>
      <c r="C44" s="1438" t="s">
        <v>1403</v>
      </c>
      <c r="D44" s="1326" t="s">
        <v>188</v>
      </c>
      <c r="E44" s="1439">
        <v>15</v>
      </c>
      <c r="F44" s="1322" t="s">
        <v>146</v>
      </c>
      <c r="G44" s="1323" t="s">
        <v>147</v>
      </c>
      <c r="H44" s="1327"/>
      <c r="I44" s="1327"/>
      <c r="J44" s="1327"/>
      <c r="K44" s="1440">
        <v>4546.5</v>
      </c>
      <c r="L44" s="1324">
        <f>'통장내역(환율표)'!$D$12</f>
        <v>7.1783000041981708</v>
      </c>
      <c r="M44" s="1096">
        <f t="shared" si="5"/>
        <v>633.36723142540939</v>
      </c>
      <c r="N44" s="1441">
        <f t="shared" si="3"/>
        <v>406293.93000000005</v>
      </c>
      <c r="O44" s="1441">
        <f t="shared" si="4"/>
        <v>56600.30739119085</v>
      </c>
      <c r="P44" s="1442"/>
      <c r="Q44" s="1329"/>
      <c r="R44" s="1329"/>
      <c r="S44" s="1443">
        <f t="shared" si="6"/>
        <v>56600.30739119085</v>
      </c>
      <c r="T44" s="466"/>
      <c r="V44" s="466"/>
      <c r="W44" s="466"/>
      <c r="X44" s="466"/>
      <c r="Y44" s="466"/>
      <c r="Z44" s="466"/>
      <c r="AA44" s="466"/>
      <c r="AB44" s="466"/>
      <c r="AC44" s="466"/>
    </row>
    <row r="45" spans="1:29" s="1346" customFormat="1" ht="12" customHeight="1">
      <c r="A45" s="462"/>
      <c r="B45" s="1332">
        <v>45888</v>
      </c>
      <c r="C45" s="1438" t="s">
        <v>1405</v>
      </c>
      <c r="D45" s="1326" t="s">
        <v>188</v>
      </c>
      <c r="E45" s="1439">
        <v>16</v>
      </c>
      <c r="F45" s="1322" t="s">
        <v>107</v>
      </c>
      <c r="G45" s="1323"/>
      <c r="H45" s="1327"/>
      <c r="I45" s="1327"/>
      <c r="J45" s="1327"/>
      <c r="K45" s="1440">
        <v>42.63</v>
      </c>
      <c r="L45" s="1324">
        <f>'통장내역(환율표)'!$D$12</f>
        <v>7.1783000041981708</v>
      </c>
      <c r="M45" s="1096">
        <f t="shared" si="5"/>
        <v>5.9387320082844397</v>
      </c>
      <c r="N45" s="1441">
        <f t="shared" si="3"/>
        <v>406251.30000000005</v>
      </c>
      <c r="O45" s="1441">
        <f t="shared" si="4"/>
        <v>56594.368659182568</v>
      </c>
      <c r="P45" s="1442"/>
      <c r="Q45" s="1329"/>
      <c r="R45" s="1329"/>
      <c r="S45" s="1443">
        <f t="shared" si="6"/>
        <v>56594.368659182568</v>
      </c>
      <c r="T45" s="466"/>
      <c r="V45" s="466"/>
      <c r="W45" s="466"/>
      <c r="X45" s="466"/>
      <c r="Y45" s="466"/>
      <c r="Z45" s="466"/>
      <c r="AA45" s="466"/>
      <c r="AB45" s="466"/>
      <c r="AC45" s="466"/>
    </row>
    <row r="46" spans="1:29" s="1346" customFormat="1" ht="12" customHeight="1">
      <c r="A46" s="462"/>
      <c r="B46" s="1332">
        <v>45888</v>
      </c>
      <c r="C46" s="1438" t="s">
        <v>1510</v>
      </c>
      <c r="D46" s="1326" t="s">
        <v>188</v>
      </c>
      <c r="E46" s="1439">
        <v>17</v>
      </c>
      <c r="F46" s="1322" t="s">
        <v>107</v>
      </c>
      <c r="G46" s="1323"/>
      <c r="H46" s="1327"/>
      <c r="I46" s="1327"/>
      <c r="J46" s="1327"/>
      <c r="K46" s="1440">
        <v>704</v>
      </c>
      <c r="L46" s="1324">
        <f>'통장내역(환율표)'!$D$12</f>
        <v>7.1783000041981708</v>
      </c>
      <c r="M46" s="1096">
        <f t="shared" si="5"/>
        <v>98.073359930383418</v>
      </c>
      <c r="N46" s="1441">
        <f t="shared" si="3"/>
        <v>405547.30000000005</v>
      </c>
      <c r="O46" s="1441">
        <f t="shared" si="4"/>
        <v>56496.295299252182</v>
      </c>
      <c r="Q46" s="1329"/>
      <c r="R46" s="1329"/>
      <c r="S46" s="1443">
        <f t="shared" si="6"/>
        <v>56496.295299252182</v>
      </c>
      <c r="T46" s="466"/>
      <c r="V46" s="466"/>
      <c r="W46" s="466"/>
      <c r="X46" s="466"/>
      <c r="Y46" s="466"/>
      <c r="Z46" s="466"/>
      <c r="AA46" s="466"/>
      <c r="AB46" s="466"/>
      <c r="AC46" s="466"/>
    </row>
    <row r="47" spans="1:29" s="1346" customFormat="1" ht="12" customHeight="1">
      <c r="A47" s="462"/>
      <c r="B47" s="1332">
        <v>45888</v>
      </c>
      <c r="C47" s="1438" t="s">
        <v>862</v>
      </c>
      <c r="D47" s="1326" t="s">
        <v>188</v>
      </c>
      <c r="E47" s="1439">
        <v>18</v>
      </c>
      <c r="F47" s="1322" t="s">
        <v>107</v>
      </c>
      <c r="G47" s="1323"/>
      <c r="H47" s="1327"/>
      <c r="I47" s="1327"/>
      <c r="J47" s="1327"/>
      <c r="K47" s="1440">
        <v>3.6</v>
      </c>
      <c r="L47" s="1324">
        <f>'통장내역(환율표)'!$D$12</f>
        <v>7.1783000041981708</v>
      </c>
      <c r="M47" s="1096">
        <f t="shared" si="5"/>
        <v>0.5015114996440061</v>
      </c>
      <c r="N47" s="1441">
        <f t="shared" si="3"/>
        <v>405543.70000000007</v>
      </c>
      <c r="O47" s="1441">
        <f t="shared" si="4"/>
        <v>56495.79378775254</v>
      </c>
      <c r="P47" s="1442"/>
      <c r="Q47" s="1329"/>
      <c r="R47" s="1329"/>
      <c r="S47" s="1443">
        <f t="shared" si="6"/>
        <v>56495.79378775254</v>
      </c>
      <c r="T47" s="466"/>
      <c r="V47" s="466"/>
      <c r="W47" s="466"/>
      <c r="X47" s="466"/>
      <c r="Y47" s="466"/>
      <c r="Z47" s="466"/>
      <c r="AA47" s="466"/>
      <c r="AB47" s="466"/>
      <c r="AC47" s="466"/>
    </row>
    <row r="48" spans="1:29" s="468" customFormat="1" ht="11.25" customHeight="1">
      <c r="A48" s="462"/>
      <c r="B48" s="1332">
        <v>45888</v>
      </c>
      <c r="C48" s="1438" t="s">
        <v>1451</v>
      </c>
      <c r="D48" s="1326" t="s">
        <v>1390</v>
      </c>
      <c r="E48" s="1439">
        <v>19</v>
      </c>
      <c r="F48" s="1322" t="s">
        <v>146</v>
      </c>
      <c r="G48" s="1323" t="s">
        <v>147</v>
      </c>
      <c r="H48" s="1330"/>
      <c r="I48" s="1331"/>
      <c r="J48" s="1331"/>
      <c r="K48" s="1440">
        <v>831.3</v>
      </c>
      <c r="L48" s="1324">
        <f>'통장내역(환율표)'!$D$12</f>
        <v>7.1783000041981708</v>
      </c>
      <c r="M48" s="1096">
        <f t="shared" si="5"/>
        <v>115.80736379279507</v>
      </c>
      <c r="N48" s="1441">
        <f t="shared" si="3"/>
        <v>404712.40000000008</v>
      </c>
      <c r="O48" s="1441">
        <f t="shared" si="4"/>
        <v>56379.986423959745</v>
      </c>
      <c r="P48" s="1442"/>
      <c r="Q48" s="1329"/>
      <c r="R48" s="1329"/>
      <c r="S48" s="1443">
        <f t="shared" si="6"/>
        <v>56379.986423959745</v>
      </c>
      <c r="T48" s="466"/>
      <c r="U48" s="1346"/>
      <c r="V48" s="466"/>
      <c r="W48" s="466"/>
      <c r="X48" s="466"/>
      <c r="Y48" s="466"/>
      <c r="Z48" s="466"/>
      <c r="AA48" s="466"/>
      <c r="AB48" s="466"/>
      <c r="AC48" s="466"/>
    </row>
    <row r="49" spans="1:29" s="468" customFormat="1" ht="11.25" customHeight="1">
      <c r="A49" s="462"/>
      <c r="B49" s="1332">
        <v>45888</v>
      </c>
      <c r="C49" s="1438" t="s">
        <v>1403</v>
      </c>
      <c r="D49" s="1326" t="s">
        <v>1390</v>
      </c>
      <c r="E49" s="1439">
        <v>20</v>
      </c>
      <c r="F49" s="1322" t="s">
        <v>146</v>
      </c>
      <c r="G49" s="1323" t="s">
        <v>147</v>
      </c>
      <c r="H49" s="1330"/>
      <c r="I49" s="1331"/>
      <c r="J49" s="1331"/>
      <c r="K49" s="1440">
        <v>4770.8999999999996</v>
      </c>
      <c r="L49" s="1324">
        <f>'통장내역(환율표)'!$D$12</f>
        <v>7.1783000041981708</v>
      </c>
      <c r="M49" s="1096">
        <f t="shared" si="5"/>
        <v>664.62811490321906</v>
      </c>
      <c r="N49" s="1441">
        <f t="shared" si="3"/>
        <v>399941.50000000006</v>
      </c>
      <c r="O49" s="1441">
        <f t="shared" si="4"/>
        <v>55715.358309056523</v>
      </c>
      <c r="P49" s="1442"/>
      <c r="Q49" s="1329"/>
      <c r="R49" s="1329"/>
      <c r="S49" s="1443">
        <f t="shared" si="6"/>
        <v>55715.358309056523</v>
      </c>
      <c r="T49" s="466"/>
      <c r="U49" s="1346"/>
      <c r="V49" s="466"/>
      <c r="W49" s="466"/>
      <c r="X49" s="466"/>
      <c r="Y49" s="466"/>
      <c r="Z49" s="466"/>
      <c r="AA49" s="466"/>
      <c r="AB49" s="466"/>
      <c r="AC49" s="466"/>
    </row>
    <row r="50" spans="1:29" s="468" customFormat="1" ht="11.25" customHeight="1">
      <c r="A50" s="462"/>
      <c r="B50" s="1332">
        <v>45888</v>
      </c>
      <c r="C50" s="1438" t="s">
        <v>19</v>
      </c>
      <c r="D50" s="1326" t="s">
        <v>1390</v>
      </c>
      <c r="E50" s="1439">
        <v>21</v>
      </c>
      <c r="F50" s="1322" t="s">
        <v>116</v>
      </c>
      <c r="G50" s="1323" t="s">
        <v>140</v>
      </c>
      <c r="H50" s="1330"/>
      <c r="I50" s="1331"/>
      <c r="J50" s="1331"/>
      <c r="K50" s="1440">
        <v>398.95</v>
      </c>
      <c r="L50" s="1324">
        <f>'통장내역(환율표)'!$D$12</f>
        <v>7.1783000041981708</v>
      </c>
      <c r="M50" s="1096">
        <f t="shared" si="5"/>
        <v>55.577225773048951</v>
      </c>
      <c r="N50" s="1441">
        <f t="shared" si="3"/>
        <v>399542.55000000005</v>
      </c>
      <c r="O50" s="1441">
        <f t="shared" si="4"/>
        <v>55659.781083283473</v>
      </c>
      <c r="P50" s="1442"/>
      <c r="Q50" s="1329"/>
      <c r="R50" s="1329"/>
      <c r="S50" s="1443">
        <f t="shared" si="6"/>
        <v>55659.781083283473</v>
      </c>
      <c r="T50" s="466"/>
      <c r="U50" s="1346"/>
      <c r="V50" s="466"/>
      <c r="W50" s="466"/>
      <c r="X50" s="466"/>
      <c r="Y50" s="466"/>
      <c r="Z50" s="466"/>
      <c r="AA50" s="466"/>
      <c r="AB50" s="466"/>
      <c r="AC50" s="466"/>
    </row>
    <row r="51" spans="1:29" s="468" customFormat="1" ht="11.25" customHeight="1">
      <c r="A51" s="462"/>
      <c r="B51" s="1332">
        <v>45888</v>
      </c>
      <c r="C51" s="1438" t="s">
        <v>11</v>
      </c>
      <c r="D51" s="1326" t="s">
        <v>1390</v>
      </c>
      <c r="E51" s="1439">
        <v>22</v>
      </c>
      <c r="F51" s="1322" t="s">
        <v>125</v>
      </c>
      <c r="G51" s="1323" t="s">
        <v>145</v>
      </c>
      <c r="H51" s="1330"/>
      <c r="I51" s="1331"/>
      <c r="J51" s="1331"/>
      <c r="K51" s="1440">
        <v>287</v>
      </c>
      <c r="L51" s="1324">
        <f>'통장내역(환율표)'!$D$12</f>
        <v>7.1783000041981708</v>
      </c>
      <c r="M51" s="1096">
        <f t="shared" si="5"/>
        <v>39.981611221619374</v>
      </c>
      <c r="N51" s="1441">
        <f t="shared" si="3"/>
        <v>399255.55000000005</v>
      </c>
      <c r="O51" s="1441">
        <f t="shared" si="4"/>
        <v>55619.799472061852</v>
      </c>
      <c r="P51" s="1442"/>
      <c r="Q51" s="1329"/>
      <c r="R51" s="1329"/>
      <c r="S51" s="1443">
        <f t="shared" si="6"/>
        <v>55619.799472061852</v>
      </c>
      <c r="T51" s="466"/>
      <c r="U51" s="1346"/>
      <c r="V51" s="466"/>
      <c r="W51" s="466"/>
      <c r="X51" s="466"/>
      <c r="Y51" s="466"/>
      <c r="Z51" s="466"/>
      <c r="AA51" s="466"/>
      <c r="AB51" s="466"/>
      <c r="AC51" s="466"/>
    </row>
    <row r="52" spans="1:29" s="468" customFormat="1" ht="11.25" customHeight="1">
      <c r="A52" s="462"/>
      <c r="B52" s="1332">
        <v>45888</v>
      </c>
      <c r="C52" s="1438" t="s">
        <v>1386</v>
      </c>
      <c r="D52" s="1326" t="s">
        <v>1390</v>
      </c>
      <c r="E52" s="1439">
        <v>23</v>
      </c>
      <c r="F52" s="1322" t="s">
        <v>107</v>
      </c>
      <c r="G52" s="1323"/>
      <c r="H52" s="1327"/>
      <c r="I52" s="1327"/>
      <c r="J52" s="1327"/>
      <c r="K52" s="1440">
        <v>237.68</v>
      </c>
      <c r="L52" s="1324">
        <f>'통장내역(환율표)'!$D$12</f>
        <v>7.1783000041981708</v>
      </c>
      <c r="M52" s="1096">
        <f t="shared" si="5"/>
        <v>33.110903676496491</v>
      </c>
      <c r="N52" s="1441">
        <f t="shared" si="3"/>
        <v>399017.87000000005</v>
      </c>
      <c r="O52" s="1441">
        <f t="shared" si="4"/>
        <v>55586.688568385354</v>
      </c>
      <c r="P52" s="1442"/>
      <c r="Q52" s="1329"/>
      <c r="R52" s="1329"/>
      <c r="S52" s="1443">
        <f t="shared" si="6"/>
        <v>55586.688568385354</v>
      </c>
      <c r="T52" s="466"/>
      <c r="U52" s="1346"/>
      <c r="V52" s="466"/>
      <c r="W52" s="466"/>
      <c r="X52" s="466"/>
      <c r="Y52" s="466"/>
      <c r="Z52" s="466"/>
      <c r="AA52" s="466"/>
      <c r="AB52" s="466"/>
      <c r="AC52" s="466"/>
    </row>
    <row r="53" spans="1:29" s="468" customFormat="1" ht="11.25" customHeight="1">
      <c r="A53" s="462"/>
      <c r="B53" s="1332">
        <v>45888</v>
      </c>
      <c r="C53" s="1444" t="s">
        <v>564</v>
      </c>
      <c r="D53" s="1326" t="s">
        <v>1390</v>
      </c>
      <c r="E53" s="1439">
        <v>24</v>
      </c>
      <c r="F53" s="1322" t="s">
        <v>107</v>
      </c>
      <c r="G53" s="1323"/>
      <c r="H53" s="1327"/>
      <c r="I53" s="1327"/>
      <c r="J53" s="1327"/>
      <c r="K53" s="1440">
        <v>3238</v>
      </c>
      <c r="L53" s="1324">
        <f>'통장내역(환율표)'!$D$12</f>
        <v>7.1783000041981708</v>
      </c>
      <c r="M53" s="1096">
        <f t="shared" si="5"/>
        <v>451.08173217980328</v>
      </c>
      <c r="N53" s="1441">
        <f t="shared" si="3"/>
        <v>395779.87000000005</v>
      </c>
      <c r="O53" s="1441">
        <f t="shared" si="4"/>
        <v>55135.606836205552</v>
      </c>
      <c r="P53" s="1442" t="s">
        <v>1590</v>
      </c>
      <c r="Q53" s="1329"/>
      <c r="R53" s="1329"/>
      <c r="S53" s="1443">
        <f t="shared" si="6"/>
        <v>55135.606836205552</v>
      </c>
      <c r="T53" s="466"/>
      <c r="U53" s="1346"/>
      <c r="V53" s="466"/>
      <c r="W53" s="466"/>
      <c r="X53" s="466"/>
      <c r="Y53" s="466"/>
      <c r="Z53" s="466"/>
      <c r="AA53" s="466"/>
      <c r="AB53" s="466"/>
      <c r="AC53" s="466"/>
    </row>
    <row r="54" spans="1:29" s="468" customFormat="1" ht="11.25" customHeight="1">
      <c r="A54" s="462"/>
      <c r="B54" s="1332">
        <v>45888</v>
      </c>
      <c r="C54" s="1438" t="s">
        <v>1405</v>
      </c>
      <c r="D54" s="1326" t="s">
        <v>1390</v>
      </c>
      <c r="E54" s="1439">
        <v>25</v>
      </c>
      <c r="F54" s="1322" t="s">
        <v>107</v>
      </c>
      <c r="G54" s="1323"/>
      <c r="H54" s="1330"/>
      <c r="I54" s="1331"/>
      <c r="J54" s="1331"/>
      <c r="K54" s="1440">
        <v>196.75</v>
      </c>
      <c r="L54" s="1324">
        <f>'통장내역(환율표)'!$D$12</f>
        <v>7.1783000041981708</v>
      </c>
      <c r="M54" s="1096">
        <f t="shared" si="5"/>
        <v>27.408996543043944</v>
      </c>
      <c r="N54" s="1441">
        <f t="shared" si="3"/>
        <v>395583.12000000005</v>
      </c>
      <c r="O54" s="1441">
        <f t="shared" si="4"/>
        <v>55108.197839662505</v>
      </c>
      <c r="P54" s="1442"/>
      <c r="Q54" s="1329"/>
      <c r="R54" s="1329"/>
      <c r="S54" s="1443">
        <f t="shared" si="6"/>
        <v>55108.197839662505</v>
      </c>
      <c r="T54" s="466"/>
      <c r="U54" s="1346"/>
      <c r="V54" s="466"/>
      <c r="W54" s="466"/>
      <c r="X54" s="466"/>
      <c r="Y54" s="466"/>
      <c r="Z54" s="466"/>
      <c r="AA54" s="466"/>
      <c r="AB54" s="466"/>
      <c r="AC54" s="466"/>
    </row>
    <row r="55" spans="1:29" s="468" customFormat="1" ht="11.25" customHeight="1">
      <c r="A55" s="462"/>
      <c r="B55" s="1332">
        <v>45888</v>
      </c>
      <c r="C55" s="1438" t="s">
        <v>862</v>
      </c>
      <c r="D55" s="1326" t="s">
        <v>1390</v>
      </c>
      <c r="E55" s="1439">
        <v>26</v>
      </c>
      <c r="F55" s="1322" t="s">
        <v>107</v>
      </c>
      <c r="G55" s="1323"/>
      <c r="H55" s="1327"/>
      <c r="I55" s="1327"/>
      <c r="J55" s="1327"/>
      <c r="K55" s="1440">
        <v>3.6</v>
      </c>
      <c r="L55" s="1324">
        <f>'통장내역(환율표)'!$D$12</f>
        <v>7.1783000041981708</v>
      </c>
      <c r="M55" s="1096">
        <f t="shared" si="5"/>
        <v>0.5015114996440061</v>
      </c>
      <c r="N55" s="1441">
        <f t="shared" si="3"/>
        <v>395579.52000000008</v>
      </c>
      <c r="O55" s="1441">
        <f t="shared" si="4"/>
        <v>55107.696328162863</v>
      </c>
      <c r="P55" s="1442"/>
      <c r="Q55" s="1329"/>
      <c r="R55" s="1329"/>
      <c r="S55" s="1443">
        <f t="shared" si="6"/>
        <v>55107.696328162863</v>
      </c>
      <c r="T55" s="466"/>
      <c r="U55" s="1346"/>
      <c r="V55" s="466"/>
      <c r="W55" s="466"/>
      <c r="X55" s="466"/>
      <c r="Y55" s="466"/>
      <c r="Z55" s="466"/>
      <c r="AA55" s="466"/>
      <c r="AB55" s="466"/>
      <c r="AC55" s="466"/>
    </row>
    <row r="56" spans="1:29" s="468" customFormat="1" ht="11.25" customHeight="1">
      <c r="A56" s="462"/>
      <c r="B56" s="1332">
        <v>45888</v>
      </c>
      <c r="C56" s="1438" t="s">
        <v>1451</v>
      </c>
      <c r="D56" s="1326" t="s">
        <v>1591</v>
      </c>
      <c r="E56" s="1439">
        <v>27</v>
      </c>
      <c r="F56" s="1322" t="s">
        <v>146</v>
      </c>
      <c r="G56" s="1323" t="s">
        <v>147</v>
      </c>
      <c r="H56" s="1327"/>
      <c r="I56" s="1327"/>
      <c r="J56" s="1327"/>
      <c r="K56" s="1440">
        <v>100.74</v>
      </c>
      <c r="L56" s="1324">
        <f>'통장내역(환율표)'!$D$12</f>
        <v>7.1783000041981708</v>
      </c>
      <c r="M56" s="1096">
        <f t="shared" si="5"/>
        <v>14.033963465038104</v>
      </c>
      <c r="N56" s="1441">
        <f t="shared" si="3"/>
        <v>395478.78000000009</v>
      </c>
      <c r="O56" s="1441">
        <f t="shared" si="4"/>
        <v>55093.662364697826</v>
      </c>
      <c r="P56" s="1442"/>
      <c r="Q56" s="1329"/>
      <c r="R56" s="1329"/>
      <c r="S56" s="1443">
        <f t="shared" si="6"/>
        <v>55093.662364697826</v>
      </c>
      <c r="T56" s="466"/>
      <c r="U56" s="1346"/>
      <c r="V56" s="466"/>
      <c r="W56" s="466"/>
      <c r="X56" s="466"/>
      <c r="Y56" s="466"/>
      <c r="Z56" s="466"/>
      <c r="AA56" s="466"/>
      <c r="AB56" s="466"/>
      <c r="AC56" s="466"/>
    </row>
    <row r="57" spans="1:29" s="468" customFormat="1" ht="11.25" customHeight="1">
      <c r="A57" s="462"/>
      <c r="B57" s="1332">
        <v>45888</v>
      </c>
      <c r="C57" s="1438" t="s">
        <v>11</v>
      </c>
      <c r="D57" s="1326" t="s">
        <v>1591</v>
      </c>
      <c r="E57" s="1439">
        <v>28</v>
      </c>
      <c r="F57" s="1322" t="s">
        <v>11</v>
      </c>
      <c r="G57" s="1323" t="s">
        <v>12</v>
      </c>
      <c r="H57" s="1327"/>
      <c r="I57" s="1327"/>
      <c r="J57" s="1327"/>
      <c r="K57" s="1440">
        <v>40</v>
      </c>
      <c r="L57" s="1324">
        <f>'통장내역(환율표)'!$D$12</f>
        <v>7.1783000041981708</v>
      </c>
      <c r="M57" s="1096">
        <f t="shared" si="5"/>
        <v>5.5723499960445126</v>
      </c>
      <c r="N57" s="1441">
        <f t="shared" si="3"/>
        <v>395438.78000000009</v>
      </c>
      <c r="O57" s="1441">
        <f t="shared" si="4"/>
        <v>55088.090014701782</v>
      </c>
      <c r="P57" s="1442"/>
      <c r="Q57" s="1329"/>
      <c r="R57" s="1329"/>
      <c r="S57" s="1443">
        <f t="shared" si="6"/>
        <v>55088.090014701782</v>
      </c>
      <c r="T57" s="466"/>
      <c r="U57" s="1346"/>
      <c r="V57" s="466"/>
      <c r="W57" s="466"/>
      <c r="X57" s="466"/>
      <c r="Y57" s="466"/>
      <c r="Z57" s="466"/>
      <c r="AA57" s="466"/>
      <c r="AB57" s="466"/>
      <c r="AC57" s="466"/>
    </row>
    <row r="58" spans="1:29" s="468" customFormat="1" ht="11.25" customHeight="1">
      <c r="A58" s="462"/>
      <c r="B58" s="1332">
        <v>45888</v>
      </c>
      <c r="C58" s="1438" t="s">
        <v>1405</v>
      </c>
      <c r="D58" s="1326" t="s">
        <v>1591</v>
      </c>
      <c r="E58" s="1439">
        <v>29</v>
      </c>
      <c r="F58" s="1322" t="s">
        <v>107</v>
      </c>
      <c r="G58" s="1323"/>
      <c r="H58" s="1327"/>
      <c r="I58" s="1327"/>
      <c r="J58" s="1327"/>
      <c r="K58" s="1440">
        <v>396.75</v>
      </c>
      <c r="L58" s="1324">
        <f>'통장내역(환율표)'!$D$12</f>
        <v>7.1783000041981708</v>
      </c>
      <c r="M58" s="1096">
        <f t="shared" si="5"/>
        <v>55.27074652326651</v>
      </c>
      <c r="N58" s="1441">
        <f t="shared" si="3"/>
        <v>395042.03000000009</v>
      </c>
      <c r="O58" s="1441">
        <f t="shared" si="4"/>
        <v>55032.819268178515</v>
      </c>
      <c r="P58" s="1442"/>
      <c r="Q58" s="1329"/>
      <c r="R58" s="1329"/>
      <c r="S58" s="1443">
        <f t="shared" si="6"/>
        <v>55032.819268178515</v>
      </c>
      <c r="T58" s="466"/>
      <c r="U58" s="1346"/>
      <c r="V58" s="466"/>
      <c r="W58" s="466"/>
      <c r="X58" s="466"/>
      <c r="Y58" s="466"/>
      <c r="Z58" s="466"/>
      <c r="AA58" s="466"/>
      <c r="AB58" s="466"/>
      <c r="AC58" s="466"/>
    </row>
    <row r="59" spans="1:29" s="468" customFormat="1" ht="11.25" customHeight="1">
      <c r="A59" s="462"/>
      <c r="B59" s="1332">
        <v>45888</v>
      </c>
      <c r="C59" s="1438" t="s">
        <v>19</v>
      </c>
      <c r="D59" s="1326" t="s">
        <v>1591</v>
      </c>
      <c r="E59" s="1439">
        <v>30</v>
      </c>
      <c r="F59" s="1322" t="s">
        <v>116</v>
      </c>
      <c r="G59" s="1323" t="s">
        <v>140</v>
      </c>
      <c r="H59" s="1327"/>
      <c r="I59" s="1327"/>
      <c r="J59" s="1327"/>
      <c r="K59" s="1440">
        <v>100</v>
      </c>
      <c r="L59" s="1324">
        <f>'통장내역(환율표)'!$D$12</f>
        <v>7.1783000041981708</v>
      </c>
      <c r="M59" s="1096">
        <f t="shared" si="5"/>
        <v>13.930874990111281</v>
      </c>
      <c r="N59" s="1441">
        <f t="shared" si="3"/>
        <v>394942.03000000009</v>
      </c>
      <c r="O59" s="1441">
        <f t="shared" si="4"/>
        <v>55018.888393188405</v>
      </c>
      <c r="P59" s="1442"/>
      <c r="Q59" s="1329"/>
      <c r="R59" s="1329"/>
      <c r="S59" s="1443">
        <f t="shared" si="6"/>
        <v>55018.888393188405</v>
      </c>
      <c r="T59" s="466"/>
      <c r="U59" s="1346"/>
      <c r="V59" s="466"/>
      <c r="W59" s="466"/>
      <c r="X59" s="466"/>
      <c r="Y59" s="466"/>
      <c r="Z59" s="466"/>
      <c r="AA59" s="466"/>
      <c r="AB59" s="466"/>
      <c r="AC59" s="466"/>
    </row>
    <row r="60" spans="1:29" s="468" customFormat="1" ht="11.25" customHeight="1">
      <c r="A60" s="462"/>
      <c r="B60" s="1332">
        <v>45888</v>
      </c>
      <c r="C60" s="1444" t="s">
        <v>564</v>
      </c>
      <c r="D60" s="1326" t="s">
        <v>1591</v>
      </c>
      <c r="E60" s="1439">
        <v>31</v>
      </c>
      <c r="F60" s="1322" t="s">
        <v>107</v>
      </c>
      <c r="G60" s="1323"/>
      <c r="H60" s="1327"/>
      <c r="I60" s="1327"/>
      <c r="J60" s="1327"/>
      <c r="K60" s="1440">
        <v>120</v>
      </c>
      <c r="L60" s="1324">
        <f>'통장내역(환율표)'!$D$12</f>
        <v>7.1783000041981708</v>
      </c>
      <c r="M60" s="1096">
        <f t="shared" si="5"/>
        <v>16.717049988133535</v>
      </c>
      <c r="N60" s="1441">
        <f t="shared" si="3"/>
        <v>394822.03000000009</v>
      </c>
      <c r="O60" s="1441">
        <f t="shared" si="4"/>
        <v>55002.171343200273</v>
      </c>
      <c r="P60" s="1442"/>
      <c r="Q60" s="1329"/>
      <c r="R60" s="1329"/>
      <c r="S60" s="1443">
        <f t="shared" si="6"/>
        <v>55002.171343200273</v>
      </c>
      <c r="T60" s="466"/>
      <c r="U60" s="1346"/>
      <c r="V60" s="466"/>
      <c r="W60" s="466"/>
      <c r="X60" s="466"/>
      <c r="Y60" s="466"/>
      <c r="Z60" s="466"/>
      <c r="AA60" s="466"/>
      <c r="AB60" s="466"/>
      <c r="AC60" s="466"/>
    </row>
    <row r="61" spans="1:29" s="468" customFormat="1" ht="11.25" customHeight="1">
      <c r="A61" s="462"/>
      <c r="B61" s="1332">
        <v>45888</v>
      </c>
      <c r="C61" s="1438" t="s">
        <v>862</v>
      </c>
      <c r="D61" s="1326" t="s">
        <v>1591</v>
      </c>
      <c r="E61" s="1439">
        <v>32</v>
      </c>
      <c r="F61" s="1322" t="s">
        <v>107</v>
      </c>
      <c r="G61" s="1323"/>
      <c r="H61" s="1327"/>
      <c r="I61" s="1327"/>
      <c r="J61" s="1327"/>
      <c r="K61" s="1440">
        <v>3.6</v>
      </c>
      <c r="L61" s="1324">
        <f>'통장내역(환율표)'!$D$12</f>
        <v>7.1783000041981708</v>
      </c>
      <c r="M61" s="1096">
        <f t="shared" si="5"/>
        <v>0.5015114996440061</v>
      </c>
      <c r="N61" s="1441">
        <f t="shared" si="3"/>
        <v>394818.43000000011</v>
      </c>
      <c r="O61" s="1441">
        <f t="shared" si="4"/>
        <v>55001.66983170063</v>
      </c>
      <c r="P61" s="1442"/>
      <c r="Q61" s="1329"/>
      <c r="R61" s="1329"/>
      <c r="S61" s="1443">
        <f t="shared" si="6"/>
        <v>55001.66983170063</v>
      </c>
      <c r="T61" s="466"/>
      <c r="U61" s="1346"/>
      <c r="V61" s="466"/>
      <c r="W61" s="466"/>
      <c r="X61" s="466"/>
      <c r="Y61" s="466"/>
      <c r="Z61" s="466"/>
      <c r="AA61" s="466"/>
      <c r="AB61" s="466"/>
      <c r="AC61" s="466"/>
    </row>
    <row r="62" spans="1:29" s="468" customFormat="1" ht="11.25" customHeight="1">
      <c r="A62" s="462"/>
      <c r="B62" s="1332">
        <v>45888</v>
      </c>
      <c r="C62" s="1438" t="s">
        <v>1451</v>
      </c>
      <c r="D62" s="1326" t="s">
        <v>1391</v>
      </c>
      <c r="E62" s="1439">
        <v>33</v>
      </c>
      <c r="F62" s="1322" t="s">
        <v>146</v>
      </c>
      <c r="G62" s="1323" t="s">
        <v>147</v>
      </c>
      <c r="H62" s="1327"/>
      <c r="I62" s="1327"/>
      <c r="J62" s="1327"/>
      <c r="K62" s="1440">
        <v>710.66</v>
      </c>
      <c r="L62" s="1324">
        <f>'통장내역(환율표)'!$D$12</f>
        <v>7.1783000041981708</v>
      </c>
      <c r="M62" s="1096">
        <f t="shared" si="5"/>
        <v>99.001156204724822</v>
      </c>
      <c r="N62" s="1441">
        <f t="shared" si="3"/>
        <v>394107.77000000014</v>
      </c>
      <c r="O62" s="1441">
        <f t="shared" si="4"/>
        <v>54902.668675495908</v>
      </c>
      <c r="P62" s="1442"/>
      <c r="Q62" s="1329"/>
      <c r="R62" s="1329"/>
      <c r="S62" s="1443">
        <f t="shared" si="6"/>
        <v>54902.668675495908</v>
      </c>
      <c r="T62" s="466"/>
      <c r="U62" s="1346"/>
      <c r="V62" s="466"/>
      <c r="W62" s="466"/>
      <c r="X62" s="466"/>
      <c r="Y62" s="466"/>
      <c r="Z62" s="466"/>
      <c r="AA62" s="466"/>
      <c r="AB62" s="466"/>
      <c r="AC62" s="466"/>
    </row>
    <row r="63" spans="1:29" s="468" customFormat="1" ht="11.25" customHeight="1">
      <c r="A63" s="462"/>
      <c r="B63" s="1332">
        <v>45888</v>
      </c>
      <c r="C63" s="1438" t="s">
        <v>19</v>
      </c>
      <c r="D63" s="1326" t="s">
        <v>1391</v>
      </c>
      <c r="E63" s="1439">
        <v>34</v>
      </c>
      <c r="F63" s="1322" t="s">
        <v>116</v>
      </c>
      <c r="G63" s="1323" t="s">
        <v>140</v>
      </c>
      <c r="H63" s="1327"/>
      <c r="I63" s="1327"/>
      <c r="J63" s="1327"/>
      <c r="K63" s="1440">
        <v>498</v>
      </c>
      <c r="L63" s="1324">
        <f>'통장내역(환율표)'!$D$12</f>
        <v>7.1783000041981708</v>
      </c>
      <c r="M63" s="1096">
        <f t="shared" si="5"/>
        <v>69.375757450754179</v>
      </c>
      <c r="N63" s="1441">
        <f t="shared" si="3"/>
        <v>393609.77000000014</v>
      </c>
      <c r="O63" s="1441">
        <f t="shared" si="4"/>
        <v>54833.292918045154</v>
      </c>
      <c r="P63" s="1442"/>
      <c r="Q63" s="1329"/>
      <c r="R63" s="1329"/>
      <c r="S63" s="1443">
        <f t="shared" si="6"/>
        <v>54833.292918045154</v>
      </c>
      <c r="T63" s="466"/>
      <c r="U63" s="1346"/>
      <c r="V63" s="466"/>
      <c r="W63" s="466"/>
      <c r="X63" s="466"/>
      <c r="Y63" s="466"/>
      <c r="Z63" s="466"/>
      <c r="AA63" s="466"/>
      <c r="AB63" s="466"/>
      <c r="AC63" s="466"/>
    </row>
    <row r="64" spans="1:29" s="468" customFormat="1" ht="11.25" customHeight="1">
      <c r="A64" s="462"/>
      <c r="B64" s="1332">
        <v>45888</v>
      </c>
      <c r="C64" s="1438" t="s">
        <v>11</v>
      </c>
      <c r="D64" s="1326" t="s">
        <v>1391</v>
      </c>
      <c r="E64" s="1439">
        <v>35</v>
      </c>
      <c r="F64" s="1322" t="s">
        <v>125</v>
      </c>
      <c r="G64" s="1323" t="s">
        <v>145</v>
      </c>
      <c r="H64" s="1327"/>
      <c r="I64" s="1327"/>
      <c r="J64" s="1327"/>
      <c r="K64" s="1440">
        <v>3472.72</v>
      </c>
      <c r="L64" s="1324">
        <f>'통장내역(환율표)'!$D$12</f>
        <v>7.1783000041981708</v>
      </c>
      <c r="M64" s="1096">
        <f t="shared" si="5"/>
        <v>483.78028195659243</v>
      </c>
      <c r="N64" s="1441">
        <f t="shared" si="3"/>
        <v>390137.05000000016</v>
      </c>
      <c r="O64" s="1441">
        <f t="shared" si="4"/>
        <v>54349.512636088562</v>
      </c>
      <c r="P64" s="1442"/>
      <c r="Q64" s="1329"/>
      <c r="R64" s="1329"/>
      <c r="S64" s="1443">
        <f t="shared" si="6"/>
        <v>54349.512636088562</v>
      </c>
      <c r="T64" s="466"/>
      <c r="U64" s="1346"/>
      <c r="V64" s="466"/>
      <c r="W64" s="466"/>
      <c r="X64" s="466"/>
      <c r="Y64" s="466"/>
      <c r="Z64" s="466"/>
      <c r="AA64" s="466"/>
      <c r="AB64" s="466"/>
      <c r="AC64" s="466"/>
    </row>
    <row r="65" spans="1:29" s="468" customFormat="1" ht="11.25" customHeight="1">
      <c r="A65" s="462"/>
      <c r="B65" s="1332">
        <v>45888</v>
      </c>
      <c r="C65" s="1438" t="s">
        <v>1592</v>
      </c>
      <c r="D65" s="1326" t="s">
        <v>1391</v>
      </c>
      <c r="E65" s="1439">
        <v>36</v>
      </c>
      <c r="F65" s="1322" t="s">
        <v>107</v>
      </c>
      <c r="G65" s="1323"/>
      <c r="H65" s="1327"/>
      <c r="I65" s="1327"/>
      <c r="J65" s="1327"/>
      <c r="K65" s="1440">
        <v>5598.74</v>
      </c>
      <c r="L65" s="1324">
        <f>'통장내역(환율표)'!$D$12</f>
        <v>7.1783000041981708</v>
      </c>
      <c r="M65" s="1096">
        <f t="shared" si="5"/>
        <v>779.95347042135631</v>
      </c>
      <c r="N65" s="1441">
        <f t="shared" si="3"/>
        <v>384538.31000000017</v>
      </c>
      <c r="O65" s="1441">
        <f t="shared" si="4"/>
        <v>53569.559165667204</v>
      </c>
      <c r="P65" s="1442"/>
      <c r="Q65" s="1329"/>
      <c r="R65" s="1329"/>
      <c r="S65" s="1443">
        <f t="shared" si="6"/>
        <v>53569.559165667204</v>
      </c>
      <c r="T65" s="466"/>
      <c r="U65" s="1346"/>
      <c r="V65" s="466"/>
      <c r="W65" s="466"/>
      <c r="X65" s="466"/>
      <c r="Y65" s="466"/>
      <c r="Z65" s="466"/>
      <c r="AA65" s="466"/>
      <c r="AB65" s="466"/>
      <c r="AC65" s="466"/>
    </row>
    <row r="66" spans="1:29" s="468" customFormat="1" ht="11.25" customHeight="1">
      <c r="A66" s="462"/>
      <c r="B66" s="1332">
        <v>45888</v>
      </c>
      <c r="C66" s="1444" t="s">
        <v>564</v>
      </c>
      <c r="D66" s="1326" t="s">
        <v>1391</v>
      </c>
      <c r="E66" s="1439">
        <v>37</v>
      </c>
      <c r="F66" s="1322" t="s">
        <v>107</v>
      </c>
      <c r="G66" s="1323"/>
      <c r="H66" s="1327"/>
      <c r="I66" s="1327"/>
      <c r="J66" s="1327"/>
      <c r="K66" s="1440">
        <v>70</v>
      </c>
      <c r="L66" s="1324">
        <f>'통장내역(환율표)'!$D$12</f>
        <v>7.1783000041981708</v>
      </c>
      <c r="M66" s="1096">
        <f t="shared" si="5"/>
        <v>9.7516124930778965</v>
      </c>
      <c r="N66" s="1441">
        <f t="shared" si="3"/>
        <v>384468.31000000017</v>
      </c>
      <c r="O66" s="1441">
        <f t="shared" si="4"/>
        <v>53559.807553174127</v>
      </c>
      <c r="P66" s="1442"/>
      <c r="Q66" s="1329"/>
      <c r="R66" s="1329"/>
      <c r="S66" s="1443">
        <f t="shared" si="6"/>
        <v>53559.807553174127</v>
      </c>
      <c r="T66" s="466"/>
      <c r="U66" s="1346"/>
      <c r="V66" s="466"/>
      <c r="W66" s="466"/>
      <c r="X66" s="466"/>
      <c r="Y66" s="466"/>
      <c r="Z66" s="466"/>
      <c r="AA66" s="466"/>
      <c r="AB66" s="466"/>
      <c r="AC66" s="466"/>
    </row>
    <row r="67" spans="1:29" s="468" customFormat="1" ht="11.25" customHeight="1">
      <c r="A67" s="462"/>
      <c r="B67" s="1332">
        <v>45888</v>
      </c>
      <c r="C67" s="1438" t="s">
        <v>862</v>
      </c>
      <c r="D67" s="1326" t="s">
        <v>1391</v>
      </c>
      <c r="E67" s="1439">
        <v>38</v>
      </c>
      <c r="F67" s="1322" t="s">
        <v>107</v>
      </c>
      <c r="G67" s="1323"/>
      <c r="H67" s="1327"/>
      <c r="I67" s="1327"/>
      <c r="J67" s="1327"/>
      <c r="K67" s="1440">
        <v>7.2</v>
      </c>
      <c r="L67" s="1324">
        <f>'통장내역(환율표)'!$D$12</f>
        <v>7.1783000041981708</v>
      </c>
      <c r="M67" s="1096">
        <f t="shared" si="5"/>
        <v>1.0030229992880122</v>
      </c>
      <c r="N67" s="1441">
        <f t="shared" si="3"/>
        <v>384461.11000000016</v>
      </c>
      <c r="O67" s="1441">
        <f t="shared" si="4"/>
        <v>53558.804530174843</v>
      </c>
      <c r="P67" s="1442"/>
      <c r="Q67" s="1329"/>
      <c r="R67" s="1329"/>
      <c r="S67" s="1443">
        <f t="shared" si="6"/>
        <v>53558.804530174843</v>
      </c>
      <c r="T67" s="466"/>
      <c r="U67" s="1346"/>
      <c r="V67" s="466"/>
      <c r="W67" s="466"/>
      <c r="X67" s="466"/>
      <c r="Y67" s="466"/>
      <c r="Z67" s="466"/>
      <c r="AA67" s="466"/>
      <c r="AB67" s="466"/>
      <c r="AC67" s="466"/>
    </row>
    <row r="68" spans="1:29" s="468" customFormat="1" ht="11.25" customHeight="1">
      <c r="A68" s="462"/>
      <c r="B68" s="1332">
        <v>45888</v>
      </c>
      <c r="C68" s="1325" t="s">
        <v>11</v>
      </c>
      <c r="D68" s="1326" t="s">
        <v>1551</v>
      </c>
      <c r="E68" s="1439">
        <v>39</v>
      </c>
      <c r="F68" s="1322" t="s">
        <v>125</v>
      </c>
      <c r="G68" s="1323" t="s">
        <v>145</v>
      </c>
      <c r="H68" s="1327"/>
      <c r="I68" s="1328"/>
      <c r="J68" s="1327"/>
      <c r="K68" s="1440">
        <v>7271</v>
      </c>
      <c r="L68" s="1324">
        <f>'통장내역(환율표)'!$D$12</f>
        <v>7.1783000041981708</v>
      </c>
      <c r="M68" s="1096">
        <f t="shared" si="5"/>
        <v>1012.9139205309913</v>
      </c>
      <c r="N68" s="1441">
        <f t="shared" si="3"/>
        <v>377190.11000000016</v>
      </c>
      <c r="O68" s="1441">
        <f t="shared" si="4"/>
        <v>52545.890609643851</v>
      </c>
      <c r="P68" s="1442"/>
      <c r="Q68" s="1329"/>
      <c r="R68" s="1329"/>
      <c r="S68" s="1443">
        <f t="shared" si="6"/>
        <v>52545.890609643851</v>
      </c>
      <c r="T68" s="466"/>
      <c r="U68" s="1346"/>
      <c r="V68" s="466"/>
      <c r="W68" s="466"/>
      <c r="X68" s="466"/>
      <c r="Y68" s="466"/>
      <c r="Z68" s="466"/>
      <c r="AA68" s="466"/>
      <c r="AB68" s="466"/>
      <c r="AC68" s="466"/>
    </row>
    <row r="69" spans="1:29" s="468" customFormat="1" ht="11.25" customHeight="1">
      <c r="A69" s="462"/>
      <c r="B69" s="1332">
        <v>45888</v>
      </c>
      <c r="C69" s="1438" t="s">
        <v>1403</v>
      </c>
      <c r="D69" s="1326" t="s">
        <v>1551</v>
      </c>
      <c r="E69" s="1439">
        <v>40</v>
      </c>
      <c r="F69" s="1322" t="s">
        <v>146</v>
      </c>
      <c r="G69" s="1323" t="s">
        <v>147</v>
      </c>
      <c r="H69" s="1327"/>
      <c r="I69" s="1328"/>
      <c r="J69" s="1327"/>
      <c r="K69" s="1440">
        <v>12667.68</v>
      </c>
      <c r="L69" s="1324">
        <f>'통장내역(환율표)'!$D$12</f>
        <v>7.1783000041981708</v>
      </c>
      <c r="M69" s="1096">
        <f t="shared" si="5"/>
        <v>1764.7186649473288</v>
      </c>
      <c r="N69" s="1441">
        <f t="shared" si="3"/>
        <v>364522.43000000017</v>
      </c>
      <c r="O69" s="1441">
        <f t="shared" si="4"/>
        <v>50781.171944696522</v>
      </c>
      <c r="P69" s="1442"/>
      <c r="Q69" s="1329"/>
      <c r="R69" s="1329"/>
      <c r="S69" s="1443">
        <f t="shared" si="6"/>
        <v>50781.171944696522</v>
      </c>
      <c r="T69" s="466"/>
      <c r="U69" s="1346"/>
      <c r="V69" s="466"/>
      <c r="W69" s="466"/>
      <c r="X69" s="466"/>
      <c r="Y69" s="466"/>
      <c r="Z69" s="466"/>
      <c r="AA69" s="466"/>
      <c r="AB69" s="466"/>
      <c r="AC69" s="466"/>
    </row>
    <row r="70" spans="1:29" s="468" customFormat="1" ht="11.25" customHeight="1">
      <c r="A70" s="462"/>
      <c r="B70" s="1332">
        <v>45888</v>
      </c>
      <c r="C70" s="1438" t="s">
        <v>11</v>
      </c>
      <c r="D70" s="1326" t="s">
        <v>1394</v>
      </c>
      <c r="E70" s="1439">
        <v>41</v>
      </c>
      <c r="F70" s="1322" t="s">
        <v>125</v>
      </c>
      <c r="G70" s="1323" t="s">
        <v>145</v>
      </c>
      <c r="H70" s="1327"/>
      <c r="I70" s="1327"/>
      <c r="J70" s="1327"/>
      <c r="K70" s="1440">
        <v>811</v>
      </c>
      <c r="L70" s="1324">
        <f>'통장내역(환율표)'!$D$12</f>
        <v>7.1783000041981708</v>
      </c>
      <c r="M70" s="1096">
        <f t="shared" si="5"/>
        <v>112.97939616980248</v>
      </c>
      <c r="N70" s="1441">
        <f t="shared" si="3"/>
        <v>363711.43000000017</v>
      </c>
      <c r="O70" s="1441">
        <f t="shared" si="4"/>
        <v>50668.19254852672</v>
      </c>
      <c r="P70" s="1442"/>
      <c r="Q70" s="1329"/>
      <c r="R70" s="1329"/>
      <c r="S70" s="1443">
        <f t="shared" si="6"/>
        <v>50668.19254852672</v>
      </c>
      <c r="T70" s="466"/>
      <c r="U70" s="1346"/>
      <c r="V70" s="466"/>
      <c r="W70" s="466"/>
      <c r="X70" s="466"/>
      <c r="Y70" s="466"/>
      <c r="Z70" s="466"/>
      <c r="AA70" s="466"/>
      <c r="AB70" s="466"/>
      <c r="AC70" s="466"/>
    </row>
    <row r="71" spans="1:29" s="468" customFormat="1" ht="11.25" customHeight="1">
      <c r="A71" s="462"/>
      <c r="B71" s="1332">
        <v>45888</v>
      </c>
      <c r="C71" s="1438" t="s">
        <v>19</v>
      </c>
      <c r="D71" s="1326" t="s">
        <v>1394</v>
      </c>
      <c r="E71" s="1439">
        <v>42</v>
      </c>
      <c r="F71" s="1322" t="s">
        <v>116</v>
      </c>
      <c r="G71" s="1323" t="s">
        <v>140</v>
      </c>
      <c r="H71" s="1327"/>
      <c r="I71" s="1327"/>
      <c r="J71" s="1327"/>
      <c r="K71" s="1440">
        <v>293.14</v>
      </c>
      <c r="L71" s="1324">
        <f>'통장내역(환율표)'!$D$12</f>
        <v>7.1783000041981708</v>
      </c>
      <c r="M71" s="1096">
        <f t="shared" si="5"/>
        <v>40.836966946012204</v>
      </c>
      <c r="N71" s="1441">
        <f t="shared" si="3"/>
        <v>363418.29000000015</v>
      </c>
      <c r="O71" s="1441">
        <f t="shared" si="4"/>
        <v>50627.355581580705</v>
      </c>
      <c r="P71" s="1442"/>
      <c r="Q71" s="1329"/>
      <c r="R71" s="1329"/>
      <c r="S71" s="1443">
        <f t="shared" si="6"/>
        <v>50627.355581580705</v>
      </c>
      <c r="T71" s="466"/>
      <c r="U71" s="1346"/>
      <c r="V71" s="466"/>
      <c r="W71" s="466"/>
      <c r="X71" s="466"/>
      <c r="Y71" s="466"/>
      <c r="Z71" s="466"/>
      <c r="AA71" s="466"/>
      <c r="AB71" s="466"/>
      <c r="AC71" s="466"/>
    </row>
    <row r="72" spans="1:29" s="468" customFormat="1" ht="11.25" customHeight="1">
      <c r="A72" s="462"/>
      <c r="B72" s="1332">
        <v>45888</v>
      </c>
      <c r="C72" s="1325" t="s">
        <v>1405</v>
      </c>
      <c r="D72" s="1326" t="s">
        <v>1394</v>
      </c>
      <c r="E72" s="1439">
        <v>43</v>
      </c>
      <c r="F72" s="1322" t="s">
        <v>107</v>
      </c>
      <c r="G72" s="1323"/>
      <c r="H72" s="1327"/>
      <c r="I72" s="1327"/>
      <c r="J72" s="1327"/>
      <c r="K72" s="1440">
        <v>12</v>
      </c>
      <c r="L72" s="1324">
        <f>'통장내역(환율표)'!$D$12</f>
        <v>7.1783000041981708</v>
      </c>
      <c r="M72" s="1096">
        <f t="shared" si="5"/>
        <v>1.6717049988133537</v>
      </c>
      <c r="N72" s="1441">
        <f t="shared" si="3"/>
        <v>363406.29000000015</v>
      </c>
      <c r="O72" s="1441">
        <f t="shared" si="4"/>
        <v>50625.68387658189</v>
      </c>
      <c r="P72" s="1442"/>
      <c r="Q72" s="1329"/>
      <c r="R72" s="1329"/>
      <c r="S72" s="1443">
        <f t="shared" si="6"/>
        <v>50625.68387658189</v>
      </c>
      <c r="T72" s="466"/>
      <c r="U72" s="1346"/>
      <c r="V72" s="466"/>
      <c r="W72" s="466"/>
      <c r="X72" s="466"/>
      <c r="Y72" s="466"/>
      <c r="Z72" s="466"/>
      <c r="AA72" s="466"/>
      <c r="AB72" s="466"/>
      <c r="AC72" s="466"/>
    </row>
    <row r="73" spans="1:29" s="468" customFormat="1" ht="11.25" customHeight="1">
      <c r="A73" s="462"/>
      <c r="B73" s="1332">
        <v>45888</v>
      </c>
      <c r="C73" s="1444" t="s">
        <v>564</v>
      </c>
      <c r="D73" s="1326" t="s">
        <v>1394</v>
      </c>
      <c r="E73" s="1439">
        <v>44</v>
      </c>
      <c r="F73" s="1322" t="s">
        <v>107</v>
      </c>
      <c r="G73" s="1323"/>
      <c r="H73" s="1327"/>
      <c r="I73" s="1327"/>
      <c r="J73" s="1327"/>
      <c r="K73" s="1440">
        <v>277.33</v>
      </c>
      <c r="L73" s="1324">
        <f>'통장내역(환율표)'!$D$12</f>
        <v>7.1783000041981708</v>
      </c>
      <c r="M73" s="1096">
        <f t="shared" si="5"/>
        <v>38.634495610075611</v>
      </c>
      <c r="N73" s="1441">
        <f t="shared" si="3"/>
        <v>363128.96000000014</v>
      </c>
      <c r="O73" s="1441">
        <f t="shared" si="4"/>
        <v>50587.049380971817</v>
      </c>
      <c r="P73" s="1442"/>
      <c r="Q73" s="1329"/>
      <c r="R73" s="1329"/>
      <c r="S73" s="1443">
        <f t="shared" si="6"/>
        <v>50587.049380971817</v>
      </c>
      <c r="T73" s="466"/>
      <c r="U73" s="1346"/>
      <c r="V73" s="466"/>
      <c r="W73" s="466"/>
      <c r="X73" s="466"/>
      <c r="Y73" s="466"/>
      <c r="Z73" s="466"/>
      <c r="AA73" s="466"/>
      <c r="AB73" s="466"/>
      <c r="AC73" s="466"/>
    </row>
    <row r="74" spans="1:29" s="468" customFormat="1" ht="11.25" customHeight="1">
      <c r="A74" s="462"/>
      <c r="B74" s="1332">
        <v>45888</v>
      </c>
      <c r="C74" s="1325" t="s">
        <v>862</v>
      </c>
      <c r="D74" s="1326" t="s">
        <v>1394</v>
      </c>
      <c r="E74" s="1439">
        <v>45</v>
      </c>
      <c r="F74" s="1322" t="s">
        <v>107</v>
      </c>
      <c r="G74" s="1323"/>
      <c r="H74" s="1327"/>
      <c r="I74" s="1327"/>
      <c r="J74" s="1327"/>
      <c r="K74" s="1440">
        <v>3.6</v>
      </c>
      <c r="L74" s="1324">
        <f>'통장내역(환율표)'!$D$12</f>
        <v>7.1783000041981708</v>
      </c>
      <c r="M74" s="1096">
        <f t="shared" si="5"/>
        <v>0.5015114996440061</v>
      </c>
      <c r="N74" s="1441">
        <f t="shared" si="3"/>
        <v>363125.36000000016</v>
      </c>
      <c r="O74" s="1441">
        <f t="shared" si="4"/>
        <v>50586.547869472175</v>
      </c>
      <c r="P74" s="1442"/>
      <c r="Q74" s="1329"/>
      <c r="R74" s="1329"/>
      <c r="S74" s="1443">
        <f t="shared" si="6"/>
        <v>50586.547869472175</v>
      </c>
      <c r="T74" s="466"/>
      <c r="U74" s="1346"/>
      <c r="V74" s="466"/>
      <c r="W74" s="466"/>
      <c r="X74" s="466"/>
      <c r="Y74" s="466"/>
      <c r="Z74" s="466"/>
      <c r="AA74" s="466"/>
      <c r="AB74" s="466"/>
      <c r="AC74" s="466"/>
    </row>
    <row r="75" spans="1:29" s="468" customFormat="1" ht="11.25" customHeight="1">
      <c r="A75" s="462"/>
      <c r="B75" s="1332">
        <v>45888</v>
      </c>
      <c r="C75" s="1325" t="s">
        <v>1406</v>
      </c>
      <c r="D75" s="1326" t="s">
        <v>1392</v>
      </c>
      <c r="E75" s="1439">
        <v>46</v>
      </c>
      <c r="F75" s="1322" t="s">
        <v>146</v>
      </c>
      <c r="G75" s="1323" t="s">
        <v>147</v>
      </c>
      <c r="H75" s="1327"/>
      <c r="I75" s="1327"/>
      <c r="J75" s="1327"/>
      <c r="K75" s="1440">
        <v>2420</v>
      </c>
      <c r="L75" s="1324">
        <f>'통장내역(환율표)'!$D$12</f>
        <v>7.1783000041981708</v>
      </c>
      <c r="M75" s="1096">
        <f t="shared" si="5"/>
        <v>337.12717476069298</v>
      </c>
      <c r="N75" s="1441">
        <f t="shared" si="3"/>
        <v>360705.36000000016</v>
      </c>
      <c r="O75" s="1441">
        <f t="shared" si="4"/>
        <v>50249.42069471148</v>
      </c>
      <c r="P75" s="1442"/>
      <c r="Q75" s="1329"/>
      <c r="R75" s="1329"/>
      <c r="S75" s="1443">
        <f t="shared" si="6"/>
        <v>50249.42069471148</v>
      </c>
      <c r="T75" s="466"/>
      <c r="U75" s="1346"/>
      <c r="V75" s="466"/>
      <c r="W75" s="466"/>
      <c r="X75" s="466"/>
      <c r="Y75" s="466"/>
      <c r="Z75" s="466"/>
      <c r="AA75" s="466"/>
      <c r="AB75" s="466"/>
      <c r="AC75" s="466"/>
    </row>
    <row r="76" spans="1:29" s="468" customFormat="1" ht="11.25" customHeight="1">
      <c r="A76" s="462"/>
      <c r="B76" s="1332">
        <v>45888</v>
      </c>
      <c r="C76" s="1325" t="s">
        <v>1407</v>
      </c>
      <c r="D76" s="1326" t="s">
        <v>1392</v>
      </c>
      <c r="E76" s="1439">
        <v>47</v>
      </c>
      <c r="F76" s="1322" t="s">
        <v>146</v>
      </c>
      <c r="G76" s="1323" t="s">
        <v>147</v>
      </c>
      <c r="H76" s="1327"/>
      <c r="I76" s="1328"/>
      <c r="J76" s="1327"/>
      <c r="K76" s="1440">
        <v>204</v>
      </c>
      <c r="L76" s="1324">
        <f>'통장내역(환율표)'!$D$12</f>
        <v>7.1783000041981708</v>
      </c>
      <c r="M76" s="1096">
        <f t="shared" si="5"/>
        <v>28.418984979827012</v>
      </c>
      <c r="N76" s="1441">
        <f t="shared" si="3"/>
        <v>360501.36000000016</v>
      </c>
      <c r="O76" s="1441">
        <f t="shared" si="4"/>
        <v>50221.001709731652</v>
      </c>
      <c r="P76" s="1442"/>
      <c r="Q76" s="1329"/>
      <c r="R76" s="1329"/>
      <c r="S76" s="1443">
        <f t="shared" si="6"/>
        <v>50221.001709731652</v>
      </c>
      <c r="T76" s="466"/>
      <c r="U76" s="1346"/>
      <c r="V76" s="466"/>
      <c r="W76" s="466"/>
      <c r="X76" s="466"/>
      <c r="Y76" s="466"/>
      <c r="Z76" s="466"/>
      <c r="AA76" s="466"/>
      <c r="AB76" s="466"/>
      <c r="AC76" s="466"/>
    </row>
    <row r="77" spans="1:29" s="468" customFormat="1" ht="11.25" customHeight="1">
      <c r="A77" s="462"/>
      <c r="B77" s="1332">
        <v>45888</v>
      </c>
      <c r="C77" s="1325" t="s">
        <v>1408</v>
      </c>
      <c r="D77" s="1326" t="s">
        <v>1392</v>
      </c>
      <c r="E77" s="1439">
        <v>48</v>
      </c>
      <c r="F77" s="1322" t="s">
        <v>146</v>
      </c>
      <c r="G77" s="1323" t="s">
        <v>147</v>
      </c>
      <c r="H77" s="1327"/>
      <c r="I77" s="1328"/>
      <c r="J77" s="1327"/>
      <c r="K77" s="1440">
        <v>553</v>
      </c>
      <c r="L77" s="1324">
        <f>'통장내역(환율표)'!$D$12</f>
        <v>7.1783000041981708</v>
      </c>
      <c r="M77" s="1096">
        <f t="shared" si="5"/>
        <v>77.037738695315383</v>
      </c>
      <c r="N77" s="1441">
        <f t="shared" si="3"/>
        <v>359948.36000000016</v>
      </c>
      <c r="O77" s="1441">
        <f t="shared" si="4"/>
        <v>50143.963971036334</v>
      </c>
      <c r="P77" s="1442"/>
      <c r="Q77" s="1329"/>
      <c r="R77" s="1329"/>
      <c r="S77" s="1443">
        <f t="shared" si="6"/>
        <v>50143.963971036334</v>
      </c>
      <c r="T77" s="466"/>
      <c r="U77" s="1346"/>
      <c r="V77" s="466"/>
      <c r="W77" s="466"/>
      <c r="X77" s="466"/>
      <c r="Y77" s="466"/>
      <c r="Z77" s="466"/>
      <c r="AA77" s="466"/>
      <c r="AB77" s="466"/>
      <c r="AC77" s="466"/>
    </row>
    <row r="78" spans="1:29" s="468" customFormat="1" ht="11.25" customHeight="1">
      <c r="A78" s="462"/>
      <c r="B78" s="1332">
        <v>45888</v>
      </c>
      <c r="C78" s="1325" t="s">
        <v>862</v>
      </c>
      <c r="D78" s="1326" t="s">
        <v>1392</v>
      </c>
      <c r="E78" s="1439">
        <v>49</v>
      </c>
      <c r="F78" s="1322" t="s">
        <v>107</v>
      </c>
      <c r="G78" s="1323"/>
      <c r="H78" s="1327"/>
      <c r="I78" s="1328"/>
      <c r="J78" s="1327"/>
      <c r="K78" s="1440">
        <v>3.6</v>
      </c>
      <c r="L78" s="1324">
        <f>'통장내역(환율표)'!$D$12</f>
        <v>7.1783000041981708</v>
      </c>
      <c r="M78" s="1096">
        <f t="shared" si="5"/>
        <v>0.5015114996440061</v>
      </c>
      <c r="N78" s="1441">
        <f t="shared" si="3"/>
        <v>359944.76000000018</v>
      </c>
      <c r="O78" s="1441">
        <f t="shared" si="4"/>
        <v>50143.462459536691</v>
      </c>
      <c r="P78" s="1442"/>
      <c r="Q78" s="1329"/>
      <c r="R78" s="1329"/>
      <c r="S78" s="1443">
        <f t="shared" si="6"/>
        <v>50143.462459536691</v>
      </c>
      <c r="T78" s="466"/>
      <c r="U78" s="1346"/>
      <c r="V78" s="466"/>
      <c r="W78" s="466"/>
      <c r="X78" s="466"/>
      <c r="Y78" s="466"/>
      <c r="Z78" s="466"/>
      <c r="AA78" s="466"/>
      <c r="AB78" s="466"/>
      <c r="AC78" s="466"/>
    </row>
    <row r="79" spans="1:29" s="468" customFormat="1" ht="11.25" customHeight="1">
      <c r="A79" s="462"/>
      <c r="B79" s="1332">
        <v>45888</v>
      </c>
      <c r="C79" s="1325" t="s">
        <v>1408</v>
      </c>
      <c r="D79" s="1326" t="s">
        <v>1393</v>
      </c>
      <c r="E79" s="1439">
        <v>50</v>
      </c>
      <c r="F79" s="1322" t="s">
        <v>146</v>
      </c>
      <c r="G79" s="1323" t="s">
        <v>147</v>
      </c>
      <c r="H79" s="1330"/>
      <c r="I79" s="1331"/>
      <c r="J79" s="1331"/>
      <c r="K79" s="1440">
        <v>370</v>
      </c>
      <c r="L79" s="1324">
        <f>'통장내역(환율표)'!$D$12</f>
        <v>7.1783000041981708</v>
      </c>
      <c r="M79" s="1096">
        <f t="shared" si="5"/>
        <v>51.54423746341174</v>
      </c>
      <c r="N79" s="1441">
        <f t="shared" si="3"/>
        <v>359574.76000000018</v>
      </c>
      <c r="O79" s="1441">
        <f t="shared" si="4"/>
        <v>50091.918222073276</v>
      </c>
      <c r="P79" s="1442"/>
      <c r="Q79" s="1329"/>
      <c r="R79" s="1329"/>
      <c r="S79" s="1443">
        <f t="shared" si="6"/>
        <v>50091.918222073276</v>
      </c>
      <c r="T79" s="466"/>
      <c r="U79" s="1346"/>
      <c r="V79" s="466"/>
      <c r="W79" s="466"/>
      <c r="X79" s="466"/>
      <c r="Y79" s="466"/>
      <c r="Z79" s="466"/>
      <c r="AA79" s="466"/>
      <c r="AB79" s="466"/>
      <c r="AC79" s="466"/>
    </row>
    <row r="80" spans="1:29" s="468" customFormat="1" ht="11.25" customHeight="1">
      <c r="A80" s="462"/>
      <c r="B80" s="1332">
        <v>45888</v>
      </c>
      <c r="C80" s="1325" t="s">
        <v>1406</v>
      </c>
      <c r="D80" s="1326" t="s">
        <v>1393</v>
      </c>
      <c r="E80" s="1439">
        <v>51</v>
      </c>
      <c r="F80" s="1322" t="s">
        <v>146</v>
      </c>
      <c r="G80" s="1323" t="s">
        <v>147</v>
      </c>
      <c r="H80" s="1330"/>
      <c r="I80" s="1331"/>
      <c r="J80" s="1331"/>
      <c r="K80" s="1440">
        <v>1834.42</v>
      </c>
      <c r="L80" s="1324">
        <f>'통장내역(환율표)'!$D$12</f>
        <v>7.1783000041981708</v>
      </c>
      <c r="M80" s="1096">
        <f t="shared" si="5"/>
        <v>255.55075699359938</v>
      </c>
      <c r="N80" s="1441">
        <f t="shared" si="3"/>
        <v>357740.3400000002</v>
      </c>
      <c r="O80" s="1441">
        <f t="shared" si="4"/>
        <v>49836.367465079675</v>
      </c>
      <c r="P80" s="1442"/>
      <c r="Q80" s="1329"/>
      <c r="R80" s="1329"/>
      <c r="S80" s="1443">
        <f t="shared" si="6"/>
        <v>49836.367465079675</v>
      </c>
      <c r="T80" s="466"/>
      <c r="U80" s="1346"/>
      <c r="V80" s="466"/>
      <c r="W80" s="466"/>
      <c r="X80" s="466"/>
      <c r="Y80" s="466"/>
      <c r="Z80" s="466"/>
      <c r="AA80" s="466"/>
      <c r="AB80" s="466"/>
      <c r="AC80" s="466"/>
    </row>
    <row r="81" spans="1:29" s="468" customFormat="1" ht="11.25" customHeight="1">
      <c r="A81" s="462"/>
      <c r="B81" s="1332">
        <v>45888</v>
      </c>
      <c r="C81" s="1325" t="s">
        <v>1407</v>
      </c>
      <c r="D81" s="1326" t="s">
        <v>1393</v>
      </c>
      <c r="E81" s="1439">
        <v>52</v>
      </c>
      <c r="F81" s="1322" t="s">
        <v>146</v>
      </c>
      <c r="G81" s="1323" t="s">
        <v>147</v>
      </c>
      <c r="H81" s="1330"/>
      <c r="I81" s="1331"/>
      <c r="J81" s="1331"/>
      <c r="K81" s="1440">
        <v>112</v>
      </c>
      <c r="L81" s="1324">
        <f>'통장내역(환율표)'!$D$12</f>
        <v>7.1783000041981708</v>
      </c>
      <c r="M81" s="1096">
        <f t="shared" si="5"/>
        <v>15.602579988924635</v>
      </c>
      <c r="N81" s="1441">
        <f t="shared" si="3"/>
        <v>357628.3400000002</v>
      </c>
      <c r="O81" s="1441">
        <f t="shared" si="4"/>
        <v>49820.76488509075</v>
      </c>
      <c r="P81" s="1442"/>
      <c r="Q81" s="1329"/>
      <c r="R81" s="1329"/>
      <c r="S81" s="1443">
        <f t="shared" si="6"/>
        <v>49820.76488509075</v>
      </c>
      <c r="T81" s="466"/>
      <c r="U81" s="1346"/>
      <c r="V81" s="466"/>
      <c r="W81" s="466"/>
      <c r="X81" s="466"/>
      <c r="Y81" s="466"/>
      <c r="Z81" s="466"/>
      <c r="AA81" s="466"/>
      <c r="AB81" s="466"/>
      <c r="AC81" s="466"/>
    </row>
    <row r="82" spans="1:29" s="468" customFormat="1" ht="11.25" customHeight="1">
      <c r="A82" s="462"/>
      <c r="B82" s="1332">
        <v>45888</v>
      </c>
      <c r="C82" s="1325" t="s">
        <v>862</v>
      </c>
      <c r="D82" s="1326" t="s">
        <v>1393</v>
      </c>
      <c r="E82" s="1439">
        <v>53</v>
      </c>
      <c r="F82" s="1322" t="s">
        <v>107</v>
      </c>
      <c r="G82" s="1323"/>
      <c r="H82" s="1330"/>
      <c r="I82" s="1331"/>
      <c r="J82" s="1331"/>
      <c r="K82" s="1440">
        <v>3.6</v>
      </c>
      <c r="L82" s="1324">
        <f>'통장내역(환율표)'!$D$12</f>
        <v>7.1783000041981708</v>
      </c>
      <c r="M82" s="1096">
        <f t="shared" si="5"/>
        <v>0.5015114996440061</v>
      </c>
      <c r="N82" s="1441">
        <f t="shared" si="3"/>
        <v>357624.74000000022</v>
      </c>
      <c r="O82" s="1441">
        <f t="shared" si="4"/>
        <v>49820.263373591108</v>
      </c>
      <c r="P82" s="1442"/>
      <c r="Q82" s="1329"/>
      <c r="R82" s="1329"/>
      <c r="S82" s="1443">
        <f t="shared" si="6"/>
        <v>49820.263373591108</v>
      </c>
      <c r="T82" s="466"/>
      <c r="U82" s="1346"/>
      <c r="V82" s="466"/>
      <c r="W82" s="466"/>
      <c r="X82" s="466"/>
      <c r="Y82" s="466"/>
      <c r="Z82" s="466"/>
      <c r="AA82" s="466"/>
      <c r="AB82" s="466"/>
      <c r="AC82" s="466"/>
    </row>
    <row r="83" spans="1:29" s="468" customFormat="1" ht="11.25" customHeight="1">
      <c r="A83" s="462"/>
      <c r="B83" s="1332">
        <v>45888</v>
      </c>
      <c r="C83" s="1325" t="s">
        <v>1406</v>
      </c>
      <c r="D83" s="1326" t="s">
        <v>1460</v>
      </c>
      <c r="E83" s="1439">
        <v>54</v>
      </c>
      <c r="F83" s="1322" t="s">
        <v>146</v>
      </c>
      <c r="G83" s="1323" t="s">
        <v>147</v>
      </c>
      <c r="H83" s="1330"/>
      <c r="I83" s="1331"/>
      <c r="J83" s="1331"/>
      <c r="K83" s="1440">
        <v>2161.8200000000002</v>
      </c>
      <c r="L83" s="1324">
        <f>'통장내역(환율표)'!$D$12</f>
        <v>7.1783000041981708</v>
      </c>
      <c r="M83" s="1096">
        <f t="shared" si="5"/>
        <v>301.16044171122371</v>
      </c>
      <c r="N83" s="1441">
        <f t="shared" si="3"/>
        <v>355462.92000000022</v>
      </c>
      <c r="O83" s="1441">
        <f t="shared" si="4"/>
        <v>49519.102931879883</v>
      </c>
      <c r="P83" s="1442"/>
      <c r="Q83" s="1329"/>
      <c r="R83" s="1329"/>
      <c r="S83" s="1443">
        <f t="shared" si="6"/>
        <v>49519.102931879883</v>
      </c>
      <c r="T83" s="466"/>
      <c r="U83" s="1346"/>
      <c r="V83" s="466"/>
      <c r="W83" s="466"/>
      <c r="X83" s="466"/>
      <c r="Y83" s="466"/>
      <c r="Z83" s="466"/>
      <c r="AA83" s="466"/>
      <c r="AB83" s="466"/>
      <c r="AC83" s="466"/>
    </row>
    <row r="84" spans="1:29" s="468" customFormat="1" ht="11.25" customHeight="1">
      <c r="A84" s="462"/>
      <c r="B84" s="1332">
        <v>45888</v>
      </c>
      <c r="C84" s="1325" t="s">
        <v>1407</v>
      </c>
      <c r="D84" s="1326" t="s">
        <v>1460</v>
      </c>
      <c r="E84" s="1439">
        <v>55</v>
      </c>
      <c r="F84" s="1322" t="s">
        <v>146</v>
      </c>
      <c r="G84" s="1323" t="s">
        <v>147</v>
      </c>
      <c r="H84" s="1330"/>
      <c r="I84" s="1331"/>
      <c r="J84" s="1331"/>
      <c r="K84" s="1440">
        <v>130</v>
      </c>
      <c r="L84" s="1324">
        <f>'통장내역(환율표)'!$D$12</f>
        <v>7.1783000041981708</v>
      </c>
      <c r="M84" s="1096">
        <f t="shared" si="5"/>
        <v>18.110137487144666</v>
      </c>
      <c r="N84" s="1441">
        <f t="shared" si="3"/>
        <v>355332.92000000022</v>
      </c>
      <c r="O84" s="1441">
        <f t="shared" si="4"/>
        <v>49500.99279439274</v>
      </c>
      <c r="P84" s="1442"/>
      <c r="Q84" s="1329"/>
      <c r="R84" s="1329"/>
      <c r="S84" s="1443">
        <f t="shared" si="6"/>
        <v>49500.99279439274</v>
      </c>
      <c r="T84" s="466"/>
      <c r="U84" s="1346"/>
      <c r="V84" s="466"/>
      <c r="W84" s="466"/>
      <c r="X84" s="466"/>
      <c r="Y84" s="466"/>
      <c r="Z84" s="466"/>
      <c r="AA84" s="466"/>
      <c r="AB84" s="466"/>
      <c r="AC84" s="466"/>
    </row>
    <row r="85" spans="1:29" s="468" customFormat="1" ht="11.25" customHeight="1">
      <c r="A85" s="462"/>
      <c r="B85" s="1332">
        <v>45888</v>
      </c>
      <c r="C85" s="1325" t="s">
        <v>1408</v>
      </c>
      <c r="D85" s="1326" t="s">
        <v>1460</v>
      </c>
      <c r="E85" s="1439">
        <v>56</v>
      </c>
      <c r="F85" s="1322" t="s">
        <v>146</v>
      </c>
      <c r="G85" s="1323" t="s">
        <v>147</v>
      </c>
      <c r="H85" s="1330"/>
      <c r="I85" s="1331"/>
      <c r="J85" s="1331"/>
      <c r="K85" s="1440">
        <v>284</v>
      </c>
      <c r="L85" s="1324">
        <f>'통장내역(환율표)'!$D$12</f>
        <v>7.1783000041981708</v>
      </c>
      <c r="M85" s="1096">
        <f t="shared" si="5"/>
        <v>39.56368497191604</v>
      </c>
      <c r="N85" s="1441">
        <f t="shared" ref="N85:N95" si="7">N84+H85-K85</f>
        <v>355048.92000000022</v>
      </c>
      <c r="O85" s="1441">
        <f t="shared" ref="O85:O95" si="8">O84+J85-M85</f>
        <v>49461.429109420824</v>
      </c>
      <c r="P85" s="1442"/>
      <c r="Q85" s="1329"/>
      <c r="R85" s="1329"/>
      <c r="S85" s="1443">
        <f t="shared" si="6"/>
        <v>49461.429109420824</v>
      </c>
      <c r="T85" s="466"/>
      <c r="U85" s="1346"/>
      <c r="V85" s="466"/>
      <c r="W85" s="466"/>
      <c r="X85" s="466"/>
      <c r="Y85" s="466"/>
      <c r="Z85" s="466"/>
      <c r="AA85" s="466"/>
      <c r="AB85" s="466"/>
      <c r="AC85" s="466"/>
    </row>
    <row r="86" spans="1:29" s="468" customFormat="1" ht="11.25" customHeight="1">
      <c r="A86" s="462"/>
      <c r="B86" s="1332">
        <v>45888</v>
      </c>
      <c r="C86" s="1325" t="s">
        <v>862</v>
      </c>
      <c r="D86" s="1326" t="s">
        <v>1460</v>
      </c>
      <c r="E86" s="1439">
        <v>57</v>
      </c>
      <c r="F86" s="1322" t="s">
        <v>107</v>
      </c>
      <c r="G86" s="1323"/>
      <c r="H86" s="1327"/>
      <c r="I86" s="1328"/>
      <c r="J86" s="1327"/>
      <c r="K86" s="1440">
        <v>3.6</v>
      </c>
      <c r="L86" s="1324">
        <f>'통장내역(환율표)'!$D$12</f>
        <v>7.1783000041981708</v>
      </c>
      <c r="M86" s="1096">
        <f t="shared" si="5"/>
        <v>0.5015114996440061</v>
      </c>
      <c r="N86" s="1441">
        <f t="shared" si="7"/>
        <v>355045.32000000024</v>
      </c>
      <c r="O86" s="1441">
        <f t="shared" si="8"/>
        <v>49460.927597921182</v>
      </c>
      <c r="P86" s="1442"/>
      <c r="Q86" s="1329"/>
      <c r="R86" s="1329"/>
      <c r="S86" s="1443">
        <f t="shared" si="6"/>
        <v>49460.927597921182</v>
      </c>
      <c r="T86" s="466"/>
      <c r="U86" s="1346"/>
      <c r="V86" s="466"/>
      <c r="W86" s="466"/>
      <c r="X86" s="466"/>
      <c r="Y86" s="466"/>
      <c r="Z86" s="466"/>
      <c r="AA86" s="466"/>
      <c r="AB86" s="466"/>
      <c r="AC86" s="466"/>
    </row>
    <row r="87" spans="1:29" s="468" customFormat="1" ht="11.25" customHeight="1">
      <c r="A87" s="462"/>
      <c r="B87" s="1332">
        <v>45888</v>
      </c>
      <c r="C87" s="1325" t="s">
        <v>11</v>
      </c>
      <c r="D87" s="1326" t="s">
        <v>211</v>
      </c>
      <c r="E87" s="1439">
        <v>58</v>
      </c>
      <c r="F87" s="1322" t="s">
        <v>125</v>
      </c>
      <c r="G87" s="1323" t="s">
        <v>145</v>
      </c>
      <c r="H87" s="1327"/>
      <c r="I87" s="1328"/>
      <c r="J87" s="1327"/>
      <c r="K87" s="1440">
        <v>5819.33</v>
      </c>
      <c r="L87" s="1324">
        <f>'통장내역(환율표)'!$D$12</f>
        <v>7.1783000041981708</v>
      </c>
      <c r="M87" s="1096">
        <f t="shared" ref="M87:M95" si="9">K87/L87</f>
        <v>810.68358756204282</v>
      </c>
      <c r="N87" s="1441">
        <f t="shared" si="7"/>
        <v>349225.99000000022</v>
      </c>
      <c r="O87" s="1441">
        <f t="shared" si="8"/>
        <v>48650.244010359136</v>
      </c>
      <c r="P87" s="1442"/>
      <c r="Q87" s="1329"/>
      <c r="R87" s="1329"/>
      <c r="S87" s="1443">
        <f t="shared" si="6"/>
        <v>48650.244010359136</v>
      </c>
      <c r="T87" s="466"/>
      <c r="U87" s="1346"/>
      <c r="V87" s="466"/>
      <c r="W87" s="466"/>
      <c r="X87" s="466"/>
      <c r="Y87" s="466"/>
      <c r="Z87" s="466"/>
      <c r="AA87" s="466"/>
      <c r="AB87" s="466"/>
      <c r="AC87" s="466"/>
    </row>
    <row r="88" spans="1:29" s="468" customFormat="1" ht="11.25" customHeight="1">
      <c r="A88" s="462"/>
      <c r="B88" s="1332">
        <v>45888</v>
      </c>
      <c r="C88" s="1438" t="s">
        <v>1403</v>
      </c>
      <c r="D88" s="1326" t="s">
        <v>211</v>
      </c>
      <c r="E88" s="1439">
        <v>59</v>
      </c>
      <c r="F88" s="1322" t="s">
        <v>146</v>
      </c>
      <c r="G88" s="1323" t="s">
        <v>147</v>
      </c>
      <c r="H88" s="1327"/>
      <c r="I88" s="1328"/>
      <c r="J88" s="1327"/>
      <c r="K88" s="1440">
        <v>4341.54</v>
      </c>
      <c r="L88" s="1324">
        <f>'통장내역(환율표)'!$D$12</f>
        <v>7.1783000041981708</v>
      </c>
      <c r="M88" s="1096">
        <f t="shared" si="9"/>
        <v>604.81451004567725</v>
      </c>
      <c r="N88" s="1441">
        <f t="shared" si="7"/>
        <v>344884.45000000024</v>
      </c>
      <c r="O88" s="1441">
        <f t="shared" si="8"/>
        <v>48045.429500313461</v>
      </c>
      <c r="P88" s="1442"/>
      <c r="Q88" s="1329"/>
      <c r="R88" s="1329"/>
      <c r="S88" s="1443">
        <f t="shared" si="6"/>
        <v>48045.429500313461</v>
      </c>
      <c r="T88" s="466"/>
      <c r="U88" s="1346"/>
      <c r="V88" s="466"/>
      <c r="W88" s="466"/>
      <c r="X88" s="466"/>
      <c r="Y88" s="466"/>
      <c r="Z88" s="466"/>
      <c r="AA88" s="466"/>
      <c r="AB88" s="466"/>
      <c r="AC88" s="466"/>
    </row>
    <row r="89" spans="1:29" s="468" customFormat="1" ht="11.25" customHeight="1">
      <c r="A89" s="462"/>
      <c r="B89" s="1332">
        <v>45888</v>
      </c>
      <c r="C89" s="1325" t="s">
        <v>19</v>
      </c>
      <c r="D89" s="1326" t="s">
        <v>211</v>
      </c>
      <c r="E89" s="1439">
        <v>60</v>
      </c>
      <c r="F89" s="1322" t="s">
        <v>116</v>
      </c>
      <c r="G89" s="1323" t="s">
        <v>140</v>
      </c>
      <c r="H89" s="1327"/>
      <c r="I89" s="1328"/>
      <c r="J89" s="1327"/>
      <c r="K89" s="1440">
        <v>300</v>
      </c>
      <c r="L89" s="1324">
        <f>'통장내역(환율표)'!$D$12</f>
        <v>7.1783000041981708</v>
      </c>
      <c r="M89" s="1096">
        <v>41.79</v>
      </c>
      <c r="N89" s="1441">
        <f t="shared" si="7"/>
        <v>344584.45000000024</v>
      </c>
      <c r="O89" s="1441">
        <f t="shared" si="8"/>
        <v>48003.63950031346</v>
      </c>
      <c r="P89" s="1442"/>
      <c r="Q89" s="1329"/>
      <c r="R89" s="1329"/>
      <c r="S89" s="1443">
        <f t="shared" ref="S89:S95" si="10">S88-M89+J89</f>
        <v>48003.63950031346</v>
      </c>
      <c r="T89" s="466"/>
      <c r="U89" s="1346"/>
      <c r="V89" s="466"/>
      <c r="W89" s="466"/>
      <c r="X89" s="466"/>
      <c r="Y89" s="466"/>
      <c r="Z89" s="466"/>
      <c r="AA89" s="466"/>
      <c r="AB89" s="466"/>
      <c r="AC89" s="466"/>
    </row>
    <row r="90" spans="1:29" s="468" customFormat="1" ht="11.25" customHeight="1">
      <c r="A90" s="462"/>
      <c r="B90" s="1332">
        <v>45888</v>
      </c>
      <c r="C90" s="1444" t="s">
        <v>1593</v>
      </c>
      <c r="D90" s="1326" t="s">
        <v>211</v>
      </c>
      <c r="E90" s="1439">
        <v>61</v>
      </c>
      <c r="F90" s="1322" t="s">
        <v>107</v>
      </c>
      <c r="G90" s="1323"/>
      <c r="H90" s="1327"/>
      <c r="I90" s="1328"/>
      <c r="J90" s="1327"/>
      <c r="K90" s="1440">
        <v>38600</v>
      </c>
      <c r="L90" s="1324">
        <f>'통장내역(환율표)'!$D$12</f>
        <v>7.1783000041981708</v>
      </c>
      <c r="M90" s="1096">
        <f t="shared" si="9"/>
        <v>5377.3177461829546</v>
      </c>
      <c r="N90" s="1441">
        <f t="shared" si="7"/>
        <v>305984.45000000024</v>
      </c>
      <c r="O90" s="1441">
        <f t="shared" si="8"/>
        <v>42626.321754130506</v>
      </c>
      <c r="P90" s="1442" t="s">
        <v>1594</v>
      </c>
      <c r="Q90" s="1329"/>
      <c r="R90" s="1329"/>
      <c r="S90" s="1443">
        <f t="shared" si="10"/>
        <v>42626.321754130506</v>
      </c>
      <c r="T90" s="466"/>
      <c r="U90" s="1346"/>
      <c r="V90" s="466"/>
      <c r="W90" s="466"/>
      <c r="X90" s="466"/>
      <c r="Y90" s="466"/>
      <c r="Z90" s="466"/>
      <c r="AA90" s="466"/>
      <c r="AB90" s="466"/>
      <c r="AC90" s="466"/>
    </row>
    <row r="91" spans="1:29" s="468" customFormat="1" ht="11.25" customHeight="1">
      <c r="A91" s="462"/>
      <c r="B91" s="1332">
        <v>45888</v>
      </c>
      <c r="C91" s="1325" t="s">
        <v>862</v>
      </c>
      <c r="D91" s="1326" t="s">
        <v>211</v>
      </c>
      <c r="E91" s="1439">
        <v>62</v>
      </c>
      <c r="F91" s="1322" t="s">
        <v>107</v>
      </c>
      <c r="G91" s="1323"/>
      <c r="H91" s="1327"/>
      <c r="I91" s="1328"/>
      <c r="J91" s="1327"/>
      <c r="K91" s="1440">
        <v>7.2</v>
      </c>
      <c r="L91" s="1324">
        <f>'통장내역(환율표)'!$D$12</f>
        <v>7.1783000041981708</v>
      </c>
      <c r="M91" s="1096">
        <f t="shared" si="9"/>
        <v>1.0030229992880122</v>
      </c>
      <c r="N91" s="1441">
        <f t="shared" si="7"/>
        <v>305977.25000000023</v>
      </c>
      <c r="O91" s="1441">
        <f t="shared" si="8"/>
        <v>42625.318731131221</v>
      </c>
      <c r="P91" s="1442"/>
      <c r="Q91" s="1329"/>
      <c r="R91" s="1329"/>
      <c r="S91" s="1443">
        <f t="shared" si="10"/>
        <v>42625.318731131221</v>
      </c>
      <c r="T91" s="466"/>
      <c r="U91" s="1346"/>
      <c r="V91" s="466"/>
      <c r="W91" s="466"/>
      <c r="X91" s="466"/>
      <c r="Y91" s="466"/>
      <c r="Z91" s="466"/>
      <c r="AA91" s="466"/>
      <c r="AB91" s="466"/>
      <c r="AC91" s="466"/>
    </row>
    <row r="92" spans="1:29" s="468" customFormat="1" ht="11.25" customHeight="1">
      <c r="A92" s="462"/>
      <c r="B92" s="1332">
        <v>45889</v>
      </c>
      <c r="C92" s="1444" t="s">
        <v>1593</v>
      </c>
      <c r="D92" s="1326" t="s">
        <v>211</v>
      </c>
      <c r="E92" s="1439">
        <v>63</v>
      </c>
      <c r="F92" s="1322" t="s">
        <v>107</v>
      </c>
      <c r="G92" s="1323"/>
      <c r="H92" s="1327"/>
      <c r="I92" s="1328"/>
      <c r="J92" s="1327"/>
      <c r="K92" s="1440">
        <v>50000</v>
      </c>
      <c r="L92" s="1324">
        <f>'통장내역(환율표)'!$D$12</f>
        <v>7.1783000041981708</v>
      </c>
      <c r="M92" s="1096">
        <f t="shared" si="9"/>
        <v>6965.4374950556403</v>
      </c>
      <c r="N92" s="1441">
        <f t="shared" si="7"/>
        <v>255977.25000000023</v>
      </c>
      <c r="O92" s="1441">
        <f t="shared" si="8"/>
        <v>35659.881236075584</v>
      </c>
      <c r="P92" s="1442" t="s">
        <v>1594</v>
      </c>
      <c r="Q92" s="1329"/>
      <c r="R92" s="1329"/>
      <c r="S92" s="1443">
        <f t="shared" si="10"/>
        <v>35659.881236075584</v>
      </c>
      <c r="T92" s="466"/>
      <c r="U92" s="1346"/>
      <c r="V92" s="466"/>
      <c r="W92" s="466"/>
      <c r="X92" s="466"/>
      <c r="Y92" s="466"/>
      <c r="Z92" s="466"/>
      <c r="AA92" s="466"/>
      <c r="AB92" s="466"/>
      <c r="AC92" s="466"/>
    </row>
    <row r="93" spans="1:29" s="468" customFormat="1" ht="11.25" customHeight="1">
      <c r="A93" s="462"/>
      <c r="B93" s="1332">
        <v>45889</v>
      </c>
      <c r="C93" s="1325" t="s">
        <v>862</v>
      </c>
      <c r="D93" s="1326" t="s">
        <v>211</v>
      </c>
      <c r="E93" s="1439">
        <v>64</v>
      </c>
      <c r="F93" s="1322" t="s">
        <v>107</v>
      </c>
      <c r="G93" s="1323"/>
      <c r="H93" s="1327"/>
      <c r="I93" s="1328"/>
      <c r="J93" s="1327"/>
      <c r="K93" s="1440">
        <v>7.2</v>
      </c>
      <c r="L93" s="1324">
        <f>'통장내역(환율표)'!$D$12</f>
        <v>7.1783000041981708</v>
      </c>
      <c r="M93" s="1096">
        <f t="shared" si="9"/>
        <v>1.0030229992880122</v>
      </c>
      <c r="N93" s="1441">
        <f t="shared" si="7"/>
        <v>255970.05000000022</v>
      </c>
      <c r="O93" s="1441">
        <f t="shared" si="8"/>
        <v>35658.878213076299</v>
      </c>
      <c r="P93" s="1442"/>
      <c r="Q93" s="1329"/>
      <c r="R93" s="1329"/>
      <c r="S93" s="1443">
        <f t="shared" si="10"/>
        <v>35658.878213076299</v>
      </c>
      <c r="T93" s="466"/>
      <c r="U93" s="1346"/>
      <c r="V93" s="466"/>
      <c r="W93" s="466"/>
      <c r="X93" s="466"/>
      <c r="Y93" s="466"/>
      <c r="Z93" s="466"/>
      <c r="AA93" s="466"/>
      <c r="AB93" s="466"/>
      <c r="AC93" s="466"/>
    </row>
    <row r="94" spans="1:29" s="1346" customFormat="1" ht="12" customHeight="1">
      <c r="A94" s="462"/>
      <c r="B94" s="1332">
        <v>45889</v>
      </c>
      <c r="C94" s="1325" t="s">
        <v>1462</v>
      </c>
      <c r="D94" s="1326"/>
      <c r="E94" s="1439">
        <v>65</v>
      </c>
      <c r="F94" s="1322" t="s">
        <v>107</v>
      </c>
      <c r="G94" s="1323"/>
      <c r="H94" s="1327"/>
      <c r="I94" s="1328"/>
      <c r="J94" s="1327"/>
      <c r="K94" s="1440">
        <v>242134.49</v>
      </c>
      <c r="L94" s="1324">
        <f>'통장내역(환율표)'!$D$12</f>
        <v>7.1783000041981708</v>
      </c>
      <c r="M94" s="1096">
        <v>33731.449999999997</v>
      </c>
      <c r="N94" s="1441">
        <f t="shared" si="7"/>
        <v>13835.560000000231</v>
      </c>
      <c r="O94" s="1441">
        <f t="shared" si="8"/>
        <v>1927.4282130763022</v>
      </c>
      <c r="P94" s="1442"/>
      <c r="Q94" s="1329"/>
      <c r="R94" s="1329"/>
      <c r="S94" s="1443">
        <f t="shared" si="10"/>
        <v>1927.4282130763022</v>
      </c>
      <c r="T94" s="466"/>
      <c r="V94" s="466"/>
      <c r="W94" s="466"/>
      <c r="X94" s="466"/>
      <c r="Y94" s="466"/>
      <c r="Z94" s="466"/>
      <c r="AA94" s="466"/>
      <c r="AB94" s="466"/>
      <c r="AC94" s="466"/>
    </row>
    <row r="95" spans="1:29" s="1346" customFormat="1" ht="12" customHeight="1">
      <c r="A95" s="462"/>
      <c r="B95" s="1332">
        <v>45889</v>
      </c>
      <c r="C95" s="1325" t="s">
        <v>862</v>
      </c>
      <c r="D95" s="1326"/>
      <c r="E95" s="1439">
        <v>66</v>
      </c>
      <c r="F95" s="1322" t="s">
        <v>107</v>
      </c>
      <c r="G95" s="1323"/>
      <c r="H95" s="1327"/>
      <c r="I95" s="1328"/>
      <c r="J95" s="1327"/>
      <c r="K95" s="1440">
        <v>12</v>
      </c>
      <c r="L95" s="1324">
        <f>'통장내역(환율표)'!$D$12</f>
        <v>7.1783000041981708</v>
      </c>
      <c r="M95" s="1096">
        <f t="shared" si="9"/>
        <v>1.6717049988133537</v>
      </c>
      <c r="N95" s="1441">
        <f t="shared" si="7"/>
        <v>13823.560000000231</v>
      </c>
      <c r="O95" s="1441">
        <f t="shared" si="8"/>
        <v>1925.7565080774889</v>
      </c>
      <c r="P95" s="1442"/>
      <c r="Q95" s="1329"/>
      <c r="R95" s="1329"/>
      <c r="S95" s="1443">
        <f t="shared" si="10"/>
        <v>1925.7565080774889</v>
      </c>
      <c r="T95" s="466"/>
      <c r="V95" s="466"/>
      <c r="W95" s="466"/>
      <c r="X95" s="466"/>
      <c r="Y95" s="466"/>
      <c r="Z95" s="466"/>
      <c r="AA95" s="466"/>
      <c r="AB95" s="466"/>
      <c r="AC95" s="466"/>
    </row>
  </sheetData>
  <autoFilter ref="B18:R95" xr:uid="{00000000-0009-0000-0000-000001000000}">
    <filterColumn colId="14" showButton="0"/>
    <sortState xmlns:xlrd2="http://schemas.microsoft.com/office/spreadsheetml/2017/richdata2" ref="B19:R95">
      <sortCondition sortBy="cellColor" ref="M18:M95" dxfId="9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2FB3-DCA4-4CFA-BC66-5633205F10C6}">
  <sheetPr>
    <tabColor rgb="FFFFC000"/>
  </sheetPr>
  <dimension ref="A1:AC97"/>
  <sheetViews>
    <sheetView showGridLines="0" topLeftCell="B1" zoomScale="85" zoomScaleNormal="85" workbookViewId="0">
      <pane ySplit="19" topLeftCell="A20" activePane="bottomLeft" state="frozen"/>
      <selection activeCell="H3" sqref="H3"/>
      <selection pane="bottomLeft" activeCell="H3" sqref="H3"/>
    </sheetView>
  </sheetViews>
  <sheetFormatPr defaultColWidth="9" defaultRowHeight="11.25" customHeight="1"/>
  <cols>
    <col min="1" max="1" width="1.69921875" style="1480" customWidth="1"/>
    <col min="2" max="2" width="9.69921875" style="1539" customWidth="1"/>
    <col min="3" max="3" width="24" style="1482" customWidth="1"/>
    <col min="4" max="4" width="15.69921875" style="1478" customWidth="1"/>
    <col min="5" max="5" width="8.5" style="1478" customWidth="1"/>
    <col min="6" max="6" width="15.09765625" style="1478" customWidth="1"/>
    <col min="7" max="7" width="9.796875" style="1484" customWidth="1"/>
    <col min="8" max="8" width="9.69921875" style="1478" customWidth="1"/>
    <col min="9" max="9" width="9.796875" style="1478" customWidth="1"/>
    <col min="10" max="10" width="10.5" style="1484" customWidth="1"/>
    <col min="11" max="11" width="11" style="1537" customWidth="1"/>
    <col min="12" max="12" width="11.09765625" style="1478" customWidth="1"/>
    <col min="13" max="13" width="11.296875" style="1478" bestFit="1" customWidth="1"/>
    <col min="14" max="14" width="12.296875" style="1478" customWidth="1"/>
    <col min="15" max="15" width="9.796875" style="1478" customWidth="1"/>
    <col min="16" max="16" width="10.69921875" style="1478" customWidth="1"/>
    <col min="17" max="17" width="9.59765625" style="1478" customWidth="1"/>
    <col min="18" max="18" width="31.5" style="1484" customWidth="1"/>
    <col min="19" max="19" width="10.5" style="1491" bestFit="1" customWidth="1"/>
    <col min="20" max="20" width="9" style="1478"/>
    <col min="21" max="21" width="9" style="1479"/>
    <col min="22" max="16384" width="9" style="1478"/>
  </cols>
  <sheetData>
    <row r="1" spans="1:29" ht="18" customHeight="1">
      <c r="A1" s="1465"/>
      <c r="B1" s="1466"/>
      <c r="C1" s="1467"/>
      <c r="D1" s="1468"/>
      <c r="E1" s="1469"/>
      <c r="F1" s="1469"/>
      <c r="G1" s="1470"/>
      <c r="H1" s="1469"/>
      <c r="I1" s="1469"/>
      <c r="J1" s="1471"/>
      <c r="K1" s="1472"/>
      <c r="L1" s="1473"/>
      <c r="M1" s="1474"/>
      <c r="N1" s="1474"/>
      <c r="O1" s="1468"/>
      <c r="P1" s="1475"/>
      <c r="Q1" s="1475"/>
      <c r="R1" s="1476"/>
      <c r="S1" s="1477"/>
    </row>
    <row r="2" spans="1:29" ht="15" customHeight="1">
      <c r="B2" s="1481" t="s">
        <v>1599</v>
      </c>
      <c r="D2" s="1482"/>
      <c r="F2" s="1483"/>
      <c r="G2" s="1484" t="s">
        <v>1047</v>
      </c>
      <c r="H2" s="1485" t="s">
        <v>1398</v>
      </c>
      <c r="I2" s="1486"/>
      <c r="J2" s="1486"/>
      <c r="K2" s="1487"/>
      <c r="L2" s="1486"/>
      <c r="M2" s="1486"/>
      <c r="N2" s="1488"/>
      <c r="O2" s="1489"/>
      <c r="Q2" s="1490"/>
    </row>
    <row r="3" spans="1:29" s="1497" customFormat="1" ht="11.25" customHeight="1">
      <c r="A3" s="1492"/>
      <c r="B3" s="1351" t="s">
        <v>1606</v>
      </c>
      <c r="C3" s="1494"/>
      <c r="D3" s="1494"/>
      <c r="E3" s="1494"/>
      <c r="F3" s="1495">
        <v>1384.2</v>
      </c>
      <c r="G3" s="1496"/>
      <c r="H3" s="1493" t="s">
        <v>1607</v>
      </c>
      <c r="I3" s="1494"/>
      <c r="K3" s="1498"/>
      <c r="L3" s="1495">
        <v>1386.6</v>
      </c>
      <c r="Q3" s="1493"/>
      <c r="R3" s="1493"/>
      <c r="T3" s="1493"/>
      <c r="U3" s="1494"/>
      <c r="V3" s="1499"/>
      <c r="W3" s="1499"/>
      <c r="X3" s="1500">
        <v>1327.2</v>
      </c>
    </row>
    <row r="4" spans="1:29" ht="11.25" customHeight="1">
      <c r="A4" s="1465"/>
      <c r="B4" s="1501" t="s">
        <v>1</v>
      </c>
      <c r="C4" s="1502" t="s">
        <v>2</v>
      </c>
      <c r="D4" s="1503" t="s">
        <v>1049</v>
      </c>
      <c r="E4" s="1504" t="s">
        <v>1050</v>
      </c>
      <c r="F4" s="1505" t="s">
        <v>1051</v>
      </c>
      <c r="H4" s="1501" t="s">
        <v>1</v>
      </c>
      <c r="I4" s="1503" t="s">
        <v>2</v>
      </c>
      <c r="J4" s="1506" t="s">
        <v>1049</v>
      </c>
      <c r="K4" s="1507" t="s">
        <v>1050</v>
      </c>
      <c r="L4" s="1505" t="s">
        <v>1051</v>
      </c>
      <c r="M4" s="1497"/>
      <c r="N4" s="1497"/>
      <c r="O4" s="1497"/>
      <c r="P4" s="1497"/>
      <c r="Q4" s="1493"/>
      <c r="R4" s="1493"/>
      <c r="U4" s="1478"/>
    </row>
    <row r="5" spans="1:29" ht="11.25" customHeight="1">
      <c r="A5" s="1491">
        <v>51131050</v>
      </c>
      <c r="B5" s="1508" t="s">
        <v>1052</v>
      </c>
      <c r="C5" s="1509" t="s">
        <v>12</v>
      </c>
      <c r="D5" s="1510"/>
      <c r="E5" s="1511"/>
      <c r="F5" s="1512">
        <f>ROUND(E5*$F$3,0)</f>
        <v>0</v>
      </c>
      <c r="G5" s="1629">
        <v>51131050</v>
      </c>
      <c r="H5" s="1513" t="s">
        <v>11</v>
      </c>
      <c r="I5" s="1513" t="s">
        <v>12</v>
      </c>
      <c r="J5" s="1514">
        <v>44941.729999999996</v>
      </c>
      <c r="K5" s="1515">
        <v>6320.39</v>
      </c>
      <c r="L5" s="1516">
        <f>ROUND(K5*$L$3,0)</f>
        <v>8763853</v>
      </c>
      <c r="M5" s="1497"/>
      <c r="N5" s="1497"/>
      <c r="O5" s="1497"/>
      <c r="P5" s="1497"/>
      <c r="Q5" s="1493"/>
      <c r="R5" s="1493"/>
      <c r="S5" s="1517">
        <f>F5+L5+R5</f>
        <v>8763853</v>
      </c>
      <c r="U5" s="1478"/>
    </row>
    <row r="6" spans="1:29" ht="11.25" customHeight="1">
      <c r="A6" s="1491">
        <v>51061030</v>
      </c>
      <c r="B6" s="1508" t="s">
        <v>1053</v>
      </c>
      <c r="C6" s="1509" t="s">
        <v>1054</v>
      </c>
      <c r="D6" s="1510"/>
      <c r="E6" s="1510"/>
      <c r="F6" s="1512">
        <f t="shared" ref="F6:F10" si="0">ROUND(E6*$F$3,0)</f>
        <v>0</v>
      </c>
      <c r="G6" s="1629">
        <v>51061030</v>
      </c>
      <c r="H6" s="1513" t="s">
        <v>13</v>
      </c>
      <c r="I6" s="1513" t="s">
        <v>14</v>
      </c>
      <c r="J6" s="1514">
        <v>51493.62</v>
      </c>
      <c r="K6" s="1515">
        <v>7241.81</v>
      </c>
      <c r="L6" s="1516">
        <f t="shared" ref="L6:L12" si="1">ROUND(K6*$L$3,0)</f>
        <v>10041494</v>
      </c>
      <c r="M6" s="1497"/>
      <c r="N6" s="1497"/>
      <c r="O6" s="1497"/>
      <c r="P6" s="1497"/>
      <c r="Q6" s="1493"/>
      <c r="R6" s="1493"/>
      <c r="S6" s="1517">
        <f t="shared" ref="S6:S8" si="2">F6+L6+R6</f>
        <v>10041494</v>
      </c>
      <c r="U6" s="1478"/>
      <c r="AB6" s="1486"/>
      <c r="AC6" s="1484"/>
    </row>
    <row r="7" spans="1:29" ht="11.25" customHeight="1">
      <c r="A7" s="1491">
        <v>51201020</v>
      </c>
      <c r="B7" s="1508" t="s">
        <v>15</v>
      </c>
      <c r="C7" s="1509" t="s">
        <v>180</v>
      </c>
      <c r="D7" s="1510">
        <v>13580.06</v>
      </c>
      <c r="E7" s="1510">
        <v>1891.82</v>
      </c>
      <c r="F7" s="1512">
        <f t="shared" si="0"/>
        <v>2618657</v>
      </c>
      <c r="G7" s="1629">
        <v>51201020</v>
      </c>
      <c r="H7" s="1513" t="s">
        <v>15</v>
      </c>
      <c r="I7" s="1513" t="s">
        <v>1055</v>
      </c>
      <c r="J7" s="1518">
        <v>11564.94</v>
      </c>
      <c r="K7" s="1519">
        <v>1626.44</v>
      </c>
      <c r="L7" s="1516">
        <f t="shared" si="1"/>
        <v>2255222</v>
      </c>
      <c r="M7" s="1497"/>
      <c r="N7" s="1497"/>
      <c r="O7" s="1497"/>
      <c r="P7" s="1497"/>
      <c r="Q7" s="1493"/>
      <c r="R7" s="1493"/>
      <c r="S7" s="1517">
        <f t="shared" si="2"/>
        <v>4873879</v>
      </c>
      <c r="U7" s="1478"/>
    </row>
    <row r="8" spans="1:29" ht="13.05" customHeight="1">
      <c r="A8" s="1491">
        <v>51201030</v>
      </c>
      <c r="B8" s="1508" t="s">
        <v>1056</v>
      </c>
      <c r="C8" s="1509" t="s">
        <v>17</v>
      </c>
      <c r="D8" s="1510"/>
      <c r="E8" s="1510"/>
      <c r="F8" s="1512">
        <f t="shared" si="0"/>
        <v>0</v>
      </c>
      <c r="G8" s="1629">
        <v>51201030</v>
      </c>
      <c r="H8" s="1513" t="s">
        <v>15</v>
      </c>
      <c r="I8" s="1509" t="s">
        <v>17</v>
      </c>
      <c r="J8" s="1518">
        <v>20000</v>
      </c>
      <c r="K8" s="1519">
        <v>2812.7</v>
      </c>
      <c r="L8" s="1516">
        <f t="shared" si="1"/>
        <v>3900090</v>
      </c>
      <c r="M8" s="1497"/>
      <c r="N8" s="1497"/>
      <c r="O8" s="1497"/>
      <c r="P8" s="1497"/>
      <c r="Q8" s="1493"/>
      <c r="R8" s="1493"/>
      <c r="S8" s="1517">
        <f t="shared" si="2"/>
        <v>3900090</v>
      </c>
      <c r="U8" s="1478"/>
    </row>
    <row r="9" spans="1:29" ht="11.25" customHeight="1">
      <c r="A9" s="1491">
        <v>51071700</v>
      </c>
      <c r="B9" s="1508" t="s">
        <v>19</v>
      </c>
      <c r="C9" s="1509" t="s">
        <v>20</v>
      </c>
      <c r="D9" s="1510"/>
      <c r="E9" s="1510"/>
      <c r="F9" s="1512">
        <f t="shared" si="0"/>
        <v>0</v>
      </c>
      <c r="G9" s="1629">
        <v>51071700</v>
      </c>
      <c r="H9" s="1513" t="s">
        <v>19</v>
      </c>
      <c r="I9" s="1509" t="s">
        <v>20</v>
      </c>
      <c r="J9" s="1518">
        <v>2107.2600000000002</v>
      </c>
      <c r="K9" s="1519">
        <v>296.35000000000002</v>
      </c>
      <c r="L9" s="1516">
        <f t="shared" si="1"/>
        <v>410919</v>
      </c>
      <c r="M9" s="1497"/>
      <c r="N9" s="1497"/>
      <c r="O9" s="1497"/>
      <c r="P9" s="1497"/>
      <c r="Q9" s="1493"/>
      <c r="R9" s="1493"/>
      <c r="S9" s="1517"/>
      <c r="U9" s="1478"/>
    </row>
    <row r="10" spans="1:29" ht="11.25" customHeight="1">
      <c r="A10" s="1491">
        <v>51321010</v>
      </c>
      <c r="B10" s="1508" t="s">
        <v>21</v>
      </c>
      <c r="C10" s="1509"/>
      <c r="D10" s="1510">
        <v>243.6</v>
      </c>
      <c r="E10" s="1510">
        <v>33.94</v>
      </c>
      <c r="F10" s="1512">
        <f t="shared" si="0"/>
        <v>46980</v>
      </c>
      <c r="G10" s="1630">
        <v>51321010</v>
      </c>
      <c r="H10" s="1513" t="s">
        <v>21</v>
      </c>
      <c r="I10" s="1513"/>
      <c r="J10" s="1514">
        <v>283771.39</v>
      </c>
      <c r="K10" s="1515">
        <v>39933.22</v>
      </c>
      <c r="L10" s="1516">
        <f t="shared" si="1"/>
        <v>55371403</v>
      </c>
      <c r="M10" s="1497"/>
      <c r="N10" s="1497"/>
      <c r="O10" s="1497"/>
      <c r="P10" s="1497"/>
      <c r="Q10" s="1493"/>
      <c r="R10" s="1493"/>
      <c r="S10" s="1517"/>
      <c r="U10" s="1478"/>
      <c r="AB10" s="1486"/>
      <c r="AC10" s="1484"/>
    </row>
    <row r="11" spans="1:29" ht="11.25" customHeight="1">
      <c r="A11" s="1491">
        <v>51031020</v>
      </c>
      <c r="B11" s="1520" t="s">
        <v>1057</v>
      </c>
      <c r="C11" s="1521" t="s">
        <v>1058</v>
      </c>
      <c r="D11" s="1520"/>
      <c r="E11" s="1520"/>
      <c r="F11" s="1522"/>
      <c r="G11" s="1631"/>
      <c r="H11" s="1520" t="s">
        <v>1057</v>
      </c>
      <c r="I11" s="1520" t="s">
        <v>1279</v>
      </c>
      <c r="J11" s="1523"/>
      <c r="K11" s="1524"/>
      <c r="L11" s="1525">
        <f t="shared" si="1"/>
        <v>0</v>
      </c>
      <c r="M11" s="1497"/>
      <c r="N11" s="1497"/>
      <c r="O11" s="1497"/>
      <c r="P11" s="1497"/>
      <c r="Q11" s="1526"/>
      <c r="R11" s="1493"/>
      <c r="S11" s="1517"/>
      <c r="U11" s="1478"/>
      <c r="AB11" s="1486"/>
      <c r="AC11" s="1484"/>
    </row>
    <row r="12" spans="1:29" ht="11.25" customHeight="1">
      <c r="A12" s="1491">
        <v>52981010</v>
      </c>
      <c r="B12" s="1513" t="s">
        <v>1600</v>
      </c>
      <c r="C12" s="1509" t="s">
        <v>1060</v>
      </c>
      <c r="D12" s="1527"/>
      <c r="E12" s="1510"/>
      <c r="F12" s="1512"/>
      <c r="G12" s="1631">
        <v>52981010</v>
      </c>
      <c r="H12" s="1513" t="s">
        <v>1600</v>
      </c>
      <c r="I12" s="1513" t="s">
        <v>1060</v>
      </c>
      <c r="J12" s="1527">
        <v>32.36</v>
      </c>
      <c r="K12" s="1510">
        <v>4.55</v>
      </c>
      <c r="L12" s="1516">
        <f t="shared" si="1"/>
        <v>6309</v>
      </c>
      <c r="M12" s="1497"/>
      <c r="N12" s="1497"/>
      <c r="O12" s="1497"/>
      <c r="P12" s="1497"/>
      <c r="Q12" s="1526"/>
      <c r="R12" s="1493"/>
      <c r="S12" s="1517"/>
      <c r="U12" s="1478"/>
      <c r="AB12" s="1486"/>
      <c r="AC12" s="1484"/>
    </row>
    <row r="13" spans="1:29" s="1484" customFormat="1" ht="8.5500000000000007" customHeight="1">
      <c r="A13" s="1528"/>
      <c r="B13" s="1529" t="s">
        <v>22</v>
      </c>
      <c r="C13" s="1530"/>
      <c r="D13" s="1531">
        <f>SUM(D5:D11)</f>
        <v>13823.66</v>
      </c>
      <c r="E13" s="1532">
        <f>SUM(E5:E11)</f>
        <v>1925.76</v>
      </c>
      <c r="F13" s="1628">
        <f>SUM(F5:F11)</f>
        <v>2665637</v>
      </c>
      <c r="G13" s="1625"/>
      <c r="H13" s="1529" t="s">
        <v>22</v>
      </c>
      <c r="I13" s="1534"/>
      <c r="J13" s="1531">
        <f>SUM(J5:J11)-J12</f>
        <v>413846.58</v>
      </c>
      <c r="K13" s="1507">
        <f>SUM(K5:K11)-K12</f>
        <v>58226.36</v>
      </c>
      <c r="L13" s="1533">
        <f>SUM(L5:L11)-L12</f>
        <v>80736672</v>
      </c>
      <c r="M13" s="1497"/>
      <c r="N13" s="1497"/>
      <c r="O13" s="1497"/>
      <c r="P13" s="1497"/>
      <c r="R13" s="1497"/>
      <c r="S13" s="1517"/>
      <c r="U13" s="1535"/>
      <c r="X13" s="1526" t="e">
        <f>F13+#REF!</f>
        <v>#REF!</v>
      </c>
      <c r="Y13" s="1536"/>
      <c r="Z13" s="1537"/>
      <c r="AB13" s="1538"/>
    </row>
    <row r="14" spans="1:29" ht="8.5500000000000007" customHeight="1">
      <c r="A14" s="1465"/>
      <c r="D14" s="1540">
        <f>D13-D12</f>
        <v>13823.66</v>
      </c>
      <c r="E14" s="1540">
        <f>E13-E12</f>
        <v>1925.76</v>
      </c>
      <c r="F14" s="1540">
        <f>F13-F12</f>
        <v>2665637</v>
      </c>
      <c r="G14" s="1541"/>
      <c r="J14" s="1542">
        <f>J13+D13+P13</f>
        <v>427670.24</v>
      </c>
      <c r="K14" s="1542">
        <f t="shared" ref="K14:L14" si="3">K13+E13+Q13</f>
        <v>60152.12</v>
      </c>
      <c r="L14" s="1542">
        <f t="shared" si="3"/>
        <v>83402309</v>
      </c>
      <c r="M14" s="1497"/>
      <c r="N14" s="1497"/>
      <c r="O14" s="1497"/>
      <c r="P14" s="1497"/>
      <c r="Q14" s="1526"/>
      <c r="R14" s="1493"/>
      <c r="X14" s="1486"/>
      <c r="Y14" s="1486"/>
      <c r="AB14" s="1486"/>
      <c r="AC14" s="1484"/>
    </row>
    <row r="15" spans="1:29" ht="11.1" customHeight="1">
      <c r="A15" s="1465"/>
      <c r="D15" s="1540"/>
      <c r="E15" s="1540"/>
      <c r="F15" s="1540"/>
      <c r="G15" s="1541"/>
      <c r="J15" s="1627"/>
      <c r="K15" s="1535"/>
      <c r="L15" s="1543"/>
      <c r="M15" s="1535"/>
      <c r="O15" s="1526"/>
      <c r="P15" s="1526"/>
      <c r="Q15" s="1526"/>
      <c r="R15" s="1544"/>
      <c r="X15" s="1486"/>
      <c r="Y15" s="1486"/>
      <c r="AB15" s="1486"/>
      <c r="AC15" s="1484"/>
    </row>
    <row r="16" spans="1:29" ht="11.1" customHeight="1">
      <c r="A16" s="1465"/>
      <c r="D16" s="1482"/>
      <c r="E16" s="1545"/>
      <c r="F16" s="1545"/>
      <c r="G16" s="1541"/>
      <c r="I16" s="1486"/>
      <c r="J16" s="1538"/>
      <c r="K16" s="1626">
        <f>SUBTOTAL(9,K19:K94)</f>
        <v>427702.6</v>
      </c>
      <c r="L16" s="1546"/>
      <c r="M16" s="1626">
        <f>SUBTOTAL(9,M19:M94)</f>
        <v>60156.666694460211</v>
      </c>
      <c r="N16" s="1486"/>
      <c r="Q16" s="1486"/>
    </row>
    <row r="17" spans="1:29" ht="11.55" customHeight="1">
      <c r="A17" s="1465"/>
      <c r="B17" s="1547" t="s">
        <v>24</v>
      </c>
      <c r="C17" s="1548" t="s">
        <v>25</v>
      </c>
      <c r="D17" s="1549" t="s">
        <v>1061</v>
      </c>
      <c r="E17" s="1550" t="s">
        <v>26</v>
      </c>
      <c r="F17" s="1549" t="s">
        <v>1</v>
      </c>
      <c r="G17" s="1551" t="s">
        <v>2</v>
      </c>
      <c r="H17" s="2096" t="s">
        <v>29</v>
      </c>
      <c r="I17" s="2096"/>
      <c r="J17" s="2096"/>
      <c r="K17" s="2096" t="s">
        <v>30</v>
      </c>
      <c r="L17" s="2096"/>
      <c r="M17" s="2097"/>
      <c r="N17" s="2098" t="s">
        <v>31</v>
      </c>
      <c r="O17" s="2098"/>
      <c r="P17" s="2099"/>
      <c r="Q17" s="2099"/>
      <c r="R17" s="1551" t="s">
        <v>1062</v>
      </c>
    </row>
    <row r="18" spans="1:29" ht="11.1" customHeight="1">
      <c r="A18" s="1465"/>
      <c r="B18" s="1552" t="s">
        <v>1063</v>
      </c>
      <c r="C18" s="1553" t="s">
        <v>1064</v>
      </c>
      <c r="D18" s="1554" t="s">
        <v>1065</v>
      </c>
      <c r="E18" s="1555" t="s">
        <v>1066</v>
      </c>
      <c r="F18" s="1556" t="s">
        <v>1067</v>
      </c>
      <c r="G18" s="1557" t="s">
        <v>1068</v>
      </c>
      <c r="H18" s="1558" t="s">
        <v>1069</v>
      </c>
      <c r="I18" s="1558" t="s">
        <v>1070</v>
      </c>
      <c r="J18" s="1559" t="s">
        <v>34</v>
      </c>
      <c r="K18" s="1559" t="s">
        <v>1069</v>
      </c>
      <c r="L18" s="1558" t="s">
        <v>1070</v>
      </c>
      <c r="M18" s="1560" t="s">
        <v>34</v>
      </c>
      <c r="N18" s="1561" t="s">
        <v>1069</v>
      </c>
      <c r="O18" s="1561" t="s">
        <v>34</v>
      </c>
      <c r="P18" s="2100" t="s">
        <v>32</v>
      </c>
      <c r="Q18" s="2100"/>
      <c r="R18" s="1562" t="s">
        <v>1062</v>
      </c>
    </row>
    <row r="19" spans="1:29" ht="11.25" customHeight="1">
      <c r="B19" s="1563">
        <v>45900</v>
      </c>
      <c r="C19" s="1564"/>
      <c r="D19" s="1565"/>
      <c r="E19" s="1564"/>
      <c r="F19" s="1566"/>
      <c r="G19" s="1567"/>
      <c r="H19" s="1568"/>
      <c r="I19" s="1565"/>
      <c r="J19" s="1567"/>
      <c r="K19" s="1569"/>
      <c r="L19" s="1570"/>
      <c r="M19" s="1571"/>
      <c r="N19" s="1572">
        <v>13823.560000000231</v>
      </c>
      <c r="O19" s="1572">
        <v>1925.7565080774889</v>
      </c>
      <c r="P19" s="1573"/>
      <c r="Q19" s="1564"/>
      <c r="R19" s="1574"/>
      <c r="S19" s="1575">
        <v>1925.7565080774889</v>
      </c>
    </row>
    <row r="20" spans="1:29" s="1479" customFormat="1" ht="11.25" customHeight="1">
      <c r="A20" s="1480"/>
      <c r="B20" s="1576">
        <v>45910</v>
      </c>
      <c r="C20" s="1577" t="s">
        <v>564</v>
      </c>
      <c r="D20" s="1578"/>
      <c r="E20" s="1579">
        <v>1</v>
      </c>
      <c r="F20" s="1580" t="s">
        <v>107</v>
      </c>
      <c r="G20" s="1581"/>
      <c r="H20" s="1582"/>
      <c r="I20" s="1582"/>
      <c r="J20" s="1582"/>
      <c r="K20" s="1583">
        <v>240</v>
      </c>
      <c r="L20" s="1324">
        <f>'통장내역(환율표)'!$D$12</f>
        <v>7.1783000041981708</v>
      </c>
      <c r="M20" s="948">
        <f t="shared" ref="M20" si="4">K20/L20</f>
        <v>33.434099976267071</v>
      </c>
      <c r="N20" s="1585">
        <f t="shared" ref="N20" si="5">N19+H20-K20</f>
        <v>13583.560000000231</v>
      </c>
      <c r="O20" s="1585">
        <f t="shared" ref="O20" si="6">O19+J20-M20</f>
        <v>1892.3224081012218</v>
      </c>
      <c r="P20" s="1586" t="s">
        <v>1601</v>
      </c>
      <c r="Q20" s="1587"/>
      <c r="R20" s="1588"/>
      <c r="S20" s="1589">
        <f>S19-M20+J20</f>
        <v>1892.3224081012218</v>
      </c>
      <c r="T20" s="1478"/>
      <c r="U20" s="1479">
        <f>N20/L20</f>
        <v>1892.3087628067919</v>
      </c>
      <c r="V20" s="1478">
        <f>U20-S20</f>
        <v>-1.3645294429807109E-2</v>
      </c>
      <c r="W20" s="1478"/>
      <c r="X20" s="1478"/>
      <c r="Y20" s="1478"/>
      <c r="Z20" s="1478"/>
      <c r="AA20" s="1478"/>
      <c r="AB20" s="1478"/>
      <c r="AC20" s="1478"/>
    </row>
    <row r="21" spans="1:29" s="1479" customFormat="1" ht="11.25" customHeight="1">
      <c r="A21" s="1480"/>
      <c r="B21" s="1576">
        <v>45910</v>
      </c>
      <c r="C21" s="1577" t="s">
        <v>250</v>
      </c>
      <c r="D21" s="1578"/>
      <c r="E21" s="1579">
        <v>2</v>
      </c>
      <c r="F21" s="1580" t="s">
        <v>107</v>
      </c>
      <c r="G21" s="1581"/>
      <c r="H21" s="1582"/>
      <c r="I21" s="1590"/>
      <c r="J21" s="1582"/>
      <c r="K21" s="1583">
        <v>3.6</v>
      </c>
      <c r="L21" s="1324">
        <f>'통장내역(환율표)'!$D$12</f>
        <v>7.1783000041981708</v>
      </c>
      <c r="M21" s="948">
        <f t="shared" ref="M21" si="7">K21/L21</f>
        <v>0.5015114996440061</v>
      </c>
      <c r="N21" s="1585">
        <f t="shared" ref="N21:N84" si="8">N20+H21-K21</f>
        <v>13579.96000000023</v>
      </c>
      <c r="O21" s="1585">
        <f t="shared" ref="O21:O84" si="9">O20+J21-M21</f>
        <v>1891.8208966015777</v>
      </c>
      <c r="P21" s="1591"/>
      <c r="Q21" s="1587"/>
      <c r="R21" s="1587"/>
      <c r="S21" s="1589">
        <f>S20-M21+J21</f>
        <v>1891.8208966015777</v>
      </c>
      <c r="T21" s="1478"/>
      <c r="V21" s="1478"/>
      <c r="W21" s="1478"/>
      <c r="X21" s="1478"/>
      <c r="Y21" s="1478"/>
      <c r="Z21" s="1478"/>
      <c r="AA21" s="1478"/>
      <c r="AB21" s="1478"/>
      <c r="AC21" s="1478"/>
    </row>
    <row r="22" spans="1:29" s="1479" customFormat="1" ht="11.25" customHeight="1">
      <c r="A22" s="1480"/>
      <c r="B22" s="1599">
        <v>45911</v>
      </c>
      <c r="C22" s="1600" t="s">
        <v>1088</v>
      </c>
      <c r="D22" s="1601"/>
      <c r="E22" s="1602">
        <v>3</v>
      </c>
      <c r="F22" s="1603"/>
      <c r="G22" s="1604"/>
      <c r="H22" s="1605">
        <v>415110.07</v>
      </c>
      <c r="I22" s="1605"/>
      <c r="J22" s="1605">
        <v>58404.05</v>
      </c>
      <c r="K22" s="1606"/>
      <c r="L22" s="1607"/>
      <c r="M22" s="1608"/>
      <c r="N22" s="1609">
        <f t="shared" si="8"/>
        <v>428690.03000000026</v>
      </c>
      <c r="O22" s="1609">
        <f t="shared" si="9"/>
        <v>60295.870896601584</v>
      </c>
      <c r="P22" s="1610"/>
      <c r="Q22" s="1611"/>
      <c r="R22" s="1611"/>
      <c r="S22" s="1589"/>
      <c r="T22" s="1478"/>
      <c r="V22" s="1478"/>
      <c r="W22" s="1478"/>
      <c r="X22" s="1478"/>
      <c r="Y22" s="1478"/>
      <c r="Z22" s="1478"/>
      <c r="AA22" s="1478"/>
      <c r="AB22" s="1478"/>
      <c r="AC22" s="1478"/>
    </row>
    <row r="23" spans="1:29" s="1479" customFormat="1" ht="11.25" customHeight="1">
      <c r="A23" s="1480"/>
      <c r="B23" s="1599"/>
      <c r="C23" s="1446" t="s">
        <v>250</v>
      </c>
      <c r="D23" s="1601"/>
      <c r="E23" s="1602"/>
      <c r="F23" s="1603" t="s">
        <v>21</v>
      </c>
      <c r="G23" s="1604"/>
      <c r="H23" s="1605"/>
      <c r="I23" s="1605"/>
      <c r="J23" s="1605"/>
      <c r="K23" s="1606"/>
      <c r="L23" s="1607"/>
      <c r="M23" s="1606">
        <v>25</v>
      </c>
      <c r="N23" s="1609">
        <f t="shared" si="8"/>
        <v>428690.03000000026</v>
      </c>
      <c r="O23" s="1609">
        <f t="shared" si="9"/>
        <v>60270.870896601584</v>
      </c>
      <c r="P23" s="1610"/>
      <c r="Q23" s="1611"/>
      <c r="R23" s="1611"/>
      <c r="S23" s="1589"/>
      <c r="T23" s="1478"/>
      <c r="V23" s="1478"/>
      <c r="W23" s="1478"/>
      <c r="X23" s="1478"/>
      <c r="Y23" s="1478"/>
      <c r="Z23" s="1478"/>
      <c r="AA23" s="1478"/>
      <c r="AB23" s="1478"/>
      <c r="AC23" s="1478"/>
    </row>
    <row r="24" spans="1:29" s="1479" customFormat="1" ht="11.25" customHeight="1">
      <c r="A24" s="1480"/>
      <c r="B24" s="1613">
        <v>45915</v>
      </c>
      <c r="C24" s="1614" t="s">
        <v>1464</v>
      </c>
      <c r="D24" s="1615"/>
      <c r="E24" s="1616">
        <v>4</v>
      </c>
      <c r="F24" s="1617" t="s">
        <v>105</v>
      </c>
      <c r="G24" s="1618" t="s">
        <v>1122</v>
      </c>
      <c r="H24" s="1619"/>
      <c r="I24" s="1619"/>
      <c r="J24" s="1619"/>
      <c r="K24" s="1620">
        <f>L24*M24</f>
        <v>13580.057950017293</v>
      </c>
      <c r="L24" s="1621">
        <f>'통장내역(환율표)'!$D$12</f>
        <v>7.1783000041981708</v>
      </c>
      <c r="M24" s="948">
        <v>1891.8208966015777</v>
      </c>
      <c r="N24" s="1622">
        <f t="shared" si="8"/>
        <v>415109.97204998299</v>
      </c>
      <c r="O24" s="1622">
        <f t="shared" si="9"/>
        <v>58379.05</v>
      </c>
      <c r="P24" s="1623"/>
      <c r="Q24" s="1624"/>
      <c r="R24" s="1624"/>
      <c r="S24" s="1589">
        <f>S21-M24+J24</f>
        <v>0</v>
      </c>
      <c r="T24" s="1478"/>
      <c r="U24" s="1479">
        <f t="shared" ref="U24:U88" si="10">N24/L24</f>
        <v>57828.451277769011</v>
      </c>
      <c r="V24" s="1478">
        <f t="shared" ref="V24:V88" si="11">U24-S24</f>
        <v>57828.451277769011</v>
      </c>
      <c r="W24" s="1478"/>
      <c r="X24" s="1478"/>
      <c r="Y24" s="1478"/>
      <c r="Z24" s="1478"/>
      <c r="AA24" s="1478"/>
      <c r="AB24" s="1478"/>
      <c r="AC24" s="1478"/>
    </row>
    <row r="25" spans="1:29" s="1479" customFormat="1" ht="11.25" customHeight="1">
      <c r="A25" s="1480"/>
      <c r="B25" s="1613">
        <v>45915</v>
      </c>
      <c r="C25" s="1614" t="s">
        <v>1464</v>
      </c>
      <c r="D25" s="1615"/>
      <c r="E25" s="1616">
        <v>4</v>
      </c>
      <c r="F25" s="1617" t="s">
        <v>105</v>
      </c>
      <c r="G25" s="1618" t="s">
        <v>1122</v>
      </c>
      <c r="H25" s="1619"/>
      <c r="I25" s="1619"/>
      <c r="J25" s="1619"/>
      <c r="K25" s="1620">
        <f>25145-K24</f>
        <v>11564.942049982707</v>
      </c>
      <c r="L25" s="1621">
        <f>'통장내역(환율표)'!$D$21</f>
        <v>7.1105999498107622</v>
      </c>
      <c r="M25" s="1096">
        <f t="shared" ref="M25" si="12">K25/L25</f>
        <v>1626.436887409267</v>
      </c>
      <c r="N25" s="1622">
        <f t="shared" si="8"/>
        <v>403545.03000000026</v>
      </c>
      <c r="O25" s="1622">
        <f t="shared" si="9"/>
        <v>56752.613112590734</v>
      </c>
      <c r="P25" s="1623"/>
      <c r="Q25" s="1624"/>
      <c r="R25" s="1624"/>
      <c r="S25" s="1589">
        <f>58379.05-M25</f>
        <v>56752.613112590734</v>
      </c>
      <c r="T25" s="1478"/>
      <c r="V25" s="1478"/>
      <c r="W25" s="1478"/>
      <c r="X25" s="1478"/>
      <c r="Y25" s="1478"/>
      <c r="Z25" s="1478"/>
      <c r="AA25" s="1478"/>
      <c r="AB25" s="1478"/>
      <c r="AC25" s="1478"/>
    </row>
    <row r="26" spans="1:29" s="1479" customFormat="1" ht="11.25" customHeight="1">
      <c r="A26" s="1480"/>
      <c r="B26" s="1576">
        <v>45915</v>
      </c>
      <c r="C26" s="1577" t="s">
        <v>250</v>
      </c>
      <c r="D26" s="1578"/>
      <c r="E26" s="1579">
        <v>5</v>
      </c>
      <c r="F26" s="1580" t="s">
        <v>107</v>
      </c>
      <c r="G26" s="1581"/>
      <c r="H26" s="1582"/>
      <c r="I26" s="1582"/>
      <c r="J26" s="1582"/>
      <c r="K26" s="1583">
        <v>7.2</v>
      </c>
      <c r="L26" s="1584">
        <f>'통장내역(환율표)'!$D$21</f>
        <v>7.1105999498107622</v>
      </c>
      <c r="M26" s="1608">
        <f t="shared" ref="M26:M89" si="13">K26/L26</f>
        <v>1.0125727858155791</v>
      </c>
      <c r="N26" s="1585">
        <f t="shared" si="8"/>
        <v>403537.83000000025</v>
      </c>
      <c r="O26" s="1585">
        <f t="shared" si="9"/>
        <v>56751.600539804916</v>
      </c>
      <c r="P26" s="1591"/>
      <c r="Q26" s="1587"/>
      <c r="R26" s="1587"/>
      <c r="S26" s="1589">
        <f>S25-M26+J26</f>
        <v>56751.600539804916</v>
      </c>
      <c r="T26" s="1478"/>
      <c r="V26" s="1478"/>
      <c r="W26" s="1478"/>
      <c r="X26" s="1478"/>
      <c r="Y26" s="1478"/>
      <c r="Z26" s="1478"/>
      <c r="AA26" s="1478"/>
      <c r="AB26" s="1478"/>
      <c r="AC26" s="1478"/>
    </row>
    <row r="27" spans="1:29" s="1479" customFormat="1" ht="11.25" customHeight="1">
      <c r="A27" s="1480"/>
      <c r="B27" s="1576">
        <v>45915</v>
      </c>
      <c r="C27" s="1577" t="s">
        <v>1576</v>
      </c>
      <c r="D27" s="1578"/>
      <c r="E27" s="1579">
        <v>6</v>
      </c>
      <c r="F27" s="1580" t="s">
        <v>146</v>
      </c>
      <c r="G27" s="1581" t="s">
        <v>147</v>
      </c>
      <c r="H27" s="1582"/>
      <c r="I27" s="1582"/>
      <c r="J27" s="1582"/>
      <c r="K27" s="1583">
        <v>2400</v>
      </c>
      <c r="L27" s="1584">
        <f>'통장내역(환율표)'!$D$21</f>
        <v>7.1105999498107622</v>
      </c>
      <c r="M27" s="1608">
        <f t="shared" si="13"/>
        <v>337.52426193852637</v>
      </c>
      <c r="N27" s="1585">
        <f t="shared" si="8"/>
        <v>401137.83000000025</v>
      </c>
      <c r="O27" s="1585">
        <f t="shared" si="9"/>
        <v>56414.076277866392</v>
      </c>
      <c r="P27" s="1591" t="s">
        <v>1577</v>
      </c>
      <c r="Q27" s="1587"/>
      <c r="R27" s="1587"/>
      <c r="S27" s="1589">
        <f t="shared" ref="S27:S90" si="14">S26-M27+J27</f>
        <v>56414.076277866392</v>
      </c>
      <c r="T27" s="1478"/>
      <c r="V27" s="1478"/>
      <c r="W27" s="1478"/>
      <c r="X27" s="1478"/>
      <c r="Y27" s="1478"/>
      <c r="Z27" s="1478"/>
      <c r="AA27" s="1478"/>
      <c r="AB27" s="1478"/>
      <c r="AC27" s="1478"/>
    </row>
    <row r="28" spans="1:29" s="1479" customFormat="1" ht="11.25" customHeight="1">
      <c r="A28" s="1480"/>
      <c r="B28" s="1576">
        <v>45915</v>
      </c>
      <c r="C28" s="1577" t="s">
        <v>250</v>
      </c>
      <c r="D28" s="1578"/>
      <c r="E28" s="1579">
        <v>7</v>
      </c>
      <c r="F28" s="1580" t="s">
        <v>107</v>
      </c>
      <c r="G28" s="1581"/>
      <c r="H28" s="1582"/>
      <c r="I28" s="1582"/>
      <c r="J28" s="1582"/>
      <c r="K28" s="1583">
        <v>3.6</v>
      </c>
      <c r="L28" s="1584">
        <f>'통장내역(환율표)'!$D$21</f>
        <v>7.1105999498107622</v>
      </c>
      <c r="M28" s="1608">
        <f t="shared" si="13"/>
        <v>0.50628639290778954</v>
      </c>
      <c r="N28" s="1585">
        <f t="shared" si="8"/>
        <v>401134.23000000027</v>
      </c>
      <c r="O28" s="1585">
        <f t="shared" si="9"/>
        <v>56413.569991473487</v>
      </c>
      <c r="P28" s="1591"/>
      <c r="Q28" s="1587"/>
      <c r="R28" s="1587"/>
      <c r="S28" s="1589">
        <f t="shared" si="14"/>
        <v>56413.569991473487</v>
      </c>
      <c r="T28" s="1478"/>
      <c r="V28" s="1478"/>
      <c r="W28" s="1478"/>
      <c r="X28" s="1478"/>
      <c r="Y28" s="1478"/>
      <c r="Z28" s="1478"/>
      <c r="AA28" s="1478"/>
      <c r="AB28" s="1478"/>
      <c r="AC28" s="1478"/>
    </row>
    <row r="29" spans="1:29" s="1479" customFormat="1" ht="11.1" customHeight="1">
      <c r="A29" s="1480"/>
      <c r="B29" s="1576">
        <v>45921</v>
      </c>
      <c r="C29" s="1592" t="s">
        <v>877</v>
      </c>
      <c r="D29" s="1578"/>
      <c r="E29" s="1579">
        <v>8</v>
      </c>
      <c r="F29" s="1580" t="s">
        <v>107</v>
      </c>
      <c r="G29" s="1581"/>
      <c r="H29" s="1582">
        <v>32.36</v>
      </c>
      <c r="I29" s="1584">
        <f>'통장내역(환율표)'!$D$21</f>
        <v>7.1105999498107622</v>
      </c>
      <c r="J29" s="1582">
        <f t="shared" ref="J29" si="15">H29/I29</f>
        <v>4.5509521318044639</v>
      </c>
      <c r="K29" s="1583"/>
      <c r="L29" s="1584">
        <f>'통장내역(환율표)'!$D$21</f>
        <v>7.1105999498107622</v>
      </c>
      <c r="M29" s="1608">
        <f t="shared" si="13"/>
        <v>0</v>
      </c>
      <c r="N29" s="1585">
        <f t="shared" si="8"/>
        <v>401166.59000000026</v>
      </c>
      <c r="O29" s="1585">
        <f t="shared" si="9"/>
        <v>56418.120943605289</v>
      </c>
      <c r="P29" s="1591"/>
      <c r="Q29" s="1587"/>
      <c r="R29" s="1587"/>
      <c r="S29" s="1589">
        <f t="shared" si="14"/>
        <v>56418.120943605289</v>
      </c>
      <c r="T29" s="1478"/>
      <c r="V29" s="1478"/>
      <c r="W29" s="1478"/>
      <c r="X29" s="1478"/>
      <c r="Y29" s="1478"/>
      <c r="Z29" s="1478"/>
      <c r="AA29" s="1478"/>
      <c r="AB29" s="1478"/>
      <c r="AC29" s="1478"/>
    </row>
    <row r="30" spans="1:29" s="1479" customFormat="1" ht="12" customHeight="1">
      <c r="A30" s="1480"/>
      <c r="B30" s="1576">
        <v>45923</v>
      </c>
      <c r="C30" s="1577" t="s">
        <v>352</v>
      </c>
      <c r="D30" s="1578"/>
      <c r="E30" s="1579">
        <v>9</v>
      </c>
      <c r="F30" s="1580" t="s">
        <v>107</v>
      </c>
      <c r="G30" s="1581"/>
      <c r="H30" s="1582"/>
      <c r="I30" s="1590"/>
      <c r="J30" s="1582"/>
      <c r="K30" s="1583">
        <v>1010</v>
      </c>
      <c r="L30" s="1584">
        <f>'통장내역(환율표)'!$D$21</f>
        <v>7.1105999498107622</v>
      </c>
      <c r="M30" s="1608">
        <f t="shared" si="13"/>
        <v>142.04146023246318</v>
      </c>
      <c r="N30" s="1585">
        <f t="shared" si="8"/>
        <v>400156.59000000026</v>
      </c>
      <c r="O30" s="1585">
        <f t="shared" si="9"/>
        <v>56276.079483372829</v>
      </c>
      <c r="P30" s="1591"/>
      <c r="Q30" s="1587"/>
      <c r="R30" s="1587"/>
      <c r="S30" s="1589">
        <f t="shared" si="14"/>
        <v>56276.079483372829</v>
      </c>
      <c r="T30" s="1478"/>
      <c r="U30" s="1479">
        <f t="shared" si="10"/>
        <v>56276.065708161492</v>
      </c>
      <c r="V30" s="1478">
        <f t="shared" si="11"/>
        <v>-1.3775211336906068E-2</v>
      </c>
      <c r="W30" s="1478"/>
      <c r="X30" s="1478"/>
      <c r="Y30" s="1478"/>
      <c r="Z30" s="1478"/>
      <c r="AA30" s="1478"/>
      <c r="AB30" s="1478"/>
      <c r="AC30" s="1478"/>
    </row>
    <row r="31" spans="1:29" s="1479" customFormat="1" ht="12" customHeight="1">
      <c r="A31" s="1480"/>
      <c r="B31" s="1576">
        <v>45923</v>
      </c>
      <c r="C31" s="1577" t="s">
        <v>250</v>
      </c>
      <c r="D31" s="1578"/>
      <c r="E31" s="1579">
        <v>10</v>
      </c>
      <c r="F31" s="1580" t="s">
        <v>107</v>
      </c>
      <c r="G31" s="1581"/>
      <c r="H31" s="1582"/>
      <c r="I31" s="1590"/>
      <c r="J31" s="1582"/>
      <c r="K31" s="1583">
        <v>3.6</v>
      </c>
      <c r="L31" s="1584">
        <f>'통장내역(환율표)'!$D$21</f>
        <v>7.1105999498107622</v>
      </c>
      <c r="M31" s="1608">
        <f t="shared" si="13"/>
        <v>0.50628639290778954</v>
      </c>
      <c r="N31" s="1585">
        <f t="shared" si="8"/>
        <v>400152.99000000028</v>
      </c>
      <c r="O31" s="1585">
        <f t="shared" si="9"/>
        <v>56275.573196979924</v>
      </c>
      <c r="P31" s="1591"/>
      <c r="Q31" s="1587"/>
      <c r="R31" s="1587"/>
      <c r="S31" s="1589">
        <f t="shared" si="14"/>
        <v>56275.573196979924</v>
      </c>
      <c r="T31" s="1478"/>
      <c r="U31" s="1479">
        <f t="shared" si="10"/>
        <v>56275.559421768587</v>
      </c>
      <c r="V31" s="1478">
        <f t="shared" si="11"/>
        <v>-1.3775211336906068E-2</v>
      </c>
      <c r="W31" s="1478"/>
      <c r="X31" s="1478"/>
      <c r="Y31" s="1478"/>
      <c r="Z31" s="1478"/>
      <c r="AA31" s="1478"/>
      <c r="AB31" s="1478"/>
      <c r="AC31" s="1478"/>
    </row>
    <row r="32" spans="1:29" s="1479" customFormat="1" ht="12" customHeight="1">
      <c r="A32" s="1480"/>
      <c r="B32" s="1576">
        <v>45923</v>
      </c>
      <c r="C32" s="1593" t="s">
        <v>305</v>
      </c>
      <c r="D32" s="1578"/>
      <c r="E32" s="1579">
        <v>11</v>
      </c>
      <c r="F32" s="1580" t="s">
        <v>105</v>
      </c>
      <c r="G32" s="1581" t="s">
        <v>227</v>
      </c>
      <c r="H32" s="1582"/>
      <c r="I32" s="1590"/>
      <c r="J32" s="1582"/>
      <c r="K32" s="1583">
        <v>7000</v>
      </c>
      <c r="L32" s="1584">
        <f>'통장내역(환율표)'!$D$21</f>
        <v>7.1105999498107622</v>
      </c>
      <c r="M32" s="1608">
        <f t="shared" si="13"/>
        <v>984.44576398736854</v>
      </c>
      <c r="N32" s="1585">
        <f t="shared" si="8"/>
        <v>393152.99000000028</v>
      </c>
      <c r="O32" s="1585">
        <f t="shared" si="9"/>
        <v>55291.127432992558</v>
      </c>
      <c r="P32" s="1591"/>
      <c r="Q32" s="1587"/>
      <c r="R32" s="1587"/>
      <c r="S32" s="1589">
        <f t="shared" si="14"/>
        <v>55291.127432992558</v>
      </c>
      <c r="T32" s="1478"/>
      <c r="U32" s="1479">
        <f t="shared" si="10"/>
        <v>55291.113657781221</v>
      </c>
      <c r="V32" s="1478">
        <f t="shared" si="11"/>
        <v>-1.3775211336906068E-2</v>
      </c>
      <c r="W32" s="1478"/>
      <c r="X32" s="1478"/>
      <c r="Y32" s="1478"/>
      <c r="Z32" s="1478"/>
      <c r="AA32" s="1478"/>
      <c r="AB32" s="1478"/>
      <c r="AC32" s="1478"/>
    </row>
    <row r="33" spans="1:29" s="1479" customFormat="1" ht="12" customHeight="1">
      <c r="A33" s="1480"/>
      <c r="B33" s="1576">
        <v>45923</v>
      </c>
      <c r="C33" s="1593" t="s">
        <v>1107</v>
      </c>
      <c r="D33" s="1578"/>
      <c r="E33" s="1579">
        <v>11</v>
      </c>
      <c r="F33" s="1580" t="s">
        <v>107</v>
      </c>
      <c r="G33" s="1581"/>
      <c r="H33" s="1582"/>
      <c r="I33" s="1590"/>
      <c r="J33" s="1582"/>
      <c r="K33" s="1583">
        <v>6000</v>
      </c>
      <c r="L33" s="1584">
        <f>'통장내역(환율표)'!$D$21</f>
        <v>7.1105999498107622</v>
      </c>
      <c r="M33" s="1608">
        <f t="shared" si="13"/>
        <v>843.81065484631586</v>
      </c>
      <c r="N33" s="1585">
        <f t="shared" si="8"/>
        <v>387152.99000000028</v>
      </c>
      <c r="O33" s="1585">
        <f t="shared" si="9"/>
        <v>54447.31677814624</v>
      </c>
      <c r="P33" s="1591"/>
      <c r="Q33" s="1587"/>
      <c r="R33" s="1587"/>
      <c r="S33" s="1589">
        <f t="shared" si="14"/>
        <v>54447.31677814624</v>
      </c>
      <c r="T33" s="1478"/>
      <c r="U33" s="1479">
        <f t="shared" si="10"/>
        <v>54447.303002934903</v>
      </c>
      <c r="V33" s="1478">
        <f t="shared" si="11"/>
        <v>-1.3775211336906068E-2</v>
      </c>
      <c r="W33" s="1478"/>
      <c r="X33" s="1478"/>
      <c r="Y33" s="1478"/>
      <c r="Z33" s="1478"/>
      <c r="AA33" s="1478"/>
      <c r="AB33" s="1478"/>
      <c r="AC33" s="1478"/>
    </row>
    <row r="34" spans="1:29" s="1479" customFormat="1" ht="12" customHeight="1">
      <c r="A34" s="1480"/>
      <c r="B34" s="1576">
        <v>45923</v>
      </c>
      <c r="C34" s="1593" t="s">
        <v>1108</v>
      </c>
      <c r="D34" s="1578"/>
      <c r="E34" s="1579">
        <v>11</v>
      </c>
      <c r="F34" s="1580" t="s">
        <v>107</v>
      </c>
      <c r="G34" s="1581"/>
      <c r="H34" s="1582"/>
      <c r="I34" s="1590"/>
      <c r="J34" s="1582"/>
      <c r="K34" s="1583">
        <v>400</v>
      </c>
      <c r="L34" s="1584">
        <f>'통장내역(환율표)'!$D$21</f>
        <v>7.1105999498107622</v>
      </c>
      <c r="M34" s="1608">
        <f t="shared" si="13"/>
        <v>56.254043656421061</v>
      </c>
      <c r="N34" s="1585">
        <f t="shared" si="8"/>
        <v>386752.99000000028</v>
      </c>
      <c r="O34" s="1585">
        <f t="shared" si="9"/>
        <v>54391.062734489817</v>
      </c>
      <c r="P34" s="1591"/>
      <c r="Q34" s="1587"/>
      <c r="R34" s="1587"/>
      <c r="S34" s="1589">
        <f t="shared" si="14"/>
        <v>54391.062734489817</v>
      </c>
      <c r="T34" s="1478"/>
      <c r="U34" s="1479">
        <f t="shared" si="10"/>
        <v>54391.04895927848</v>
      </c>
      <c r="V34" s="1478">
        <f t="shared" si="11"/>
        <v>-1.3775211336906068E-2</v>
      </c>
      <c r="W34" s="1478"/>
      <c r="X34" s="1478"/>
      <c r="Y34" s="1478"/>
      <c r="Z34" s="1478"/>
      <c r="AA34" s="1478"/>
      <c r="AB34" s="1478"/>
      <c r="AC34" s="1478"/>
    </row>
    <row r="35" spans="1:29" s="1479" customFormat="1" ht="12" customHeight="1">
      <c r="A35" s="1480"/>
      <c r="B35" s="1576">
        <v>45923</v>
      </c>
      <c r="C35" s="1593" t="s">
        <v>305</v>
      </c>
      <c r="D35" s="1578"/>
      <c r="E35" s="1579">
        <v>11</v>
      </c>
      <c r="F35" s="1580" t="s">
        <v>105</v>
      </c>
      <c r="G35" s="1581" t="s">
        <v>227</v>
      </c>
      <c r="H35" s="1582"/>
      <c r="I35" s="1590"/>
      <c r="J35" s="1582"/>
      <c r="K35" s="1583">
        <v>7000</v>
      </c>
      <c r="L35" s="1584">
        <f>'통장내역(환율표)'!$D$21</f>
        <v>7.1105999498107622</v>
      </c>
      <c r="M35" s="1608">
        <f t="shared" si="13"/>
        <v>984.44576398736854</v>
      </c>
      <c r="N35" s="1585">
        <f t="shared" si="8"/>
        <v>379752.99000000028</v>
      </c>
      <c r="O35" s="1585">
        <f t="shared" si="9"/>
        <v>53406.616970502451</v>
      </c>
      <c r="P35" s="1591"/>
      <c r="Q35" s="1587"/>
      <c r="R35" s="1587"/>
      <c r="S35" s="1589">
        <f t="shared" si="14"/>
        <v>53406.616970502451</v>
      </c>
      <c r="T35" s="1478"/>
      <c r="U35" s="1479">
        <f t="shared" si="10"/>
        <v>53406.603195291114</v>
      </c>
      <c r="V35" s="1478">
        <f t="shared" si="11"/>
        <v>-1.3775211336906068E-2</v>
      </c>
      <c r="W35" s="1478"/>
      <c r="X35" s="1478"/>
      <c r="Y35" s="1478"/>
      <c r="Z35" s="1478"/>
      <c r="AA35" s="1478"/>
      <c r="AB35" s="1478"/>
      <c r="AC35" s="1478"/>
    </row>
    <row r="36" spans="1:29" s="1479" customFormat="1" ht="12" customHeight="1">
      <c r="A36" s="1480"/>
      <c r="B36" s="1576">
        <v>45923</v>
      </c>
      <c r="C36" s="1593" t="s">
        <v>1107</v>
      </c>
      <c r="D36" s="1578"/>
      <c r="E36" s="1579">
        <v>11</v>
      </c>
      <c r="F36" s="1580" t="s">
        <v>107</v>
      </c>
      <c r="G36" s="1581"/>
      <c r="H36" s="1582"/>
      <c r="I36" s="1590"/>
      <c r="J36" s="1582"/>
      <c r="K36" s="1583">
        <v>6000</v>
      </c>
      <c r="L36" s="1584">
        <f>'통장내역(환율표)'!$D$21</f>
        <v>7.1105999498107622</v>
      </c>
      <c r="M36" s="1608">
        <f t="shared" si="13"/>
        <v>843.81065484631586</v>
      </c>
      <c r="N36" s="1585">
        <f t="shared" si="8"/>
        <v>373752.99000000028</v>
      </c>
      <c r="O36" s="1585">
        <f t="shared" si="9"/>
        <v>52562.806315656133</v>
      </c>
      <c r="P36" s="1591"/>
      <c r="Q36" s="1587"/>
      <c r="R36" s="1587"/>
      <c r="S36" s="1589">
        <f t="shared" si="14"/>
        <v>52562.806315656133</v>
      </c>
      <c r="T36" s="1478"/>
      <c r="U36" s="1479">
        <f t="shared" si="10"/>
        <v>52562.792540444796</v>
      </c>
      <c r="V36" s="1478">
        <f t="shared" si="11"/>
        <v>-1.3775211336906068E-2</v>
      </c>
      <c r="W36" s="1478"/>
      <c r="X36" s="1478"/>
      <c r="Y36" s="1478"/>
      <c r="Z36" s="1478"/>
      <c r="AA36" s="1478"/>
      <c r="AB36" s="1478"/>
      <c r="AC36" s="1478"/>
    </row>
    <row r="37" spans="1:29" s="1479" customFormat="1" ht="12" customHeight="1">
      <c r="A37" s="1480"/>
      <c r="B37" s="1576">
        <v>45923</v>
      </c>
      <c r="C37" s="1593" t="s">
        <v>1108</v>
      </c>
      <c r="D37" s="1578"/>
      <c r="E37" s="1579">
        <v>11</v>
      </c>
      <c r="F37" s="1580" t="s">
        <v>107</v>
      </c>
      <c r="G37" s="1581"/>
      <c r="H37" s="1582"/>
      <c r="I37" s="1590"/>
      <c r="J37" s="1582"/>
      <c r="K37" s="1583">
        <v>760</v>
      </c>
      <c r="L37" s="1584">
        <f>'통장내역(환율표)'!$D$21</f>
        <v>7.1105999498107622</v>
      </c>
      <c r="M37" s="1608">
        <f t="shared" si="13"/>
        <v>106.88268294720001</v>
      </c>
      <c r="N37" s="1585">
        <f t="shared" si="8"/>
        <v>372992.99000000028</v>
      </c>
      <c r="O37" s="1585">
        <f t="shared" si="9"/>
        <v>52455.923632708931</v>
      </c>
      <c r="P37" s="1591"/>
      <c r="Q37" s="1587"/>
      <c r="R37" s="1587"/>
      <c r="S37" s="1589">
        <f t="shared" si="14"/>
        <v>52455.923632708931</v>
      </c>
      <c r="T37" s="1478"/>
      <c r="U37" s="1479">
        <f t="shared" si="10"/>
        <v>52455.909857497594</v>
      </c>
      <c r="V37" s="1478">
        <f t="shared" si="11"/>
        <v>-1.3775211336906068E-2</v>
      </c>
      <c r="W37" s="1478"/>
      <c r="X37" s="1478"/>
      <c r="Y37" s="1478"/>
      <c r="Z37" s="1478"/>
      <c r="AA37" s="1478"/>
      <c r="AB37" s="1478"/>
      <c r="AC37" s="1478"/>
    </row>
    <row r="38" spans="1:29" s="1479" customFormat="1" ht="12" customHeight="1">
      <c r="A38" s="1480"/>
      <c r="B38" s="1576">
        <v>45923</v>
      </c>
      <c r="C38" s="1593" t="s">
        <v>305</v>
      </c>
      <c r="D38" s="1578"/>
      <c r="E38" s="1579">
        <v>11</v>
      </c>
      <c r="F38" s="1580" t="s">
        <v>105</v>
      </c>
      <c r="G38" s="1581" t="s">
        <v>227</v>
      </c>
      <c r="H38" s="1582"/>
      <c r="I38" s="1590"/>
      <c r="J38" s="1582"/>
      <c r="K38" s="1583">
        <v>6000</v>
      </c>
      <c r="L38" s="1584">
        <f>'통장내역(환율표)'!$D$21</f>
        <v>7.1105999498107622</v>
      </c>
      <c r="M38" s="1608">
        <f t="shared" si="13"/>
        <v>843.81065484631586</v>
      </c>
      <c r="N38" s="1585">
        <f t="shared" si="8"/>
        <v>366992.99000000028</v>
      </c>
      <c r="O38" s="1585">
        <f t="shared" si="9"/>
        <v>51612.112977862613</v>
      </c>
      <c r="P38" s="1591"/>
      <c r="Q38" s="1587"/>
      <c r="R38" s="1587"/>
      <c r="S38" s="1589">
        <f t="shared" si="14"/>
        <v>51612.112977862613</v>
      </c>
      <c r="T38" s="1478"/>
      <c r="U38" s="1479">
        <f>N38/L38</f>
        <v>51612.099202651283</v>
      </c>
      <c r="V38" s="1478">
        <f t="shared" si="11"/>
        <v>-1.377521132963011E-2</v>
      </c>
      <c r="W38" s="1478"/>
      <c r="X38" s="1478"/>
      <c r="Y38" s="1478"/>
      <c r="Z38" s="1478"/>
      <c r="AA38" s="1478"/>
      <c r="AB38" s="1478"/>
      <c r="AC38" s="1478"/>
    </row>
    <row r="39" spans="1:29" s="1479" customFormat="1" ht="12" customHeight="1">
      <c r="A39" s="1480"/>
      <c r="B39" s="1576">
        <v>45923</v>
      </c>
      <c r="C39" s="1593" t="s">
        <v>1107</v>
      </c>
      <c r="D39" s="1578"/>
      <c r="E39" s="1579">
        <v>11</v>
      </c>
      <c r="F39" s="1580" t="s">
        <v>107</v>
      </c>
      <c r="G39" s="1581"/>
      <c r="H39" s="1582"/>
      <c r="I39" s="1590"/>
      <c r="J39" s="1582"/>
      <c r="K39" s="1583">
        <v>6000</v>
      </c>
      <c r="L39" s="1584">
        <f>'통장내역(환율표)'!$D$21</f>
        <v>7.1105999498107622</v>
      </c>
      <c r="M39" s="1608">
        <f t="shared" si="13"/>
        <v>843.81065484631586</v>
      </c>
      <c r="N39" s="1585">
        <f t="shared" si="8"/>
        <v>360992.99000000028</v>
      </c>
      <c r="O39" s="1585">
        <f t="shared" si="9"/>
        <v>50768.302323016294</v>
      </c>
      <c r="P39" s="1591"/>
      <c r="Q39" s="1587"/>
      <c r="R39" s="1587"/>
      <c r="S39" s="1589">
        <f t="shared" si="14"/>
        <v>50768.302323016294</v>
      </c>
      <c r="T39" s="1478"/>
      <c r="U39" s="1479">
        <f t="shared" si="10"/>
        <v>50768.288547804965</v>
      </c>
      <c r="V39" s="1478">
        <f t="shared" si="11"/>
        <v>-1.377521132963011E-2</v>
      </c>
      <c r="W39" s="1478"/>
      <c r="X39" s="1478"/>
      <c r="Y39" s="1478"/>
      <c r="Z39" s="1478"/>
      <c r="AA39" s="1478"/>
      <c r="AB39" s="1478"/>
      <c r="AC39" s="1478"/>
    </row>
    <row r="40" spans="1:29" s="1479" customFormat="1" ht="12" customHeight="1">
      <c r="A40" s="1480"/>
      <c r="B40" s="1576">
        <v>45923</v>
      </c>
      <c r="C40" s="1593" t="s">
        <v>1108</v>
      </c>
      <c r="D40" s="1578"/>
      <c r="E40" s="1579">
        <v>11</v>
      </c>
      <c r="F40" s="1580" t="s">
        <v>107</v>
      </c>
      <c r="G40" s="1581"/>
      <c r="H40" s="1582"/>
      <c r="I40" s="1590"/>
      <c r="J40" s="1582"/>
      <c r="K40" s="1583">
        <v>580</v>
      </c>
      <c r="L40" s="1584">
        <f>'통장내역(환율표)'!$D$21</f>
        <v>7.1105999498107622</v>
      </c>
      <c r="M40" s="1608">
        <f t="shared" si="13"/>
        <v>81.568363301810535</v>
      </c>
      <c r="N40" s="1585">
        <f t="shared" si="8"/>
        <v>360412.99000000028</v>
      </c>
      <c r="O40" s="1585">
        <f t="shared" si="9"/>
        <v>50686.733959714482</v>
      </c>
      <c r="P40" s="1591"/>
      <c r="Q40" s="1587"/>
      <c r="R40" s="1587"/>
      <c r="S40" s="1589">
        <f t="shared" si="14"/>
        <v>50686.733959714482</v>
      </c>
      <c r="T40" s="1478"/>
      <c r="U40" s="1479">
        <f t="shared" si="10"/>
        <v>50686.720184503152</v>
      </c>
      <c r="V40" s="1478">
        <f t="shared" si="11"/>
        <v>-1.377521132963011E-2</v>
      </c>
      <c r="W40" s="1478"/>
      <c r="X40" s="1478"/>
      <c r="Y40" s="1478"/>
      <c r="Z40" s="1478"/>
      <c r="AA40" s="1478"/>
      <c r="AB40" s="1478"/>
      <c r="AC40" s="1478"/>
    </row>
    <row r="41" spans="1:29" s="1479" customFormat="1" ht="12" customHeight="1">
      <c r="A41" s="1480"/>
      <c r="B41" s="1576">
        <v>45923</v>
      </c>
      <c r="C41" s="1593" t="s">
        <v>250</v>
      </c>
      <c r="D41" s="1578"/>
      <c r="E41" s="1579">
        <v>12</v>
      </c>
      <c r="F41" s="1580" t="s">
        <v>107</v>
      </c>
      <c r="G41" s="1581"/>
      <c r="H41" s="1582"/>
      <c r="I41" s="1590"/>
      <c r="J41" s="1582"/>
      <c r="K41" s="1583">
        <v>7.2</v>
      </c>
      <c r="L41" s="1584">
        <f>'통장내역(환율표)'!$D$21</f>
        <v>7.1105999498107622</v>
      </c>
      <c r="M41" s="1608">
        <f t="shared" si="13"/>
        <v>1.0125727858155791</v>
      </c>
      <c r="N41" s="1585">
        <f t="shared" si="8"/>
        <v>360405.79000000027</v>
      </c>
      <c r="O41" s="1585">
        <f t="shared" si="9"/>
        <v>50685.721386928664</v>
      </c>
      <c r="P41" s="1591"/>
      <c r="Q41" s="1587"/>
      <c r="R41" s="1587"/>
      <c r="S41" s="1589">
        <f t="shared" si="14"/>
        <v>50685.721386928664</v>
      </c>
      <c r="T41" s="1478"/>
      <c r="U41" s="1479">
        <f t="shared" si="10"/>
        <v>50685.707611717335</v>
      </c>
      <c r="V41" s="1478">
        <f t="shared" si="11"/>
        <v>-1.377521132963011E-2</v>
      </c>
      <c r="W41" s="1478"/>
      <c r="X41" s="1478"/>
      <c r="Y41" s="1478"/>
      <c r="Z41" s="1478"/>
      <c r="AA41" s="1478"/>
      <c r="AB41" s="1478"/>
      <c r="AC41" s="1478"/>
    </row>
    <row r="42" spans="1:29" s="1479" customFormat="1" ht="12" customHeight="1">
      <c r="A42" s="1480"/>
      <c r="B42" s="1576">
        <v>45923</v>
      </c>
      <c r="C42" s="1577" t="s">
        <v>1461</v>
      </c>
      <c r="D42" s="1578" t="s">
        <v>188</v>
      </c>
      <c r="E42" s="1579">
        <v>13</v>
      </c>
      <c r="F42" s="1580" t="s">
        <v>116</v>
      </c>
      <c r="G42" s="1581" t="s">
        <v>140</v>
      </c>
      <c r="H42" s="1582"/>
      <c r="I42" s="1590"/>
      <c r="J42" s="1582"/>
      <c r="K42" s="1583">
        <v>717.4</v>
      </c>
      <c r="L42" s="1584">
        <f>'통장내역(환율표)'!$D$21</f>
        <v>7.1105999498107622</v>
      </c>
      <c r="M42" s="1608">
        <f t="shared" si="13"/>
        <v>100.89162729779116</v>
      </c>
      <c r="N42" s="1585">
        <f t="shared" si="8"/>
        <v>359688.39000000025</v>
      </c>
      <c r="O42" s="1585">
        <f t="shared" si="9"/>
        <v>50584.829759630877</v>
      </c>
      <c r="P42" s="1591"/>
      <c r="Q42" s="1587"/>
      <c r="R42" s="1587"/>
      <c r="S42" s="1589">
        <f t="shared" si="14"/>
        <v>50584.829759630877</v>
      </c>
      <c r="T42" s="1478"/>
      <c r="U42" s="1479">
        <f t="shared" si="10"/>
        <v>50584.815984419547</v>
      </c>
      <c r="V42" s="1478">
        <f t="shared" si="11"/>
        <v>-1.377521132963011E-2</v>
      </c>
      <c r="W42" s="1478"/>
      <c r="X42" s="1478"/>
      <c r="Y42" s="1478"/>
      <c r="Z42" s="1478"/>
      <c r="AA42" s="1478"/>
      <c r="AB42" s="1478"/>
      <c r="AC42" s="1478"/>
    </row>
    <row r="43" spans="1:29" s="1479" customFormat="1" ht="12" customHeight="1">
      <c r="A43" s="1480"/>
      <c r="B43" s="1576">
        <v>45923</v>
      </c>
      <c r="C43" s="1577" t="s">
        <v>1459</v>
      </c>
      <c r="D43" s="1578" t="s">
        <v>188</v>
      </c>
      <c r="E43" s="1579">
        <v>14</v>
      </c>
      <c r="F43" s="1580" t="s">
        <v>125</v>
      </c>
      <c r="G43" s="1581" t="s">
        <v>145</v>
      </c>
      <c r="H43" s="1582"/>
      <c r="I43" s="1582"/>
      <c r="J43" s="1582"/>
      <c r="K43" s="1583">
        <v>4992.84</v>
      </c>
      <c r="L43" s="1584">
        <f>'통장내역(환율표)'!$D$21</f>
        <v>7.1105999498107622</v>
      </c>
      <c r="M43" s="1608">
        <f t="shared" si="13"/>
        <v>702.16859832381328</v>
      </c>
      <c r="N43" s="1585">
        <f t="shared" si="8"/>
        <v>354695.55000000022</v>
      </c>
      <c r="O43" s="1585">
        <f t="shared" si="9"/>
        <v>49882.661161307064</v>
      </c>
      <c r="P43" s="1591"/>
      <c r="Q43" s="1587"/>
      <c r="R43" s="1587"/>
      <c r="S43" s="1589">
        <f t="shared" si="14"/>
        <v>49882.661161307064</v>
      </c>
      <c r="T43" s="1478"/>
      <c r="U43" s="1479">
        <f t="shared" si="10"/>
        <v>49882.647386095727</v>
      </c>
      <c r="V43" s="1478">
        <f t="shared" si="11"/>
        <v>-1.3775211336906068E-2</v>
      </c>
      <c r="W43" s="1478"/>
      <c r="X43" s="1478"/>
      <c r="Y43" s="1478"/>
      <c r="Z43" s="1478"/>
      <c r="AA43" s="1478"/>
      <c r="AB43" s="1478"/>
      <c r="AC43" s="1478"/>
    </row>
    <row r="44" spans="1:29" s="1479" customFormat="1" ht="12" customHeight="1">
      <c r="A44" s="1480"/>
      <c r="B44" s="1576">
        <v>45923</v>
      </c>
      <c r="C44" s="1577" t="s">
        <v>1451</v>
      </c>
      <c r="D44" s="1578" t="s">
        <v>188</v>
      </c>
      <c r="E44" s="1579">
        <v>15</v>
      </c>
      <c r="F44" s="1580" t="s">
        <v>146</v>
      </c>
      <c r="G44" s="1581" t="s">
        <v>147</v>
      </c>
      <c r="H44" s="1582"/>
      <c r="I44" s="1582"/>
      <c r="J44" s="1582"/>
      <c r="K44" s="1583">
        <v>282.5</v>
      </c>
      <c r="L44" s="1584">
        <f>'통장내역(환율표)'!$D$21</f>
        <v>7.1105999498107622</v>
      </c>
      <c r="M44" s="1608">
        <f t="shared" si="13"/>
        <v>39.729418332347372</v>
      </c>
      <c r="N44" s="1585">
        <f t="shared" si="8"/>
        <v>354413.05000000022</v>
      </c>
      <c r="O44" s="1585">
        <f t="shared" si="9"/>
        <v>49842.931742974717</v>
      </c>
      <c r="P44" s="1591"/>
      <c r="Q44" s="1587"/>
      <c r="R44" s="1587"/>
      <c r="S44" s="1589">
        <f t="shared" si="14"/>
        <v>49842.931742974717</v>
      </c>
      <c r="T44" s="1478"/>
      <c r="U44" s="1479">
        <f t="shared" si="10"/>
        <v>49842.91796776338</v>
      </c>
      <c r="V44" s="1478">
        <f t="shared" si="11"/>
        <v>-1.3775211336906068E-2</v>
      </c>
      <c r="W44" s="1478"/>
      <c r="X44" s="1478"/>
      <c r="Y44" s="1478"/>
      <c r="Z44" s="1478"/>
      <c r="AA44" s="1478"/>
      <c r="AB44" s="1478"/>
      <c r="AC44" s="1478"/>
    </row>
    <row r="45" spans="1:29" s="1479" customFormat="1" ht="12" customHeight="1">
      <c r="A45" s="1480"/>
      <c r="B45" s="1576">
        <v>45923</v>
      </c>
      <c r="C45" s="1577" t="s">
        <v>1403</v>
      </c>
      <c r="D45" s="1578" t="s">
        <v>188</v>
      </c>
      <c r="E45" s="1579">
        <v>16</v>
      </c>
      <c r="F45" s="1580" t="s">
        <v>146</v>
      </c>
      <c r="G45" s="1581" t="s">
        <v>147</v>
      </c>
      <c r="H45" s="1582"/>
      <c r="I45" s="1582"/>
      <c r="J45" s="1582"/>
      <c r="K45" s="1583">
        <v>4956.46</v>
      </c>
      <c r="L45" s="1584">
        <f>'통장내역(환율표)'!$D$21</f>
        <v>7.1105999498107622</v>
      </c>
      <c r="M45" s="1608">
        <f t="shared" si="13"/>
        <v>697.05229305326179</v>
      </c>
      <c r="N45" s="1585">
        <f t="shared" si="8"/>
        <v>349456.5900000002</v>
      </c>
      <c r="O45" s="1585">
        <f t="shared" si="9"/>
        <v>49145.879449921456</v>
      </c>
      <c r="P45" s="1591"/>
      <c r="Q45" s="1587"/>
      <c r="R45" s="1587"/>
      <c r="S45" s="1589">
        <f t="shared" si="14"/>
        <v>49145.879449921456</v>
      </c>
      <c r="T45" s="1478"/>
      <c r="U45" s="1479">
        <f t="shared" si="10"/>
        <v>49145.865674710112</v>
      </c>
      <c r="V45" s="1478">
        <f t="shared" si="11"/>
        <v>-1.3775211344182026E-2</v>
      </c>
      <c r="W45" s="1478"/>
      <c r="X45" s="1478"/>
      <c r="Y45" s="1478"/>
      <c r="Z45" s="1478"/>
      <c r="AA45" s="1478"/>
      <c r="AB45" s="1478"/>
      <c r="AC45" s="1478"/>
    </row>
    <row r="46" spans="1:29" s="1479" customFormat="1" ht="12" customHeight="1">
      <c r="A46" s="1480"/>
      <c r="B46" s="1576">
        <v>45923</v>
      </c>
      <c r="C46" s="1577" t="s">
        <v>1405</v>
      </c>
      <c r="D46" s="1578" t="s">
        <v>188</v>
      </c>
      <c r="E46" s="1579">
        <v>17</v>
      </c>
      <c r="F46" s="1580" t="s">
        <v>107</v>
      </c>
      <c r="G46" s="1581"/>
      <c r="H46" s="1582"/>
      <c r="I46" s="1582"/>
      <c r="J46" s="1582"/>
      <c r="K46" s="1583">
        <v>14.08</v>
      </c>
      <c r="L46" s="1584">
        <f>'통장내역(환율표)'!$D$21</f>
        <v>7.1105999498107622</v>
      </c>
      <c r="M46" s="1608">
        <f t="shared" si="13"/>
        <v>1.9801423367060214</v>
      </c>
      <c r="N46" s="1585">
        <f t="shared" si="8"/>
        <v>349442.51000000018</v>
      </c>
      <c r="O46" s="1585">
        <f t="shared" si="9"/>
        <v>49143.899307584754</v>
      </c>
      <c r="P46" s="1591"/>
      <c r="Q46" s="1587"/>
      <c r="R46" s="1587"/>
      <c r="S46" s="1589">
        <f t="shared" si="14"/>
        <v>49143.899307584754</v>
      </c>
      <c r="T46" s="1478"/>
      <c r="U46" s="1479">
        <f t="shared" si="10"/>
        <v>49143.88553237341</v>
      </c>
      <c r="V46" s="1478">
        <f t="shared" si="11"/>
        <v>-1.3775211344182026E-2</v>
      </c>
      <c r="W46" s="1478"/>
      <c r="X46" s="1478"/>
      <c r="Y46" s="1478"/>
      <c r="Z46" s="1478"/>
      <c r="AA46" s="1478"/>
      <c r="AB46" s="1478"/>
      <c r="AC46" s="1478"/>
    </row>
    <row r="47" spans="1:29" s="1479" customFormat="1" ht="12" customHeight="1">
      <c r="A47" s="1480"/>
      <c r="B47" s="1576">
        <v>45923</v>
      </c>
      <c r="C47" s="1577" t="s">
        <v>1510</v>
      </c>
      <c r="D47" s="1578" t="s">
        <v>188</v>
      </c>
      <c r="E47" s="1579">
        <v>18</v>
      </c>
      <c r="F47" s="1580" t="s">
        <v>21</v>
      </c>
      <c r="G47" s="1581"/>
      <c r="H47" s="1582"/>
      <c r="I47" s="1582"/>
      <c r="J47" s="1582"/>
      <c r="K47" s="1583">
        <v>150</v>
      </c>
      <c r="L47" s="1584">
        <f>'통장내역(환율표)'!$D$21</f>
        <v>7.1105999498107622</v>
      </c>
      <c r="M47" s="1608">
        <f t="shared" si="13"/>
        <v>21.095266371157898</v>
      </c>
      <c r="N47" s="1585">
        <f t="shared" si="8"/>
        <v>349292.51000000018</v>
      </c>
      <c r="O47" s="1585">
        <f t="shared" si="9"/>
        <v>49122.804041213596</v>
      </c>
      <c r="Q47" s="1587"/>
      <c r="R47" s="1587"/>
      <c r="S47" s="1589">
        <f t="shared" si="14"/>
        <v>49122.804041213596</v>
      </c>
      <c r="T47" s="1478"/>
      <c r="V47" s="1478"/>
      <c r="W47" s="1478"/>
      <c r="X47" s="1478"/>
      <c r="Y47" s="1478"/>
      <c r="Z47" s="1478"/>
      <c r="AA47" s="1478"/>
      <c r="AB47" s="1478"/>
      <c r="AC47" s="1478"/>
    </row>
    <row r="48" spans="1:29" s="1479" customFormat="1" ht="12" customHeight="1">
      <c r="A48" s="1480"/>
      <c r="B48" s="1576">
        <v>45923</v>
      </c>
      <c r="C48" s="1577" t="s">
        <v>250</v>
      </c>
      <c r="D48" s="1578" t="s">
        <v>188</v>
      </c>
      <c r="E48" s="1579">
        <v>19</v>
      </c>
      <c r="F48" s="1580" t="s">
        <v>107</v>
      </c>
      <c r="G48" s="1581"/>
      <c r="H48" s="1582"/>
      <c r="I48" s="1582"/>
      <c r="J48" s="1582"/>
      <c r="K48" s="1583">
        <v>7.2</v>
      </c>
      <c r="L48" s="1584">
        <f>'통장내역(환율표)'!$D$21</f>
        <v>7.1105999498107622</v>
      </c>
      <c r="M48" s="1608">
        <f t="shared" si="13"/>
        <v>1.0125727858155791</v>
      </c>
      <c r="N48" s="1585">
        <f t="shared" si="8"/>
        <v>349285.31000000017</v>
      </c>
      <c r="O48" s="1585">
        <f t="shared" si="9"/>
        <v>49121.791468427778</v>
      </c>
      <c r="P48" s="1591"/>
      <c r="Q48" s="1587"/>
      <c r="R48" s="1587"/>
      <c r="S48" s="1589">
        <f t="shared" si="14"/>
        <v>49121.791468427778</v>
      </c>
      <c r="T48" s="1478"/>
      <c r="V48" s="1478"/>
      <c r="W48" s="1478"/>
      <c r="X48" s="1478"/>
      <c r="Y48" s="1478"/>
      <c r="Z48" s="1478"/>
      <c r="AA48" s="1478"/>
      <c r="AB48" s="1478"/>
      <c r="AC48" s="1478"/>
    </row>
    <row r="49" spans="1:29" s="1484" customFormat="1" ht="11.25" customHeight="1">
      <c r="A49" s="1480"/>
      <c r="B49" s="1576">
        <v>45923</v>
      </c>
      <c r="C49" s="1577" t="s">
        <v>1451</v>
      </c>
      <c r="D49" s="1578" t="s">
        <v>1390</v>
      </c>
      <c r="E49" s="1579">
        <v>20</v>
      </c>
      <c r="F49" s="1580" t="s">
        <v>146</v>
      </c>
      <c r="G49" s="1581" t="s">
        <v>147</v>
      </c>
      <c r="H49" s="1594"/>
      <c r="I49" s="1595"/>
      <c r="J49" s="1595"/>
      <c r="K49" s="1583">
        <v>549.02</v>
      </c>
      <c r="L49" s="1584">
        <f>'통장내역(환율표)'!$D$21</f>
        <v>7.1105999498107622</v>
      </c>
      <c r="M49" s="1608">
        <f t="shared" si="13"/>
        <v>77.211487620620716</v>
      </c>
      <c r="N49" s="1585">
        <f t="shared" si="8"/>
        <v>348736.29000000015</v>
      </c>
      <c r="O49" s="1585">
        <f t="shared" si="9"/>
        <v>49044.579980807161</v>
      </c>
      <c r="P49" s="1591"/>
      <c r="Q49" s="1587"/>
      <c r="R49" s="1587"/>
      <c r="S49" s="1589">
        <f t="shared" si="14"/>
        <v>49044.579980807161</v>
      </c>
      <c r="T49" s="1478"/>
      <c r="U49" s="1479">
        <f t="shared" si="10"/>
        <v>49044.566205595809</v>
      </c>
      <c r="V49" s="1478">
        <f t="shared" si="11"/>
        <v>-1.3775211351457983E-2</v>
      </c>
      <c r="W49" s="1478"/>
      <c r="X49" s="1478"/>
      <c r="Y49" s="1478"/>
      <c r="Z49" s="1478"/>
      <c r="AA49" s="1478"/>
      <c r="AB49" s="1478"/>
      <c r="AC49" s="1478"/>
    </row>
    <row r="50" spans="1:29" s="1484" customFormat="1" ht="11.25" customHeight="1">
      <c r="A50" s="1480"/>
      <c r="B50" s="1576">
        <v>45923</v>
      </c>
      <c r="C50" s="1577" t="s">
        <v>1403</v>
      </c>
      <c r="D50" s="1578" t="s">
        <v>1390</v>
      </c>
      <c r="E50" s="1579">
        <v>21</v>
      </c>
      <c r="F50" s="1580" t="s">
        <v>146</v>
      </c>
      <c r="G50" s="1581" t="s">
        <v>147</v>
      </c>
      <c r="H50" s="1594"/>
      <c r="I50" s="1595"/>
      <c r="J50" s="1595"/>
      <c r="K50" s="1583">
        <v>6051</v>
      </c>
      <c r="L50" s="1584">
        <f>'통장내역(환율표)'!$D$21</f>
        <v>7.1105999498107622</v>
      </c>
      <c r="M50" s="1608">
        <f t="shared" si="13"/>
        <v>850.98304541250957</v>
      </c>
      <c r="N50" s="1585">
        <f t="shared" si="8"/>
        <v>342685.29000000015</v>
      </c>
      <c r="O50" s="1585">
        <f t="shared" si="9"/>
        <v>48193.596935394649</v>
      </c>
      <c r="P50" s="1591"/>
      <c r="Q50" s="1587"/>
      <c r="R50" s="1587"/>
      <c r="S50" s="1589">
        <f t="shared" si="14"/>
        <v>48193.596935394649</v>
      </c>
      <c r="T50" s="1478"/>
      <c r="U50" s="1479">
        <f t="shared" si="10"/>
        <v>48193.583160183298</v>
      </c>
      <c r="V50" s="1478">
        <f t="shared" si="11"/>
        <v>-1.3775211351457983E-2</v>
      </c>
      <c r="W50" s="1478"/>
      <c r="X50" s="1478"/>
      <c r="Y50" s="1478"/>
      <c r="Z50" s="1478"/>
      <c r="AA50" s="1478"/>
      <c r="AB50" s="1478"/>
      <c r="AC50" s="1478"/>
    </row>
    <row r="51" spans="1:29" s="1484" customFormat="1" ht="11.25" customHeight="1">
      <c r="A51" s="1480"/>
      <c r="B51" s="1576">
        <v>45923</v>
      </c>
      <c r="C51" s="1577" t="s">
        <v>19</v>
      </c>
      <c r="D51" s="1578" t="s">
        <v>1390</v>
      </c>
      <c r="E51" s="1579">
        <v>22</v>
      </c>
      <c r="F51" s="1580" t="s">
        <v>116</v>
      </c>
      <c r="G51" s="1581" t="s">
        <v>140</v>
      </c>
      <c r="H51" s="1594"/>
      <c r="I51" s="1595"/>
      <c r="J51" s="1595"/>
      <c r="K51" s="1583">
        <v>402</v>
      </c>
      <c r="L51" s="1584">
        <f>'통장내역(환율표)'!$D$21</f>
        <v>7.1105999498107622</v>
      </c>
      <c r="M51" s="1608">
        <f t="shared" si="13"/>
        <v>56.535313874703164</v>
      </c>
      <c r="N51" s="1585">
        <f t="shared" si="8"/>
        <v>342283.29000000015</v>
      </c>
      <c r="O51" s="1585">
        <f t="shared" si="9"/>
        <v>48137.061621519948</v>
      </c>
      <c r="P51" s="1591"/>
      <c r="Q51" s="1587"/>
      <c r="R51" s="1587"/>
      <c r="S51" s="1589">
        <f t="shared" si="14"/>
        <v>48137.061621519948</v>
      </c>
      <c r="T51" s="1478"/>
      <c r="U51" s="1479">
        <f t="shared" si="10"/>
        <v>48137.047846308596</v>
      </c>
      <c r="V51" s="1478">
        <f t="shared" si="11"/>
        <v>-1.3775211351457983E-2</v>
      </c>
      <c r="W51" s="1478"/>
      <c r="X51" s="1478"/>
      <c r="Y51" s="1478"/>
      <c r="Z51" s="1478"/>
      <c r="AA51" s="1478"/>
      <c r="AB51" s="1478"/>
      <c r="AC51" s="1478"/>
    </row>
    <row r="52" spans="1:29" s="1484" customFormat="1" ht="11.25" customHeight="1">
      <c r="A52" s="1480"/>
      <c r="B52" s="1576">
        <v>45923</v>
      </c>
      <c r="C52" s="1577" t="s">
        <v>11</v>
      </c>
      <c r="D52" s="1578" t="s">
        <v>1390</v>
      </c>
      <c r="E52" s="1579">
        <v>23</v>
      </c>
      <c r="F52" s="1580" t="s">
        <v>125</v>
      </c>
      <c r="G52" s="1581" t="s">
        <v>145</v>
      </c>
      <c r="H52" s="1594"/>
      <c r="I52" s="1595"/>
      <c r="J52" s="1595"/>
      <c r="K52" s="1583">
        <v>1504.3</v>
      </c>
      <c r="L52" s="1584">
        <f>'통장내역(환율표)'!$D$21</f>
        <v>7.1105999498107622</v>
      </c>
      <c r="M52" s="1608">
        <f t="shared" si="13"/>
        <v>211.55739468088549</v>
      </c>
      <c r="N52" s="1585">
        <f t="shared" si="8"/>
        <v>340778.99000000017</v>
      </c>
      <c r="O52" s="1585">
        <f t="shared" si="9"/>
        <v>47925.504226839061</v>
      </c>
      <c r="P52" s="1591"/>
      <c r="Q52" s="1587"/>
      <c r="R52" s="1587"/>
      <c r="S52" s="1589">
        <f t="shared" si="14"/>
        <v>47925.504226839061</v>
      </c>
      <c r="T52" s="1478"/>
      <c r="U52" s="1479">
        <f t="shared" si="10"/>
        <v>47925.490451627709</v>
      </c>
      <c r="V52" s="1478">
        <f t="shared" si="11"/>
        <v>-1.3775211351457983E-2</v>
      </c>
      <c r="W52" s="1478"/>
      <c r="X52" s="1478"/>
      <c r="Y52" s="1478"/>
      <c r="Z52" s="1478"/>
      <c r="AA52" s="1478"/>
      <c r="AB52" s="1478"/>
      <c r="AC52" s="1478"/>
    </row>
    <row r="53" spans="1:29" s="1484" customFormat="1" ht="11.25" customHeight="1">
      <c r="A53" s="1480"/>
      <c r="B53" s="1576">
        <v>45923</v>
      </c>
      <c r="C53" s="1577" t="s">
        <v>1602</v>
      </c>
      <c r="D53" s="1578" t="s">
        <v>1390</v>
      </c>
      <c r="E53" s="1579">
        <v>24</v>
      </c>
      <c r="F53" s="1580" t="s">
        <v>107</v>
      </c>
      <c r="G53" s="1581"/>
      <c r="H53" s="1582"/>
      <c r="I53" s="1582"/>
      <c r="J53" s="1582"/>
      <c r="K53" s="1583">
        <v>236.97</v>
      </c>
      <c r="L53" s="1584">
        <f>'통장내역(환율표)'!$D$21</f>
        <v>7.1105999498107622</v>
      </c>
      <c r="M53" s="1608">
        <f t="shared" si="13"/>
        <v>33.326301813155247</v>
      </c>
      <c r="N53" s="1585">
        <f t="shared" si="8"/>
        <v>340542.02000000019</v>
      </c>
      <c r="O53" s="1585">
        <f t="shared" si="9"/>
        <v>47892.177925025906</v>
      </c>
      <c r="P53" s="1591"/>
      <c r="Q53" s="1587"/>
      <c r="R53" s="1587"/>
      <c r="S53" s="1589">
        <f t="shared" si="14"/>
        <v>47892.177925025906</v>
      </c>
      <c r="T53" s="1478"/>
      <c r="U53" s="1479"/>
      <c r="V53" s="1478"/>
      <c r="W53" s="1478"/>
      <c r="X53" s="1478"/>
      <c r="Y53" s="1478"/>
      <c r="Z53" s="1478"/>
      <c r="AA53" s="1478"/>
      <c r="AB53" s="1478"/>
      <c r="AC53" s="1478"/>
    </row>
    <row r="54" spans="1:29" s="1484" customFormat="1" ht="11.25" customHeight="1">
      <c r="A54" s="1480"/>
      <c r="B54" s="1576">
        <v>45923</v>
      </c>
      <c r="C54" s="1596" t="s">
        <v>564</v>
      </c>
      <c r="D54" s="1578" t="s">
        <v>1390</v>
      </c>
      <c r="E54" s="1579">
        <v>25</v>
      </c>
      <c r="F54" s="1580" t="s">
        <v>107</v>
      </c>
      <c r="G54" s="1581"/>
      <c r="H54" s="1582"/>
      <c r="I54" s="1582"/>
      <c r="J54" s="1582"/>
      <c r="K54" s="1583">
        <v>3476</v>
      </c>
      <c r="L54" s="1584">
        <f>'통장내역(환율표)'!$D$21</f>
        <v>7.1105999498107622</v>
      </c>
      <c r="M54" s="1608">
        <f t="shared" si="13"/>
        <v>488.84763937429898</v>
      </c>
      <c r="N54" s="1585">
        <f t="shared" si="8"/>
        <v>337066.02000000019</v>
      </c>
      <c r="O54" s="1585">
        <f t="shared" si="9"/>
        <v>47403.330285651609</v>
      </c>
      <c r="P54" s="1591" t="s">
        <v>1603</v>
      </c>
      <c r="Q54" s="1587"/>
      <c r="R54" s="1587"/>
      <c r="S54" s="1589">
        <f t="shared" si="14"/>
        <v>47403.330285651609</v>
      </c>
      <c r="T54" s="1478"/>
      <c r="U54" s="1479"/>
      <c r="V54" s="1478"/>
      <c r="W54" s="1478"/>
      <c r="X54" s="1478"/>
      <c r="Y54" s="1478"/>
      <c r="Z54" s="1478"/>
      <c r="AA54" s="1478"/>
      <c r="AB54" s="1478"/>
      <c r="AC54" s="1478"/>
    </row>
    <row r="55" spans="1:29" s="1484" customFormat="1" ht="11.25" customHeight="1">
      <c r="A55" s="1480"/>
      <c r="B55" s="1576">
        <v>45923</v>
      </c>
      <c r="C55" s="1577" t="s">
        <v>1405</v>
      </c>
      <c r="D55" s="1578" t="s">
        <v>1390</v>
      </c>
      <c r="E55" s="1579">
        <v>26</v>
      </c>
      <c r="F55" s="1580" t="s">
        <v>107</v>
      </c>
      <c r="G55" s="1581"/>
      <c r="H55" s="1594"/>
      <c r="I55" s="1595"/>
      <c r="J55" s="1595"/>
      <c r="K55" s="1583">
        <v>825</v>
      </c>
      <c r="L55" s="1584">
        <f>'통장내역(환율표)'!$D$21</f>
        <v>7.1105999498107622</v>
      </c>
      <c r="M55" s="1608">
        <f t="shared" si="13"/>
        <v>116.02396504136843</v>
      </c>
      <c r="N55" s="1585">
        <f t="shared" si="8"/>
        <v>336241.02000000019</v>
      </c>
      <c r="O55" s="1585">
        <f t="shared" si="9"/>
        <v>47287.306320610238</v>
      </c>
      <c r="P55" s="1591"/>
      <c r="Q55" s="1587"/>
      <c r="R55" s="1587"/>
      <c r="S55" s="1589">
        <f t="shared" si="14"/>
        <v>47287.306320610238</v>
      </c>
      <c r="T55" s="1478"/>
      <c r="U55" s="1479">
        <f t="shared" si="10"/>
        <v>47287.292545398894</v>
      </c>
      <c r="V55" s="1478">
        <f t="shared" si="11"/>
        <v>-1.3775211344182026E-2</v>
      </c>
      <c r="W55" s="1478"/>
      <c r="X55" s="1478"/>
      <c r="Y55" s="1478"/>
      <c r="Z55" s="1478"/>
      <c r="AA55" s="1478"/>
      <c r="AB55" s="1478"/>
      <c r="AC55" s="1478"/>
    </row>
    <row r="56" spans="1:29" s="1484" customFormat="1" ht="11.25" customHeight="1">
      <c r="A56" s="1480"/>
      <c r="B56" s="1576">
        <v>45923</v>
      </c>
      <c r="C56" s="1577" t="s">
        <v>250</v>
      </c>
      <c r="D56" s="1578" t="s">
        <v>1390</v>
      </c>
      <c r="E56" s="1579">
        <v>27</v>
      </c>
      <c r="F56" s="1580" t="s">
        <v>107</v>
      </c>
      <c r="G56" s="1581"/>
      <c r="H56" s="1582"/>
      <c r="I56" s="1582"/>
      <c r="J56" s="1582"/>
      <c r="K56" s="1583">
        <v>7.2</v>
      </c>
      <c r="L56" s="1584">
        <f>'통장내역(환율표)'!$D$21</f>
        <v>7.1105999498107622</v>
      </c>
      <c r="M56" s="1608">
        <f t="shared" si="13"/>
        <v>1.0125727858155791</v>
      </c>
      <c r="N56" s="1585">
        <f t="shared" si="8"/>
        <v>336233.82000000018</v>
      </c>
      <c r="O56" s="1585">
        <f t="shared" si="9"/>
        <v>47286.29374782442</v>
      </c>
      <c r="P56" s="1591"/>
      <c r="Q56" s="1587"/>
      <c r="R56" s="1587"/>
      <c r="S56" s="1589">
        <f t="shared" si="14"/>
        <v>47286.29374782442</v>
      </c>
      <c r="T56" s="1478"/>
      <c r="U56" s="1479">
        <f t="shared" si="10"/>
        <v>47286.279972613076</v>
      </c>
      <c r="V56" s="1478">
        <f t="shared" si="11"/>
        <v>-1.3775211344182026E-2</v>
      </c>
      <c r="W56" s="1478"/>
      <c r="X56" s="1478"/>
      <c r="Y56" s="1478"/>
      <c r="Z56" s="1478"/>
      <c r="AA56" s="1478"/>
      <c r="AB56" s="1478"/>
      <c r="AC56" s="1478"/>
    </row>
    <row r="57" spans="1:29" s="1484" customFormat="1" ht="11.25" customHeight="1">
      <c r="A57" s="1480"/>
      <c r="B57" s="1576">
        <v>45923</v>
      </c>
      <c r="C57" s="1577" t="s">
        <v>1403</v>
      </c>
      <c r="D57" s="1578" t="s">
        <v>1591</v>
      </c>
      <c r="E57" s="1579">
        <v>28</v>
      </c>
      <c r="F57" s="1580" t="s">
        <v>146</v>
      </c>
      <c r="G57" s="1581" t="s">
        <v>147</v>
      </c>
      <c r="H57" s="1582"/>
      <c r="I57" s="1590"/>
      <c r="J57" s="1582"/>
      <c r="K57" s="1583">
        <v>8751.6999999999989</v>
      </c>
      <c r="L57" s="1584">
        <f>'통장내역(환율표)'!$D$21</f>
        <v>7.1105999498107622</v>
      </c>
      <c r="M57" s="1608">
        <f t="shared" si="13"/>
        <v>1230.7962846697503</v>
      </c>
      <c r="N57" s="1585">
        <f t="shared" si="8"/>
        <v>327482.12000000017</v>
      </c>
      <c r="O57" s="1585">
        <f t="shared" si="9"/>
        <v>46055.497463154672</v>
      </c>
      <c r="P57" s="1591"/>
      <c r="Q57" s="1587"/>
      <c r="R57" s="1587"/>
      <c r="S57" s="1589">
        <f t="shared" si="14"/>
        <v>46055.497463154672</v>
      </c>
      <c r="T57" s="1478"/>
      <c r="U57" s="1479"/>
      <c r="V57" s="1478"/>
      <c r="W57" s="1478"/>
      <c r="X57" s="1478"/>
      <c r="Y57" s="1478"/>
      <c r="Z57" s="1478"/>
      <c r="AA57" s="1478"/>
      <c r="AB57" s="1478"/>
      <c r="AC57" s="1478"/>
    </row>
    <row r="58" spans="1:29" s="1484" customFormat="1" ht="11.25" customHeight="1">
      <c r="A58" s="1480"/>
      <c r="B58" s="1576">
        <v>45923</v>
      </c>
      <c r="C58" s="1577" t="s">
        <v>1451</v>
      </c>
      <c r="D58" s="1578" t="s">
        <v>1591</v>
      </c>
      <c r="E58" s="1579">
        <v>29</v>
      </c>
      <c r="F58" s="1580" t="s">
        <v>146</v>
      </c>
      <c r="G58" s="1581" t="s">
        <v>147</v>
      </c>
      <c r="H58" s="1582"/>
      <c r="I58" s="1582"/>
      <c r="J58" s="1582"/>
      <c r="K58" s="1583">
        <v>677.47</v>
      </c>
      <c r="L58" s="1584">
        <f>'통장내역(환율표)'!$D$21</f>
        <v>7.1105999498107622</v>
      </c>
      <c r="M58" s="1608">
        <f t="shared" si="13"/>
        <v>95.276067389788935</v>
      </c>
      <c r="N58" s="1585">
        <f t="shared" si="8"/>
        <v>326804.6500000002</v>
      </c>
      <c r="O58" s="1585">
        <f t="shared" si="9"/>
        <v>45960.221395764886</v>
      </c>
      <c r="P58" s="1591"/>
      <c r="Q58" s="1587"/>
      <c r="R58" s="1587"/>
      <c r="S58" s="1589">
        <f t="shared" si="14"/>
        <v>45960.221395764886</v>
      </c>
      <c r="T58" s="1478"/>
      <c r="U58" s="1479"/>
      <c r="V58" s="1478"/>
      <c r="W58" s="1478"/>
      <c r="X58" s="1478"/>
      <c r="Y58" s="1478"/>
      <c r="Z58" s="1478"/>
      <c r="AA58" s="1478"/>
      <c r="AB58" s="1478"/>
      <c r="AC58" s="1478"/>
    </row>
    <row r="59" spans="1:29" s="1484" customFormat="1" ht="11.25" customHeight="1">
      <c r="A59" s="1480"/>
      <c r="B59" s="1576">
        <v>45923</v>
      </c>
      <c r="C59" s="1577" t="s">
        <v>11</v>
      </c>
      <c r="D59" s="1578" t="s">
        <v>1591</v>
      </c>
      <c r="E59" s="1579">
        <v>30</v>
      </c>
      <c r="F59" s="1580" t="s">
        <v>11</v>
      </c>
      <c r="G59" s="1581" t="s">
        <v>12</v>
      </c>
      <c r="H59" s="1582"/>
      <c r="I59" s="1582"/>
      <c r="J59" s="1582"/>
      <c r="K59" s="1583">
        <v>246</v>
      </c>
      <c r="L59" s="1584">
        <f>'통장내역(환율표)'!$D$21</f>
        <v>7.1105999498107622</v>
      </c>
      <c r="M59" s="1608">
        <f t="shared" si="13"/>
        <v>34.59623684869895</v>
      </c>
      <c r="N59" s="1585">
        <f t="shared" si="8"/>
        <v>326558.6500000002</v>
      </c>
      <c r="O59" s="1585">
        <f t="shared" si="9"/>
        <v>45925.625158916184</v>
      </c>
      <c r="P59" s="1591"/>
      <c r="Q59" s="1587"/>
      <c r="R59" s="1587"/>
      <c r="S59" s="1589">
        <f t="shared" si="14"/>
        <v>45925.625158916184</v>
      </c>
      <c r="T59" s="1478"/>
      <c r="U59" s="1479"/>
      <c r="V59" s="1478"/>
      <c r="W59" s="1478"/>
      <c r="X59" s="1478"/>
      <c r="Y59" s="1478"/>
      <c r="Z59" s="1478"/>
      <c r="AA59" s="1478"/>
      <c r="AB59" s="1478"/>
      <c r="AC59" s="1478"/>
    </row>
    <row r="60" spans="1:29" s="1484" customFormat="1" ht="11.25" customHeight="1">
      <c r="A60" s="1480"/>
      <c r="B60" s="1576">
        <v>45923</v>
      </c>
      <c r="C60" s="1577" t="s">
        <v>1405</v>
      </c>
      <c r="D60" s="1578" t="s">
        <v>1591</v>
      </c>
      <c r="E60" s="1579">
        <v>31</v>
      </c>
      <c r="F60" s="1580" t="s">
        <v>107</v>
      </c>
      <c r="G60" s="1581"/>
      <c r="H60" s="1582"/>
      <c r="I60" s="1582"/>
      <c r="J60" s="1582"/>
      <c r="K60" s="1583">
        <v>135</v>
      </c>
      <c r="L60" s="1584">
        <f>'통장내역(환율표)'!$D$21</f>
        <v>7.1105999498107622</v>
      </c>
      <c r="M60" s="1608">
        <f t="shared" si="13"/>
        <v>18.985739734042106</v>
      </c>
      <c r="N60" s="1585">
        <f t="shared" si="8"/>
        <v>326423.6500000002</v>
      </c>
      <c r="O60" s="1585">
        <f t="shared" si="9"/>
        <v>45906.639419182138</v>
      </c>
      <c r="P60" s="1591"/>
      <c r="Q60" s="1587"/>
      <c r="R60" s="1587"/>
      <c r="S60" s="1589">
        <f t="shared" si="14"/>
        <v>45906.639419182138</v>
      </c>
      <c r="T60" s="1478"/>
      <c r="U60" s="1479"/>
      <c r="V60" s="1478"/>
      <c r="W60" s="1478"/>
      <c r="X60" s="1478"/>
      <c r="Y60" s="1478"/>
      <c r="Z60" s="1478"/>
      <c r="AA60" s="1478"/>
      <c r="AB60" s="1478"/>
      <c r="AC60" s="1478"/>
    </row>
    <row r="61" spans="1:29" s="1484" customFormat="1" ht="11.25" customHeight="1">
      <c r="A61" s="1480"/>
      <c r="B61" s="1576">
        <v>45923</v>
      </c>
      <c r="C61" s="1577" t="s">
        <v>19</v>
      </c>
      <c r="D61" s="1578" t="s">
        <v>1591</v>
      </c>
      <c r="E61" s="1579">
        <v>32</v>
      </c>
      <c r="F61" s="1580" t="s">
        <v>116</v>
      </c>
      <c r="G61" s="1581" t="s">
        <v>140</v>
      </c>
      <c r="H61" s="1582"/>
      <c r="I61" s="1582"/>
      <c r="J61" s="1582"/>
      <c r="K61" s="1583">
        <v>200</v>
      </c>
      <c r="L61" s="1584">
        <f>'통장내역(환율표)'!$D$21</f>
        <v>7.1105999498107622</v>
      </c>
      <c r="M61" s="1608">
        <f t="shared" si="13"/>
        <v>28.12702182821053</v>
      </c>
      <c r="N61" s="1585">
        <f t="shared" si="8"/>
        <v>326223.6500000002</v>
      </c>
      <c r="O61" s="1585">
        <f t="shared" si="9"/>
        <v>45878.51239735393</v>
      </c>
      <c r="P61" s="1591"/>
      <c r="Q61" s="1587"/>
      <c r="R61" s="1587"/>
      <c r="S61" s="1589">
        <f t="shared" si="14"/>
        <v>45878.51239735393</v>
      </c>
      <c r="T61" s="1478"/>
      <c r="U61" s="1479"/>
      <c r="V61" s="1478"/>
      <c r="W61" s="1478"/>
      <c r="X61" s="1478"/>
      <c r="Y61" s="1478"/>
      <c r="Z61" s="1478"/>
      <c r="AA61" s="1478"/>
      <c r="AB61" s="1478"/>
      <c r="AC61" s="1478"/>
    </row>
    <row r="62" spans="1:29" s="1484" customFormat="1" ht="11.25" customHeight="1">
      <c r="A62" s="1480"/>
      <c r="B62" s="1576">
        <v>45923</v>
      </c>
      <c r="C62" s="1577" t="s">
        <v>250</v>
      </c>
      <c r="D62" s="1578" t="s">
        <v>1591</v>
      </c>
      <c r="E62" s="1579">
        <v>33</v>
      </c>
      <c r="F62" s="1580" t="s">
        <v>107</v>
      </c>
      <c r="G62" s="1581"/>
      <c r="H62" s="1582"/>
      <c r="I62" s="1582"/>
      <c r="J62" s="1582"/>
      <c r="K62" s="1583">
        <v>7.2</v>
      </c>
      <c r="L62" s="1584">
        <f>'통장내역(환율표)'!$D$21</f>
        <v>7.1105999498107622</v>
      </c>
      <c r="M62" s="1608">
        <f t="shared" si="13"/>
        <v>1.0125727858155791</v>
      </c>
      <c r="N62" s="1585">
        <f t="shared" si="8"/>
        <v>326216.45000000019</v>
      </c>
      <c r="O62" s="1585">
        <f t="shared" si="9"/>
        <v>45877.499824568113</v>
      </c>
      <c r="P62" s="1591"/>
      <c r="Q62" s="1587"/>
      <c r="R62" s="1587"/>
      <c r="S62" s="1589">
        <f t="shared" si="14"/>
        <v>45877.499824568113</v>
      </c>
      <c r="T62" s="1478"/>
      <c r="U62" s="1479"/>
      <c r="V62" s="1478"/>
      <c r="W62" s="1478"/>
      <c r="X62" s="1478"/>
      <c r="Y62" s="1478"/>
      <c r="Z62" s="1478"/>
      <c r="AA62" s="1478"/>
      <c r="AB62" s="1478"/>
      <c r="AC62" s="1478"/>
    </row>
    <row r="63" spans="1:29" s="1484" customFormat="1" ht="11.25" customHeight="1">
      <c r="A63" s="1480"/>
      <c r="B63" s="1576">
        <v>45923</v>
      </c>
      <c r="C63" s="1577" t="s">
        <v>1451</v>
      </c>
      <c r="D63" s="1578" t="s">
        <v>1391</v>
      </c>
      <c r="E63" s="1579">
        <v>34</v>
      </c>
      <c r="F63" s="1580" t="s">
        <v>146</v>
      </c>
      <c r="G63" s="1581" t="s">
        <v>147</v>
      </c>
      <c r="H63" s="1582"/>
      <c r="I63" s="1582"/>
      <c r="J63" s="1582"/>
      <c r="K63" s="1583">
        <v>701.44</v>
      </c>
      <c r="L63" s="1584">
        <f>'통장내역(환율표)'!$D$21</f>
        <v>7.1105999498107622</v>
      </c>
      <c r="M63" s="1608">
        <f t="shared" si="13"/>
        <v>98.647090955899969</v>
      </c>
      <c r="N63" s="1585">
        <f t="shared" si="8"/>
        <v>325515.01000000018</v>
      </c>
      <c r="O63" s="1585">
        <f t="shared" si="9"/>
        <v>45778.852733612213</v>
      </c>
      <c r="P63" s="1591"/>
      <c r="Q63" s="1587"/>
      <c r="R63" s="1587"/>
      <c r="S63" s="1589">
        <f t="shared" si="14"/>
        <v>45778.852733612213</v>
      </c>
      <c r="T63" s="1478"/>
      <c r="U63" s="1479">
        <f t="shared" si="10"/>
        <v>45778.838958400869</v>
      </c>
      <c r="V63" s="1478">
        <f t="shared" si="11"/>
        <v>-1.3775211344182026E-2</v>
      </c>
      <c r="W63" s="1478"/>
      <c r="X63" s="1478"/>
      <c r="Y63" s="1478"/>
      <c r="Z63" s="1478"/>
      <c r="AA63" s="1478"/>
      <c r="AB63" s="1478"/>
      <c r="AC63" s="1478"/>
    </row>
    <row r="64" spans="1:29" s="1484" customFormat="1" ht="11.25" customHeight="1">
      <c r="A64" s="1480"/>
      <c r="B64" s="1576">
        <v>45923</v>
      </c>
      <c r="C64" s="1577" t="s">
        <v>19</v>
      </c>
      <c r="D64" s="1578" t="s">
        <v>1391</v>
      </c>
      <c r="E64" s="1579">
        <v>35</v>
      </c>
      <c r="F64" s="1580" t="s">
        <v>116</v>
      </c>
      <c r="G64" s="1581" t="s">
        <v>140</v>
      </c>
      <c r="H64" s="1582"/>
      <c r="I64" s="1582"/>
      <c r="J64" s="1582"/>
      <c r="K64" s="1583">
        <v>498.6</v>
      </c>
      <c r="L64" s="1584">
        <f>'통장내역(환율표)'!$D$21</f>
        <v>7.1105999498107622</v>
      </c>
      <c r="M64" s="1608">
        <f t="shared" si="13"/>
        <v>70.120665417728858</v>
      </c>
      <c r="N64" s="1585">
        <f t="shared" si="8"/>
        <v>325016.41000000021</v>
      </c>
      <c r="O64" s="1585">
        <f t="shared" si="9"/>
        <v>45708.732068194484</v>
      </c>
      <c r="P64" s="1591"/>
      <c r="Q64" s="1587"/>
      <c r="R64" s="1587"/>
      <c r="S64" s="1589">
        <f t="shared" si="14"/>
        <v>45708.732068194484</v>
      </c>
      <c r="T64" s="1478"/>
      <c r="U64" s="1479">
        <f t="shared" si="10"/>
        <v>45708.718292983147</v>
      </c>
      <c r="V64" s="1478">
        <f t="shared" si="11"/>
        <v>-1.3775211336906068E-2</v>
      </c>
      <c r="W64" s="1478"/>
      <c r="X64" s="1478"/>
      <c r="Y64" s="1478"/>
      <c r="Z64" s="1478"/>
      <c r="AA64" s="1478"/>
      <c r="AB64" s="1478"/>
      <c r="AC64" s="1478"/>
    </row>
    <row r="65" spans="1:29" s="1484" customFormat="1" ht="11.25" customHeight="1">
      <c r="A65" s="1480"/>
      <c r="B65" s="1576">
        <v>45923</v>
      </c>
      <c r="C65" s="1577" t="s">
        <v>11</v>
      </c>
      <c r="D65" s="1578" t="s">
        <v>1391</v>
      </c>
      <c r="E65" s="1579">
        <v>36</v>
      </c>
      <c r="F65" s="1580" t="s">
        <v>125</v>
      </c>
      <c r="G65" s="1581" t="s">
        <v>145</v>
      </c>
      <c r="H65" s="1582"/>
      <c r="I65" s="1582"/>
      <c r="J65" s="1582"/>
      <c r="K65" s="1583">
        <v>15749.89</v>
      </c>
      <c r="L65" s="1584">
        <f>'통장내역(환율표)'!$D$21</f>
        <v>7.1105999498107622</v>
      </c>
      <c r="M65" s="1608">
        <f t="shared" si="13"/>
        <v>2214.9874991095735</v>
      </c>
      <c r="N65" s="1585">
        <f t="shared" si="8"/>
        <v>309266.52000000019</v>
      </c>
      <c r="O65" s="1585">
        <f t="shared" si="9"/>
        <v>43493.744569084913</v>
      </c>
      <c r="P65" s="1591"/>
      <c r="Q65" s="1587"/>
      <c r="R65" s="1587"/>
      <c r="S65" s="1589">
        <f t="shared" si="14"/>
        <v>43493.744569084913</v>
      </c>
      <c r="T65" s="1478"/>
      <c r="U65" s="1479">
        <f>N65/L65</f>
        <v>43493.730793873568</v>
      </c>
      <c r="V65" s="1478">
        <f t="shared" si="11"/>
        <v>-1.3775211344182026E-2</v>
      </c>
      <c r="W65" s="1478"/>
      <c r="X65" s="1478"/>
      <c r="Y65" s="1478"/>
      <c r="Z65" s="1478"/>
      <c r="AA65" s="1478"/>
      <c r="AB65" s="1478"/>
      <c r="AC65" s="1478"/>
    </row>
    <row r="66" spans="1:29" s="1484" customFormat="1" ht="11.25" customHeight="1">
      <c r="A66" s="1480"/>
      <c r="B66" s="1576">
        <v>45923</v>
      </c>
      <c r="C66" s="1577" t="s">
        <v>1602</v>
      </c>
      <c r="D66" s="1578" t="s">
        <v>1391</v>
      </c>
      <c r="E66" s="1579">
        <v>37</v>
      </c>
      <c r="F66" s="1580" t="s">
        <v>107</v>
      </c>
      <c r="G66" s="1581"/>
      <c r="H66" s="1582"/>
      <c r="I66" s="1582"/>
      <c r="J66" s="1582"/>
      <c r="K66" s="1583">
        <v>2681.1</v>
      </c>
      <c r="L66" s="1584">
        <f>'통장내역(환율표)'!$D$21</f>
        <v>7.1105999498107622</v>
      </c>
      <c r="M66" s="1608">
        <f t="shared" si="13"/>
        <v>377.05679111807626</v>
      </c>
      <c r="N66" s="1585">
        <f t="shared" si="8"/>
        <v>306585.42000000022</v>
      </c>
      <c r="O66" s="1585">
        <f t="shared" si="9"/>
        <v>43116.687777966836</v>
      </c>
      <c r="P66" s="1597" t="s">
        <v>1604</v>
      </c>
      <c r="Q66" s="1587"/>
      <c r="R66" s="1587"/>
      <c r="S66" s="1589">
        <f t="shared" si="14"/>
        <v>43116.687777966836</v>
      </c>
      <c r="T66" s="1478"/>
      <c r="U66" s="1479">
        <f t="shared" si="10"/>
        <v>43116.674002755492</v>
      </c>
      <c r="V66" s="1478">
        <f t="shared" si="11"/>
        <v>-1.3775211344182026E-2</v>
      </c>
      <c r="W66" s="1478"/>
      <c r="X66" s="1478"/>
      <c r="Y66" s="1478"/>
      <c r="Z66" s="1478"/>
      <c r="AA66" s="1478"/>
      <c r="AB66" s="1478"/>
      <c r="AC66" s="1478"/>
    </row>
    <row r="67" spans="1:29" s="1484" customFormat="1" ht="11.25" customHeight="1">
      <c r="A67" s="1480"/>
      <c r="B67" s="1576">
        <v>45923</v>
      </c>
      <c r="C67" s="1577" t="s">
        <v>1405</v>
      </c>
      <c r="D67" s="1578" t="s">
        <v>1391</v>
      </c>
      <c r="E67" s="1579">
        <v>38</v>
      </c>
      <c r="F67" s="1580" t="s">
        <v>107</v>
      </c>
      <c r="G67" s="1581"/>
      <c r="H67" s="1582"/>
      <c r="I67" s="1582"/>
      <c r="J67" s="1582"/>
      <c r="K67" s="1583">
        <v>38.4</v>
      </c>
      <c r="L67" s="1584">
        <f>'통장내역(환율표)'!$D$21</f>
        <v>7.1105999498107622</v>
      </c>
      <c r="M67" s="1608">
        <f t="shared" si="13"/>
        <v>5.4003881910164218</v>
      </c>
      <c r="N67" s="1585">
        <f t="shared" si="8"/>
        <v>306547.02000000019</v>
      </c>
      <c r="O67" s="1585">
        <f t="shared" si="9"/>
        <v>43111.287389775818</v>
      </c>
      <c r="P67" s="1591"/>
      <c r="Q67" s="1587"/>
      <c r="R67" s="1587"/>
      <c r="S67" s="1589">
        <f t="shared" si="14"/>
        <v>43111.287389775818</v>
      </c>
      <c r="T67" s="1478"/>
      <c r="U67" s="1479"/>
      <c r="V67" s="1478"/>
      <c r="W67" s="1478"/>
      <c r="X67" s="1478"/>
      <c r="Y67" s="1478"/>
      <c r="Z67" s="1478"/>
      <c r="AA67" s="1478"/>
      <c r="AB67" s="1478"/>
      <c r="AC67" s="1478"/>
    </row>
    <row r="68" spans="1:29" s="1484" customFormat="1" ht="11.25" customHeight="1">
      <c r="A68" s="1480"/>
      <c r="B68" s="1576">
        <v>45923</v>
      </c>
      <c r="C68" s="1577" t="s">
        <v>250</v>
      </c>
      <c r="D68" s="1578" t="s">
        <v>1391</v>
      </c>
      <c r="E68" s="1579">
        <v>39</v>
      </c>
      <c r="F68" s="1580" t="s">
        <v>107</v>
      </c>
      <c r="G68" s="1581"/>
      <c r="H68" s="1582"/>
      <c r="I68" s="1582"/>
      <c r="J68" s="1582"/>
      <c r="K68" s="1583">
        <v>7.2</v>
      </c>
      <c r="L68" s="1584">
        <f>'통장내역(환율표)'!$D$21</f>
        <v>7.1105999498107622</v>
      </c>
      <c r="M68" s="1608">
        <f t="shared" si="13"/>
        <v>1.0125727858155791</v>
      </c>
      <c r="N68" s="1585">
        <f t="shared" si="8"/>
        <v>306539.82000000018</v>
      </c>
      <c r="O68" s="1585">
        <f t="shared" si="9"/>
        <v>43110.274816990001</v>
      </c>
      <c r="P68" s="1591"/>
      <c r="Q68" s="1587"/>
      <c r="R68" s="1587"/>
      <c r="S68" s="1589">
        <f t="shared" si="14"/>
        <v>43110.274816990001</v>
      </c>
      <c r="T68" s="1478"/>
      <c r="U68" s="1479">
        <f t="shared" si="10"/>
        <v>43110.261041778656</v>
      </c>
      <c r="V68" s="1478">
        <f t="shared" si="11"/>
        <v>-1.3775211344182026E-2</v>
      </c>
      <c r="W68" s="1478"/>
      <c r="X68" s="1478"/>
      <c r="Y68" s="1478"/>
      <c r="Z68" s="1478"/>
      <c r="AA68" s="1478"/>
      <c r="AB68" s="1478"/>
      <c r="AC68" s="1478"/>
    </row>
    <row r="69" spans="1:29" s="1484" customFormat="1" ht="11.25" customHeight="1">
      <c r="A69" s="1480"/>
      <c r="B69" s="1576">
        <v>45923</v>
      </c>
      <c r="C69" s="1593" t="s">
        <v>11</v>
      </c>
      <c r="D69" s="1578" t="s">
        <v>1551</v>
      </c>
      <c r="E69" s="1579">
        <v>40</v>
      </c>
      <c r="F69" s="1580" t="s">
        <v>125</v>
      </c>
      <c r="G69" s="1581" t="s">
        <v>145</v>
      </c>
      <c r="H69" s="1582"/>
      <c r="I69" s="1590"/>
      <c r="J69" s="1582"/>
      <c r="K69" s="1583">
        <v>4715.7</v>
      </c>
      <c r="L69" s="1584">
        <f>'통장내역(환율표)'!$D$21</f>
        <v>7.1105999498107622</v>
      </c>
      <c r="M69" s="1608">
        <f t="shared" si="13"/>
        <v>663.19298417646189</v>
      </c>
      <c r="N69" s="1585">
        <f t="shared" si="8"/>
        <v>301824.12000000017</v>
      </c>
      <c r="O69" s="1585">
        <f t="shared" si="9"/>
        <v>42447.081832813536</v>
      </c>
      <c r="P69" s="1591"/>
      <c r="Q69" s="1587"/>
      <c r="R69" s="1587"/>
      <c r="S69" s="1589">
        <f t="shared" si="14"/>
        <v>42447.081832813536</v>
      </c>
      <c r="T69" s="1478"/>
      <c r="U69" s="1479"/>
      <c r="V69" s="1478"/>
      <c r="W69" s="1478"/>
      <c r="X69" s="1478"/>
      <c r="Y69" s="1478"/>
      <c r="Z69" s="1478"/>
      <c r="AA69" s="1478"/>
      <c r="AB69" s="1478"/>
      <c r="AC69" s="1478"/>
    </row>
    <row r="70" spans="1:29" s="1484" customFormat="1" ht="11.25" customHeight="1">
      <c r="A70" s="1480"/>
      <c r="B70" s="1576">
        <v>45923</v>
      </c>
      <c r="C70" s="1593" t="s">
        <v>1592</v>
      </c>
      <c r="D70" s="1578" t="s">
        <v>1394</v>
      </c>
      <c r="E70" s="1579">
        <v>41</v>
      </c>
      <c r="F70" s="1580" t="s">
        <v>146</v>
      </c>
      <c r="G70" s="1581" t="s">
        <v>147</v>
      </c>
      <c r="H70" s="1582"/>
      <c r="I70" s="1582"/>
      <c r="J70" s="1582"/>
      <c r="K70" s="1583">
        <v>16258.68</v>
      </c>
      <c r="L70" s="1584">
        <f>'통장내역(환율표)'!$D$21</f>
        <v>7.1105999498107622</v>
      </c>
      <c r="M70" s="1608">
        <f t="shared" si="13"/>
        <v>2286.5412362894499</v>
      </c>
      <c r="N70" s="1585">
        <f t="shared" si="8"/>
        <v>285565.44000000018</v>
      </c>
      <c r="O70" s="1585">
        <f t="shared" si="9"/>
        <v>40160.540596524086</v>
      </c>
      <c r="P70" s="1591"/>
      <c r="Q70" s="1587"/>
      <c r="R70" s="1587"/>
      <c r="S70" s="1589">
        <f t="shared" si="14"/>
        <v>40160.540596524086</v>
      </c>
      <c r="T70" s="1478"/>
      <c r="U70" s="1479"/>
      <c r="V70" s="1478"/>
      <c r="W70" s="1478"/>
      <c r="X70" s="1478"/>
      <c r="Y70" s="1478"/>
      <c r="Z70" s="1478"/>
      <c r="AA70" s="1478"/>
      <c r="AB70" s="1478"/>
      <c r="AC70" s="1478"/>
    </row>
    <row r="71" spans="1:29" s="1484" customFormat="1" ht="11.25" customHeight="1">
      <c r="A71" s="1480"/>
      <c r="B71" s="1576">
        <v>45923</v>
      </c>
      <c r="C71" s="1593" t="s">
        <v>125</v>
      </c>
      <c r="D71" s="1578" t="s">
        <v>1394</v>
      </c>
      <c r="E71" s="1579">
        <v>42</v>
      </c>
      <c r="F71" s="1580" t="s">
        <v>125</v>
      </c>
      <c r="G71" s="1581" t="s">
        <v>145</v>
      </c>
      <c r="H71" s="1582"/>
      <c r="I71" s="1582"/>
      <c r="J71" s="1582"/>
      <c r="K71" s="1583">
        <v>1490</v>
      </c>
      <c r="L71" s="1584">
        <f>'통장내역(환율표)'!$D$21</f>
        <v>7.1105999498107622</v>
      </c>
      <c r="M71" s="1608">
        <f t="shared" si="13"/>
        <v>209.54631262016844</v>
      </c>
      <c r="N71" s="1585">
        <f t="shared" si="8"/>
        <v>284075.44000000018</v>
      </c>
      <c r="O71" s="1585">
        <f t="shared" si="9"/>
        <v>39950.994283903921</v>
      </c>
      <c r="P71" s="1591"/>
      <c r="Q71" s="1587"/>
      <c r="R71" s="1587"/>
      <c r="S71" s="1589">
        <f t="shared" si="14"/>
        <v>39950.994283903921</v>
      </c>
      <c r="T71" s="1478"/>
      <c r="U71" s="1479">
        <f t="shared" si="10"/>
        <v>39950.980508692577</v>
      </c>
      <c r="V71" s="1478">
        <f t="shared" si="11"/>
        <v>-1.3775211344182026E-2</v>
      </c>
      <c r="W71" s="1478"/>
      <c r="X71" s="1478"/>
      <c r="Y71" s="1478"/>
      <c r="Z71" s="1478"/>
      <c r="AA71" s="1478"/>
      <c r="AB71" s="1478"/>
      <c r="AC71" s="1478"/>
    </row>
    <row r="72" spans="1:29" s="1484" customFormat="1" ht="11.25" customHeight="1">
      <c r="A72" s="1480"/>
      <c r="B72" s="1576">
        <v>45923</v>
      </c>
      <c r="C72" s="1593" t="s">
        <v>1451</v>
      </c>
      <c r="D72" s="1578" t="s">
        <v>1394</v>
      </c>
      <c r="E72" s="1579">
        <v>43</v>
      </c>
      <c r="F72" s="1580" t="s">
        <v>146</v>
      </c>
      <c r="G72" s="1581" t="s">
        <v>147</v>
      </c>
      <c r="H72" s="1582"/>
      <c r="I72" s="1582"/>
      <c r="J72" s="1582"/>
      <c r="K72" s="1583">
        <v>452.02</v>
      </c>
      <c r="L72" s="1584">
        <f>'통장내역(환율표)'!$D$21</f>
        <v>7.1105999498107622</v>
      </c>
      <c r="M72" s="1608">
        <f t="shared" si="13"/>
        <v>63.569882033938612</v>
      </c>
      <c r="N72" s="1585">
        <f t="shared" si="8"/>
        <v>283623.42000000016</v>
      </c>
      <c r="O72" s="1585">
        <f t="shared" si="9"/>
        <v>39887.424401869983</v>
      </c>
      <c r="P72" s="1591"/>
      <c r="Q72" s="1587"/>
      <c r="R72" s="1587"/>
      <c r="S72" s="1589">
        <f t="shared" si="14"/>
        <v>39887.424401869983</v>
      </c>
      <c r="T72" s="1478"/>
      <c r="U72" s="1479"/>
      <c r="V72" s="1478"/>
      <c r="W72" s="1478"/>
      <c r="X72" s="1478"/>
      <c r="Y72" s="1478"/>
      <c r="Z72" s="1478"/>
      <c r="AA72" s="1478"/>
      <c r="AB72" s="1478"/>
      <c r="AC72" s="1478"/>
    </row>
    <row r="73" spans="1:29" s="1484" customFormat="1" ht="11.25" customHeight="1">
      <c r="A73" s="1480"/>
      <c r="B73" s="1576">
        <v>45923</v>
      </c>
      <c r="C73" s="1593" t="s">
        <v>116</v>
      </c>
      <c r="D73" s="1578" t="s">
        <v>1394</v>
      </c>
      <c r="E73" s="1579">
        <v>44</v>
      </c>
      <c r="F73" s="1580" t="s">
        <v>116</v>
      </c>
      <c r="G73" s="1581" t="s">
        <v>140</v>
      </c>
      <c r="H73" s="1582"/>
      <c r="I73" s="1582"/>
      <c r="J73" s="1582"/>
      <c r="K73" s="1583">
        <v>289.26</v>
      </c>
      <c r="L73" s="1584">
        <f>'통장내역(환율표)'!$D$21</f>
        <v>7.1105999498107622</v>
      </c>
      <c r="M73" s="1608">
        <f t="shared" si="13"/>
        <v>40.680111670140889</v>
      </c>
      <c r="N73" s="1585">
        <f t="shared" si="8"/>
        <v>283334.16000000015</v>
      </c>
      <c r="O73" s="1585">
        <f t="shared" si="9"/>
        <v>39846.744290199844</v>
      </c>
      <c r="P73" s="1591"/>
      <c r="Q73" s="1587"/>
      <c r="R73" s="1587"/>
      <c r="S73" s="1589">
        <f t="shared" si="14"/>
        <v>39846.744290199844</v>
      </c>
      <c r="T73" s="1478"/>
      <c r="U73" s="1479">
        <f t="shared" si="10"/>
        <v>39846.730514988492</v>
      </c>
      <c r="V73" s="1478">
        <f t="shared" si="11"/>
        <v>-1.3775211351457983E-2</v>
      </c>
      <c r="W73" s="1478"/>
      <c r="X73" s="1478"/>
      <c r="Y73" s="1478"/>
      <c r="Z73" s="1478"/>
      <c r="AA73" s="1478"/>
      <c r="AB73" s="1478"/>
      <c r="AC73" s="1478"/>
    </row>
    <row r="74" spans="1:29" s="1484" customFormat="1" ht="11.25" customHeight="1">
      <c r="A74" s="1480"/>
      <c r="B74" s="1576">
        <v>45923</v>
      </c>
      <c r="C74" s="1593" t="s">
        <v>1602</v>
      </c>
      <c r="D74" s="1578" t="s">
        <v>1394</v>
      </c>
      <c r="E74" s="1579">
        <v>45</v>
      </c>
      <c r="F74" s="1580" t="s">
        <v>107</v>
      </c>
      <c r="G74" s="1581"/>
      <c r="H74" s="1582"/>
      <c r="I74" s="1582"/>
      <c r="J74" s="1582"/>
      <c r="K74" s="1583">
        <v>607.63</v>
      </c>
      <c r="L74" s="1584">
        <f>'통장내역(환율표)'!$D$21</f>
        <v>7.1105999498107622</v>
      </c>
      <c r="M74" s="1608">
        <f t="shared" si="13"/>
        <v>85.45411136737782</v>
      </c>
      <c r="N74" s="1585">
        <f t="shared" si="8"/>
        <v>282726.53000000014</v>
      </c>
      <c r="O74" s="1585">
        <f t="shared" si="9"/>
        <v>39761.290178832467</v>
      </c>
      <c r="P74" s="1591"/>
      <c r="Q74" s="1587"/>
      <c r="R74" s="1587"/>
      <c r="S74" s="1589">
        <f t="shared" si="14"/>
        <v>39761.290178832467</v>
      </c>
      <c r="T74" s="1478"/>
      <c r="U74" s="1479">
        <f t="shared" si="10"/>
        <v>39761.276403621116</v>
      </c>
      <c r="V74" s="1478">
        <f t="shared" si="11"/>
        <v>-1.3775211351457983E-2</v>
      </c>
      <c r="W74" s="1478"/>
      <c r="X74" s="1478"/>
      <c r="Y74" s="1478"/>
      <c r="Z74" s="1478"/>
      <c r="AA74" s="1478"/>
      <c r="AB74" s="1478"/>
      <c r="AC74" s="1478"/>
    </row>
    <row r="75" spans="1:29" s="1484" customFormat="1" ht="11.25" customHeight="1">
      <c r="A75" s="1480"/>
      <c r="B75" s="1576">
        <v>45923</v>
      </c>
      <c r="C75" s="1593" t="s">
        <v>564</v>
      </c>
      <c r="D75" s="1578" t="s">
        <v>1394</v>
      </c>
      <c r="E75" s="1579">
        <v>46</v>
      </c>
      <c r="F75" s="1580" t="s">
        <v>107</v>
      </c>
      <c r="G75" s="1581"/>
      <c r="H75" s="1582"/>
      <c r="I75" s="1582"/>
      <c r="J75" s="1582"/>
      <c r="K75" s="1583">
        <v>128</v>
      </c>
      <c r="L75" s="1584">
        <f>'통장내역(환율표)'!$D$21</f>
        <v>7.1105999498107622</v>
      </c>
      <c r="M75" s="1608">
        <f t="shared" si="13"/>
        <v>18.001293970054739</v>
      </c>
      <c r="N75" s="1585">
        <f t="shared" si="8"/>
        <v>282598.53000000014</v>
      </c>
      <c r="O75" s="1585">
        <f t="shared" si="9"/>
        <v>39743.288884862413</v>
      </c>
      <c r="P75" s="1591"/>
      <c r="Q75" s="1587"/>
      <c r="R75" s="1587"/>
      <c r="S75" s="1589">
        <f t="shared" si="14"/>
        <v>39743.288884862413</v>
      </c>
      <c r="T75" s="1478"/>
      <c r="U75" s="1479">
        <f t="shared" si="10"/>
        <v>39743.275109651062</v>
      </c>
      <c r="V75" s="1478">
        <f t="shared" si="11"/>
        <v>-1.3775211351457983E-2</v>
      </c>
      <c r="W75" s="1478"/>
      <c r="X75" s="1478"/>
      <c r="Y75" s="1478"/>
      <c r="Z75" s="1478"/>
      <c r="AA75" s="1478"/>
      <c r="AB75" s="1478"/>
      <c r="AC75" s="1478"/>
    </row>
    <row r="76" spans="1:29" s="1484" customFormat="1" ht="11.25" customHeight="1">
      <c r="A76" s="1480"/>
      <c r="B76" s="1576">
        <v>45923</v>
      </c>
      <c r="C76" s="1593" t="s">
        <v>250</v>
      </c>
      <c r="D76" s="1578" t="s">
        <v>1394</v>
      </c>
      <c r="E76" s="1579">
        <v>47</v>
      </c>
      <c r="F76" s="1580" t="s">
        <v>107</v>
      </c>
      <c r="G76" s="1581"/>
      <c r="H76" s="1582"/>
      <c r="I76" s="1582"/>
      <c r="J76" s="1582"/>
      <c r="K76" s="1583">
        <v>7.2</v>
      </c>
      <c r="L76" s="1584">
        <f>'통장내역(환율표)'!$D$21</f>
        <v>7.1105999498107622</v>
      </c>
      <c r="M76" s="1608">
        <f t="shared" si="13"/>
        <v>1.0125727858155791</v>
      </c>
      <c r="N76" s="1585">
        <f t="shared" si="8"/>
        <v>282591.33000000013</v>
      </c>
      <c r="O76" s="1585">
        <f t="shared" si="9"/>
        <v>39742.276312076596</v>
      </c>
      <c r="P76" s="1591"/>
      <c r="Q76" s="1587"/>
      <c r="R76" s="1587"/>
      <c r="S76" s="1589">
        <f t="shared" si="14"/>
        <v>39742.276312076596</v>
      </c>
      <c r="T76" s="1478"/>
      <c r="U76" s="1479">
        <f t="shared" si="10"/>
        <v>39742.262536865244</v>
      </c>
      <c r="V76" s="1478">
        <f t="shared" si="11"/>
        <v>-1.3775211351457983E-2</v>
      </c>
      <c r="W76" s="1478"/>
      <c r="X76" s="1478"/>
      <c r="Y76" s="1478"/>
      <c r="Z76" s="1478"/>
      <c r="AA76" s="1478"/>
      <c r="AB76" s="1478"/>
      <c r="AC76" s="1478"/>
    </row>
    <row r="77" spans="1:29" s="1484" customFormat="1" ht="11.25" customHeight="1">
      <c r="A77" s="1480"/>
      <c r="B77" s="1576">
        <v>45923</v>
      </c>
      <c r="C77" s="1593" t="s">
        <v>1406</v>
      </c>
      <c r="D77" s="1578" t="s">
        <v>1392</v>
      </c>
      <c r="E77" s="1579">
        <v>48</v>
      </c>
      <c r="F77" s="1580" t="s">
        <v>146</v>
      </c>
      <c r="G77" s="1581" t="s">
        <v>147</v>
      </c>
      <c r="H77" s="1582"/>
      <c r="I77" s="1582"/>
      <c r="J77" s="1582"/>
      <c r="K77" s="1583">
        <v>3128.84</v>
      </c>
      <c r="L77" s="1584">
        <f>'통장내역(환율표)'!$D$21</f>
        <v>7.1105999498107622</v>
      </c>
      <c r="M77" s="1608">
        <f t="shared" si="13"/>
        <v>440.02475488489119</v>
      </c>
      <c r="N77" s="1585">
        <f t="shared" si="8"/>
        <v>279462.49000000011</v>
      </c>
      <c r="O77" s="1585">
        <f t="shared" si="9"/>
        <v>39302.251557191703</v>
      </c>
      <c r="P77" s="1591"/>
      <c r="Q77" s="1587"/>
      <c r="R77" s="1587"/>
      <c r="S77" s="1589">
        <f t="shared" si="14"/>
        <v>39302.251557191703</v>
      </c>
      <c r="T77" s="1478"/>
      <c r="U77" s="1479">
        <f t="shared" si="10"/>
        <v>39302.237781980351</v>
      </c>
      <c r="V77" s="1478">
        <f t="shared" si="11"/>
        <v>-1.3775211351457983E-2</v>
      </c>
      <c r="W77" s="1478"/>
      <c r="X77" s="1478"/>
      <c r="Y77" s="1478"/>
      <c r="Z77" s="1478"/>
      <c r="AA77" s="1478"/>
      <c r="AB77" s="1478"/>
      <c r="AC77" s="1478"/>
    </row>
    <row r="78" spans="1:29" s="1484" customFormat="1" ht="11.25" customHeight="1">
      <c r="A78" s="1480"/>
      <c r="B78" s="1576">
        <v>45923</v>
      </c>
      <c r="C78" s="1593" t="s">
        <v>1407</v>
      </c>
      <c r="D78" s="1578" t="s">
        <v>1392</v>
      </c>
      <c r="E78" s="1579">
        <v>49</v>
      </c>
      <c r="F78" s="1580" t="s">
        <v>146</v>
      </c>
      <c r="G78" s="1581" t="s">
        <v>147</v>
      </c>
      <c r="H78" s="1582"/>
      <c r="I78" s="1590"/>
      <c r="J78" s="1582"/>
      <c r="K78" s="1583">
        <v>409.5</v>
      </c>
      <c r="L78" s="1584">
        <f>'통장내역(환율표)'!$D$21</f>
        <v>7.1105999498107622</v>
      </c>
      <c r="M78" s="1608">
        <f t="shared" si="13"/>
        <v>57.59007719326106</v>
      </c>
      <c r="N78" s="1585">
        <f t="shared" si="8"/>
        <v>279052.99000000011</v>
      </c>
      <c r="O78" s="1585">
        <f t="shared" si="9"/>
        <v>39244.661479998445</v>
      </c>
      <c r="P78" s="1591"/>
      <c r="Q78" s="1587"/>
      <c r="R78" s="1587"/>
      <c r="S78" s="1589">
        <f t="shared" si="14"/>
        <v>39244.661479998445</v>
      </c>
      <c r="T78" s="1478"/>
      <c r="U78" s="1479">
        <f t="shared" si="10"/>
        <v>39244.647704787087</v>
      </c>
      <c r="V78" s="1478">
        <f t="shared" si="11"/>
        <v>-1.3775211358733941E-2</v>
      </c>
      <c r="W78" s="1478"/>
      <c r="X78" s="1478"/>
      <c r="Y78" s="1478"/>
      <c r="Z78" s="1478"/>
      <c r="AA78" s="1478"/>
      <c r="AB78" s="1478"/>
      <c r="AC78" s="1478"/>
    </row>
    <row r="79" spans="1:29" s="1484" customFormat="1" ht="11.25" customHeight="1">
      <c r="A79" s="1480"/>
      <c r="B79" s="1576">
        <v>45923</v>
      </c>
      <c r="C79" s="1593" t="s">
        <v>1408</v>
      </c>
      <c r="D79" s="1578" t="s">
        <v>1392</v>
      </c>
      <c r="E79" s="1579">
        <v>50</v>
      </c>
      <c r="F79" s="1580" t="s">
        <v>146</v>
      </c>
      <c r="G79" s="1581" t="s">
        <v>147</v>
      </c>
      <c r="H79" s="1582"/>
      <c r="I79" s="1590"/>
      <c r="J79" s="1582"/>
      <c r="K79" s="1583">
        <v>603</v>
      </c>
      <c r="L79" s="1584">
        <f>'통장내역(환율표)'!$D$21</f>
        <v>7.1105999498107622</v>
      </c>
      <c r="M79" s="1608">
        <f t="shared" si="13"/>
        <v>84.802970812054738</v>
      </c>
      <c r="N79" s="1585">
        <f t="shared" si="8"/>
        <v>278449.99000000011</v>
      </c>
      <c r="O79" s="1585">
        <f t="shared" si="9"/>
        <v>39159.858509186393</v>
      </c>
      <c r="P79" s="1591"/>
      <c r="Q79" s="1587"/>
      <c r="R79" s="1587"/>
      <c r="S79" s="1589">
        <f t="shared" si="14"/>
        <v>39159.858509186393</v>
      </c>
      <c r="T79" s="1478"/>
      <c r="U79" s="1479">
        <f t="shared" si="10"/>
        <v>39159.844733975035</v>
      </c>
      <c r="V79" s="1478">
        <f t="shared" si="11"/>
        <v>-1.3775211358733941E-2</v>
      </c>
      <c r="W79" s="1478"/>
      <c r="X79" s="1478"/>
      <c r="Y79" s="1478"/>
      <c r="Z79" s="1478"/>
      <c r="AA79" s="1478"/>
      <c r="AB79" s="1478"/>
      <c r="AC79" s="1478"/>
    </row>
    <row r="80" spans="1:29" s="1484" customFormat="1" ht="11.25" customHeight="1">
      <c r="A80" s="1480"/>
      <c r="B80" s="1576">
        <v>45923</v>
      </c>
      <c r="C80" s="1593" t="s">
        <v>250</v>
      </c>
      <c r="D80" s="1578" t="s">
        <v>1392</v>
      </c>
      <c r="E80" s="1579">
        <v>51</v>
      </c>
      <c r="F80" s="1580" t="s">
        <v>107</v>
      </c>
      <c r="G80" s="1581"/>
      <c r="H80" s="1582"/>
      <c r="I80" s="1590"/>
      <c r="J80" s="1582"/>
      <c r="K80" s="1583">
        <v>3.6</v>
      </c>
      <c r="L80" s="1584">
        <f>'통장내역(환율표)'!$D$21</f>
        <v>7.1105999498107622</v>
      </c>
      <c r="M80" s="1608">
        <f t="shared" si="13"/>
        <v>0.50628639290778954</v>
      </c>
      <c r="N80" s="1585">
        <f t="shared" si="8"/>
        <v>278446.39000000013</v>
      </c>
      <c r="O80" s="1585">
        <f t="shared" si="9"/>
        <v>39159.352222793488</v>
      </c>
      <c r="P80" s="1591"/>
      <c r="Q80" s="1587"/>
      <c r="R80" s="1587"/>
      <c r="S80" s="1589">
        <f t="shared" si="14"/>
        <v>39159.352222793488</v>
      </c>
      <c r="T80" s="1478"/>
      <c r="U80" s="1479">
        <f t="shared" si="10"/>
        <v>39159.338447582129</v>
      </c>
      <c r="V80" s="1478">
        <f t="shared" si="11"/>
        <v>-1.3775211358733941E-2</v>
      </c>
      <c r="W80" s="1478"/>
      <c r="X80" s="1478"/>
      <c r="Y80" s="1478"/>
      <c r="Z80" s="1478"/>
      <c r="AA80" s="1478"/>
      <c r="AB80" s="1478"/>
      <c r="AC80" s="1478"/>
    </row>
    <row r="81" spans="1:29" s="1484" customFormat="1" ht="11.25" customHeight="1">
      <c r="A81" s="1480"/>
      <c r="B81" s="1576">
        <v>45923</v>
      </c>
      <c r="C81" s="1593" t="s">
        <v>1408</v>
      </c>
      <c r="D81" s="1578" t="s">
        <v>1393</v>
      </c>
      <c r="E81" s="1579">
        <v>52</v>
      </c>
      <c r="F81" s="1580" t="s">
        <v>146</v>
      </c>
      <c r="G81" s="1581" t="s">
        <v>147</v>
      </c>
      <c r="H81" s="1594"/>
      <c r="I81" s="1595"/>
      <c r="J81" s="1595"/>
      <c r="K81" s="1583">
        <v>548</v>
      </c>
      <c r="L81" s="1584">
        <f>'통장내역(환율표)'!$D$21</f>
        <v>7.1105999498107622</v>
      </c>
      <c r="M81" s="1608">
        <f t="shared" si="13"/>
        <v>77.068039809296849</v>
      </c>
      <c r="N81" s="1585">
        <f t="shared" si="8"/>
        <v>277898.39000000013</v>
      </c>
      <c r="O81" s="1585">
        <f t="shared" si="9"/>
        <v>39082.284182984193</v>
      </c>
      <c r="P81" s="1591"/>
      <c r="Q81" s="1587"/>
      <c r="R81" s="1587"/>
      <c r="S81" s="1589">
        <f t="shared" si="14"/>
        <v>39082.284182984193</v>
      </c>
      <c r="T81" s="1478"/>
      <c r="U81" s="1479">
        <f t="shared" si="10"/>
        <v>39082.270407772834</v>
      </c>
      <c r="V81" s="1478">
        <f t="shared" si="11"/>
        <v>-1.3775211358733941E-2</v>
      </c>
      <c r="W81" s="1478"/>
      <c r="X81" s="1478"/>
      <c r="Y81" s="1478"/>
      <c r="Z81" s="1478"/>
      <c r="AA81" s="1478"/>
      <c r="AB81" s="1478"/>
      <c r="AC81" s="1478"/>
    </row>
    <row r="82" spans="1:29" s="1484" customFormat="1" ht="11.25" customHeight="1">
      <c r="A82" s="1480"/>
      <c r="B82" s="1576">
        <v>45923</v>
      </c>
      <c r="C82" s="1593" t="s">
        <v>1406</v>
      </c>
      <c r="D82" s="1578" t="s">
        <v>1393</v>
      </c>
      <c r="E82" s="1579">
        <v>53</v>
      </c>
      <c r="F82" s="1580" t="s">
        <v>146</v>
      </c>
      <c r="G82" s="1581" t="s">
        <v>147</v>
      </c>
      <c r="H82" s="1594"/>
      <c r="I82" s="1595"/>
      <c r="J82" s="1595"/>
      <c r="K82" s="1583">
        <v>2737.0599999999995</v>
      </c>
      <c r="L82" s="1584">
        <f>'통장내역(환율표)'!$D$21</f>
        <v>7.1105999498107622</v>
      </c>
      <c r="M82" s="1608">
        <f t="shared" si="13"/>
        <v>384.92673182560947</v>
      </c>
      <c r="N82" s="1585">
        <f t="shared" si="8"/>
        <v>275161.33000000013</v>
      </c>
      <c r="O82" s="1585">
        <f t="shared" si="9"/>
        <v>38697.357451158583</v>
      </c>
      <c r="P82" s="1591"/>
      <c r="Q82" s="1587"/>
      <c r="R82" s="1587"/>
      <c r="S82" s="1589">
        <f t="shared" si="14"/>
        <v>38697.357451158583</v>
      </c>
      <c r="T82" s="1478"/>
      <c r="U82" s="1479">
        <f t="shared" si="10"/>
        <v>38697.343675947224</v>
      </c>
      <c r="V82" s="1478">
        <f t="shared" si="11"/>
        <v>-1.3775211358733941E-2</v>
      </c>
      <c r="W82" s="1478"/>
      <c r="X82" s="1478"/>
      <c r="Y82" s="1478"/>
      <c r="Z82" s="1478"/>
      <c r="AA82" s="1478"/>
      <c r="AB82" s="1478"/>
      <c r="AC82" s="1478"/>
    </row>
    <row r="83" spans="1:29" s="1484" customFormat="1" ht="11.25" customHeight="1">
      <c r="A83" s="1480"/>
      <c r="B83" s="1576">
        <v>45923</v>
      </c>
      <c r="C83" s="1593" t="s">
        <v>1407</v>
      </c>
      <c r="D83" s="1578" t="s">
        <v>1393</v>
      </c>
      <c r="E83" s="1579">
        <v>54</v>
      </c>
      <c r="F83" s="1580" t="s">
        <v>146</v>
      </c>
      <c r="G83" s="1581" t="s">
        <v>147</v>
      </c>
      <c r="H83" s="1594"/>
      <c r="I83" s="1595"/>
      <c r="J83" s="1595"/>
      <c r="K83" s="1583">
        <v>148</v>
      </c>
      <c r="L83" s="1584">
        <f>'통장내역(환율표)'!$D$21</f>
        <v>7.1105999498107622</v>
      </c>
      <c r="M83" s="1608">
        <f t="shared" si="13"/>
        <v>20.813996152875792</v>
      </c>
      <c r="N83" s="1585">
        <f t="shared" si="8"/>
        <v>275013.33000000013</v>
      </c>
      <c r="O83" s="1585">
        <f t="shared" si="9"/>
        <v>38676.543455005711</v>
      </c>
      <c r="P83" s="1591"/>
      <c r="Q83" s="1587"/>
      <c r="R83" s="1587"/>
      <c r="S83" s="1589">
        <f t="shared" si="14"/>
        <v>38676.543455005711</v>
      </c>
      <c r="T83" s="1478"/>
      <c r="U83" s="1479">
        <f t="shared" si="10"/>
        <v>38676.529679794345</v>
      </c>
      <c r="V83" s="1478">
        <f t="shared" si="11"/>
        <v>-1.3775211366009898E-2</v>
      </c>
      <c r="W83" s="1478"/>
      <c r="X83" s="1478"/>
      <c r="Y83" s="1478"/>
      <c r="Z83" s="1478"/>
      <c r="AA83" s="1478"/>
      <c r="AB83" s="1478"/>
      <c r="AC83" s="1478"/>
    </row>
    <row r="84" spans="1:29" s="1484" customFormat="1" ht="11.25" customHeight="1">
      <c r="A84" s="1480"/>
      <c r="B84" s="1576">
        <v>45923</v>
      </c>
      <c r="C84" s="1593" t="s">
        <v>250</v>
      </c>
      <c r="D84" s="1578" t="s">
        <v>1393</v>
      </c>
      <c r="E84" s="1579">
        <v>55</v>
      </c>
      <c r="F84" s="1580" t="s">
        <v>107</v>
      </c>
      <c r="G84" s="1581"/>
      <c r="H84" s="1594"/>
      <c r="I84" s="1595"/>
      <c r="J84" s="1595"/>
      <c r="K84" s="1583">
        <v>3.6</v>
      </c>
      <c r="L84" s="1584">
        <f>'통장내역(환율표)'!$D$21</f>
        <v>7.1105999498107622</v>
      </c>
      <c r="M84" s="1608">
        <f t="shared" si="13"/>
        <v>0.50628639290778954</v>
      </c>
      <c r="N84" s="1585">
        <f t="shared" si="8"/>
        <v>275009.73000000016</v>
      </c>
      <c r="O84" s="1585">
        <f t="shared" si="9"/>
        <v>38676.037168612806</v>
      </c>
      <c r="P84" s="1591"/>
      <c r="Q84" s="1587"/>
      <c r="R84" s="1587"/>
      <c r="S84" s="1589">
        <f t="shared" si="14"/>
        <v>38676.037168612806</v>
      </c>
      <c r="T84" s="1478"/>
      <c r="U84" s="1479">
        <f t="shared" si="10"/>
        <v>38676.02339340144</v>
      </c>
      <c r="V84" s="1478">
        <f t="shared" si="11"/>
        <v>-1.3775211366009898E-2</v>
      </c>
      <c r="W84" s="1478"/>
      <c r="X84" s="1478"/>
      <c r="Y84" s="1478"/>
      <c r="Z84" s="1478"/>
      <c r="AA84" s="1478"/>
      <c r="AB84" s="1478"/>
      <c r="AC84" s="1478"/>
    </row>
    <row r="85" spans="1:29" s="1484" customFormat="1" ht="11.25" customHeight="1">
      <c r="A85" s="1480"/>
      <c r="B85" s="1576">
        <v>45923</v>
      </c>
      <c r="C85" s="1593" t="s">
        <v>1406</v>
      </c>
      <c r="D85" s="1578" t="s">
        <v>1460</v>
      </c>
      <c r="E85" s="1579">
        <v>56</v>
      </c>
      <c r="F85" s="1580" t="s">
        <v>146</v>
      </c>
      <c r="G85" s="1581" t="s">
        <v>147</v>
      </c>
      <c r="H85" s="1594"/>
      <c r="I85" s="1595"/>
      <c r="J85" s="1595"/>
      <c r="K85" s="1583">
        <v>2152.9699999999998</v>
      </c>
      <c r="L85" s="1584">
        <f>'통장내역(환율표)'!$D$21</f>
        <v>7.1105999498107622</v>
      </c>
      <c r="M85" s="1608">
        <f t="shared" si="13"/>
        <v>302.78317092741207</v>
      </c>
      <c r="N85" s="1585">
        <f t="shared" ref="N85:N94" si="16">N84+H85-K85</f>
        <v>272856.76000000018</v>
      </c>
      <c r="O85" s="1585">
        <f t="shared" ref="O85:O94" si="17">O84+J85-M85</f>
        <v>38373.253997685395</v>
      </c>
      <c r="P85" s="1591"/>
      <c r="Q85" s="1587"/>
      <c r="R85" s="1587"/>
      <c r="S85" s="1589">
        <f t="shared" si="14"/>
        <v>38373.253997685395</v>
      </c>
      <c r="T85" s="1478"/>
      <c r="U85" s="1479">
        <f t="shared" si="10"/>
        <v>38373.240222474036</v>
      </c>
      <c r="V85" s="1478">
        <f t="shared" si="11"/>
        <v>-1.3775211358733941E-2</v>
      </c>
      <c r="W85" s="1478"/>
      <c r="X85" s="1478"/>
      <c r="Y85" s="1478"/>
      <c r="Z85" s="1478"/>
      <c r="AA85" s="1478"/>
      <c r="AB85" s="1478"/>
      <c r="AC85" s="1478"/>
    </row>
    <row r="86" spans="1:29" s="1484" customFormat="1" ht="11.25" customHeight="1">
      <c r="A86" s="1480"/>
      <c r="B86" s="1576">
        <v>45923</v>
      </c>
      <c r="C86" s="1593" t="s">
        <v>1408</v>
      </c>
      <c r="D86" s="1578" t="s">
        <v>1460</v>
      </c>
      <c r="E86" s="1579">
        <v>57</v>
      </c>
      <c r="F86" s="1580" t="s">
        <v>146</v>
      </c>
      <c r="G86" s="1581" t="s">
        <v>147</v>
      </c>
      <c r="H86" s="1594"/>
      <c r="I86" s="1595"/>
      <c r="J86" s="1595"/>
      <c r="K86" s="1583">
        <v>343</v>
      </c>
      <c r="L86" s="1584">
        <f>'통장내역(환율표)'!$D$21</f>
        <v>7.1105999498107622</v>
      </c>
      <c r="M86" s="1608">
        <f t="shared" si="13"/>
        <v>48.237842435381054</v>
      </c>
      <c r="N86" s="1585">
        <f t="shared" si="16"/>
        <v>272513.76000000018</v>
      </c>
      <c r="O86" s="1585">
        <f t="shared" si="17"/>
        <v>38325.016155250014</v>
      </c>
      <c r="P86" s="1591"/>
      <c r="Q86" s="1587"/>
      <c r="R86" s="1587"/>
      <c r="S86" s="1589">
        <f t="shared" si="14"/>
        <v>38325.016155250014</v>
      </c>
      <c r="T86" s="1478"/>
      <c r="U86" s="1479">
        <f t="shared" si="10"/>
        <v>38325.002380038655</v>
      </c>
      <c r="V86" s="1478">
        <f t="shared" si="11"/>
        <v>-1.3775211358733941E-2</v>
      </c>
      <c r="W86" s="1478"/>
      <c r="X86" s="1478"/>
      <c r="Y86" s="1478"/>
      <c r="Z86" s="1478"/>
      <c r="AA86" s="1478"/>
      <c r="AB86" s="1478"/>
      <c r="AC86" s="1478"/>
    </row>
    <row r="87" spans="1:29" s="1484" customFormat="1" ht="11.25" customHeight="1">
      <c r="A87" s="1480"/>
      <c r="B87" s="1576">
        <v>45923</v>
      </c>
      <c r="C87" s="1593" t="s">
        <v>1407</v>
      </c>
      <c r="D87" s="1578" t="s">
        <v>1460</v>
      </c>
      <c r="E87" s="1579">
        <v>58</v>
      </c>
      <c r="F87" s="1580" t="s">
        <v>146</v>
      </c>
      <c r="G87" s="1581" t="s">
        <v>147</v>
      </c>
      <c r="H87" s="1594"/>
      <c r="I87" s="1595"/>
      <c r="J87" s="1595"/>
      <c r="K87" s="1583">
        <v>235</v>
      </c>
      <c r="L87" s="1584">
        <f>'통장내역(환율표)'!$D$21</f>
        <v>7.1105999498107622</v>
      </c>
      <c r="M87" s="1608">
        <f t="shared" si="13"/>
        <v>33.049250648147371</v>
      </c>
      <c r="N87" s="1585">
        <f t="shared" si="16"/>
        <v>272278.76000000018</v>
      </c>
      <c r="O87" s="1585">
        <f t="shared" si="17"/>
        <v>38291.966904601868</v>
      </c>
      <c r="P87" s="1591"/>
      <c r="Q87" s="1587"/>
      <c r="R87" s="1587"/>
      <c r="S87" s="1589">
        <f t="shared" si="14"/>
        <v>38291.966904601868</v>
      </c>
      <c r="T87" s="1478"/>
      <c r="U87" s="1479">
        <f t="shared" si="10"/>
        <v>38291.953129390502</v>
      </c>
      <c r="V87" s="1478">
        <f t="shared" si="11"/>
        <v>-1.3775211366009898E-2</v>
      </c>
      <c r="W87" s="1478"/>
      <c r="X87" s="1478"/>
      <c r="Y87" s="1478"/>
      <c r="Z87" s="1478"/>
      <c r="AA87" s="1478"/>
      <c r="AB87" s="1478"/>
      <c r="AC87" s="1478"/>
    </row>
    <row r="88" spans="1:29" s="1484" customFormat="1" ht="11.25" customHeight="1">
      <c r="A88" s="1480"/>
      <c r="B88" s="1576">
        <v>45923</v>
      </c>
      <c r="C88" s="1593" t="s">
        <v>250</v>
      </c>
      <c r="D88" s="1578" t="s">
        <v>1460</v>
      </c>
      <c r="E88" s="1579">
        <v>59</v>
      </c>
      <c r="F88" s="1580" t="s">
        <v>107</v>
      </c>
      <c r="G88" s="1581"/>
      <c r="H88" s="1582"/>
      <c r="I88" s="1590"/>
      <c r="J88" s="1582"/>
      <c r="K88" s="1583">
        <v>3.6</v>
      </c>
      <c r="L88" s="1584">
        <f>'통장내역(환율표)'!$D$21</f>
        <v>7.1105999498107622</v>
      </c>
      <c r="M88" s="1608">
        <f t="shared" si="13"/>
        <v>0.50628639290778954</v>
      </c>
      <c r="N88" s="1585">
        <f t="shared" si="16"/>
        <v>272275.16000000021</v>
      </c>
      <c r="O88" s="1585">
        <f t="shared" si="17"/>
        <v>38291.460618208963</v>
      </c>
      <c r="P88" s="1591"/>
      <c r="Q88" s="1587"/>
      <c r="R88" s="1587"/>
      <c r="S88" s="1589">
        <f t="shared" si="14"/>
        <v>38291.460618208963</v>
      </c>
      <c r="T88" s="1478"/>
      <c r="U88" s="1479">
        <f t="shared" si="10"/>
        <v>38291.446842997604</v>
      </c>
      <c r="V88" s="1478">
        <f t="shared" si="11"/>
        <v>-1.3775211358733941E-2</v>
      </c>
      <c r="W88" s="1478"/>
      <c r="X88" s="1478"/>
      <c r="Y88" s="1478"/>
      <c r="Z88" s="1478"/>
      <c r="AA88" s="1478"/>
      <c r="AB88" s="1478"/>
      <c r="AC88" s="1478"/>
    </row>
    <row r="89" spans="1:29" s="1484" customFormat="1" ht="11.25" customHeight="1">
      <c r="A89" s="1480"/>
      <c r="B89" s="1576">
        <v>45923</v>
      </c>
      <c r="C89" s="1593" t="s">
        <v>11</v>
      </c>
      <c r="D89" s="1578" t="s">
        <v>211</v>
      </c>
      <c r="E89" s="1579">
        <v>60</v>
      </c>
      <c r="F89" s="1580" t="s">
        <v>125</v>
      </c>
      <c r="G89" s="1581" t="s">
        <v>145</v>
      </c>
      <c r="H89" s="1582"/>
      <c r="I89" s="1590"/>
      <c r="J89" s="1582"/>
      <c r="K89" s="1583">
        <v>16243</v>
      </c>
      <c r="L89" s="1584">
        <f>'통장내역(환율표)'!$D$21</f>
        <v>7.1105999498107622</v>
      </c>
      <c r="M89" s="1608">
        <f t="shared" si="13"/>
        <v>2284.3360777781181</v>
      </c>
      <c r="N89" s="1585">
        <f t="shared" si="16"/>
        <v>256032.16000000021</v>
      </c>
      <c r="O89" s="1585">
        <f t="shared" si="17"/>
        <v>36007.124540430843</v>
      </c>
      <c r="P89" s="1591"/>
      <c r="Q89" s="1587"/>
      <c r="R89" s="1587"/>
      <c r="S89" s="1589">
        <f t="shared" si="14"/>
        <v>36007.124540430843</v>
      </c>
      <c r="T89" s="1478"/>
      <c r="U89" s="1479"/>
      <c r="V89" s="1478"/>
      <c r="W89" s="1478"/>
      <c r="X89" s="1478"/>
      <c r="Y89" s="1478"/>
      <c r="Z89" s="1478"/>
      <c r="AA89" s="1478"/>
      <c r="AB89" s="1478"/>
      <c r="AC89" s="1478"/>
    </row>
    <row r="90" spans="1:29" s="1484" customFormat="1" ht="11.25" customHeight="1">
      <c r="A90" s="1480"/>
      <c r="B90" s="1576">
        <v>45923</v>
      </c>
      <c r="C90" s="1577" t="s">
        <v>1451</v>
      </c>
      <c r="D90" s="1578" t="s">
        <v>211</v>
      </c>
      <c r="E90" s="1579">
        <v>61</v>
      </c>
      <c r="F90" s="1580" t="s">
        <v>146</v>
      </c>
      <c r="G90" s="1581" t="s">
        <v>147</v>
      </c>
      <c r="H90" s="1582"/>
      <c r="I90" s="1590"/>
      <c r="J90" s="1582"/>
      <c r="K90" s="1583">
        <v>107.96</v>
      </c>
      <c r="L90" s="1584">
        <f>'통장내역(환율표)'!$D$21</f>
        <v>7.1105999498107622</v>
      </c>
      <c r="M90" s="1608">
        <f t="shared" ref="M90:M94" si="18">K90/L90</f>
        <v>15.182966382868043</v>
      </c>
      <c r="N90" s="1585">
        <f t="shared" si="16"/>
        <v>255924.20000000022</v>
      </c>
      <c r="O90" s="1585">
        <f t="shared" si="17"/>
        <v>35991.941574047974</v>
      </c>
      <c r="P90" s="1591"/>
      <c r="Q90" s="1587"/>
      <c r="R90" s="1587"/>
      <c r="S90" s="1589">
        <f t="shared" si="14"/>
        <v>35991.941574047974</v>
      </c>
      <c r="T90" s="1478"/>
      <c r="U90" s="1479"/>
      <c r="V90" s="1478"/>
      <c r="W90" s="1478"/>
      <c r="X90" s="1478"/>
      <c r="Y90" s="1478"/>
      <c r="Z90" s="1478"/>
      <c r="AA90" s="1478"/>
      <c r="AB90" s="1478"/>
      <c r="AC90" s="1478"/>
    </row>
    <row r="91" spans="1:29" s="1484" customFormat="1" ht="11.25" customHeight="1">
      <c r="A91" s="1480"/>
      <c r="B91" s="1576">
        <v>45923</v>
      </c>
      <c r="C91" s="1598" t="s">
        <v>1605</v>
      </c>
      <c r="D91" s="1578" t="s">
        <v>211</v>
      </c>
      <c r="E91" s="1579">
        <v>62</v>
      </c>
      <c r="F91" s="1580" t="s">
        <v>107</v>
      </c>
      <c r="G91" s="1581"/>
      <c r="H91" s="1582"/>
      <c r="I91" s="1590"/>
      <c r="J91" s="1582"/>
      <c r="K91" s="1583">
        <v>8748</v>
      </c>
      <c r="L91" s="1584">
        <f>'통장내역(환율표)'!$D$21</f>
        <v>7.1105999498107622</v>
      </c>
      <c r="M91" s="1608">
        <f t="shared" si="18"/>
        <v>1230.2759347659285</v>
      </c>
      <c r="N91" s="1585">
        <f t="shared" si="16"/>
        <v>247176.20000000022</v>
      </c>
      <c r="O91" s="1585">
        <f t="shared" si="17"/>
        <v>34761.665639282044</v>
      </c>
      <c r="P91" s="1591" t="s">
        <v>1594</v>
      </c>
      <c r="Q91" s="1587"/>
      <c r="R91" s="1587"/>
      <c r="S91" s="1589">
        <f t="shared" ref="S91:S94" si="19">S90-M91+J91</f>
        <v>34761.665639282044</v>
      </c>
      <c r="T91" s="1478"/>
      <c r="U91" s="1479"/>
      <c r="V91" s="1478"/>
      <c r="W91" s="1478"/>
      <c r="X91" s="1478"/>
      <c r="Y91" s="1478"/>
      <c r="Z91" s="1478"/>
      <c r="AA91" s="1478"/>
      <c r="AB91" s="1478"/>
      <c r="AC91" s="1478"/>
    </row>
    <row r="92" spans="1:29" s="1484" customFormat="1" ht="11.25" customHeight="1">
      <c r="A92" s="1480"/>
      <c r="B92" s="1576">
        <v>45923</v>
      </c>
      <c r="C92" s="1593" t="s">
        <v>250</v>
      </c>
      <c r="D92" s="1578" t="s">
        <v>211</v>
      </c>
      <c r="E92" s="1579">
        <v>63</v>
      </c>
      <c r="F92" s="1580" t="s">
        <v>107</v>
      </c>
      <c r="G92" s="1581"/>
      <c r="H92" s="1582"/>
      <c r="I92" s="1590"/>
      <c r="J92" s="1582"/>
      <c r="K92" s="1583">
        <v>7.2</v>
      </c>
      <c r="L92" s="1584">
        <f>'통장내역(환율표)'!$D$21</f>
        <v>7.1105999498107622</v>
      </c>
      <c r="M92" s="1608">
        <f t="shared" si="18"/>
        <v>1.0125727858155791</v>
      </c>
      <c r="N92" s="1585">
        <f t="shared" si="16"/>
        <v>247169.0000000002</v>
      </c>
      <c r="O92" s="1585">
        <f t="shared" si="17"/>
        <v>34760.653066496227</v>
      </c>
      <c r="P92" s="1591"/>
      <c r="Q92" s="1587"/>
      <c r="R92" s="1587"/>
      <c r="S92" s="1589">
        <f t="shared" si="19"/>
        <v>34760.653066496227</v>
      </c>
      <c r="T92" s="1478"/>
      <c r="U92" s="1479"/>
      <c r="V92" s="1478"/>
      <c r="W92" s="1478"/>
      <c r="X92" s="1478"/>
      <c r="Y92" s="1478"/>
      <c r="Z92" s="1478"/>
      <c r="AA92" s="1478"/>
      <c r="AB92" s="1478"/>
      <c r="AC92" s="1478"/>
    </row>
    <row r="93" spans="1:29" s="1479" customFormat="1" ht="12" customHeight="1">
      <c r="A93" s="1480"/>
      <c r="B93" s="1576">
        <v>45923</v>
      </c>
      <c r="C93" s="1593" t="s">
        <v>1462</v>
      </c>
      <c r="D93" s="1578"/>
      <c r="E93" s="1579">
        <v>64</v>
      </c>
      <c r="F93" s="1580" t="s">
        <v>107</v>
      </c>
      <c r="G93" s="1581"/>
      <c r="H93" s="1582"/>
      <c r="I93" s="1590"/>
      <c r="J93" s="1582"/>
      <c r="K93" s="1583">
        <v>245893.61</v>
      </c>
      <c r="L93" s="1584">
        <f>'통장내역(환율표)'!$D$21</f>
        <v>7.1105999498107622</v>
      </c>
      <c r="M93" s="1608">
        <f t="shared" si="18"/>
        <v>34581.274679437432</v>
      </c>
      <c r="N93" s="1585">
        <f t="shared" si="16"/>
        <v>1275.3900000002177</v>
      </c>
      <c r="O93" s="1585">
        <f t="shared" si="17"/>
        <v>179.37838705879403</v>
      </c>
      <c r="P93" s="1591"/>
      <c r="Q93" s="1587"/>
      <c r="R93" s="1587"/>
      <c r="S93" s="1589">
        <f t="shared" si="19"/>
        <v>179.37838705879403</v>
      </c>
      <c r="T93" s="1478"/>
      <c r="V93" s="1478"/>
      <c r="W93" s="1478"/>
      <c r="X93" s="1478"/>
      <c r="Y93" s="1478"/>
      <c r="Z93" s="1478"/>
      <c r="AA93" s="1478"/>
      <c r="AB93" s="1478"/>
      <c r="AC93" s="1478"/>
    </row>
    <row r="94" spans="1:29" s="1479" customFormat="1" ht="12" customHeight="1">
      <c r="A94" s="1480"/>
      <c r="B94" s="1576">
        <v>45923</v>
      </c>
      <c r="C94" s="1593" t="s">
        <v>250</v>
      </c>
      <c r="D94" s="1578"/>
      <c r="E94" s="1579">
        <v>65</v>
      </c>
      <c r="F94" s="1580" t="s">
        <v>107</v>
      </c>
      <c r="G94" s="1581"/>
      <c r="H94" s="1582"/>
      <c r="I94" s="1590"/>
      <c r="J94" s="1582"/>
      <c r="K94" s="1583">
        <v>12</v>
      </c>
      <c r="L94" s="1584">
        <f>'통장내역(환율표)'!$D$21</f>
        <v>7.1105999498107622</v>
      </c>
      <c r="M94" s="1608">
        <f t="shared" si="18"/>
        <v>1.6876213096926318</v>
      </c>
      <c r="N94" s="1585">
        <f t="shared" si="16"/>
        <v>1263.3900000002177</v>
      </c>
      <c r="O94" s="1585">
        <f t="shared" si="17"/>
        <v>177.69076574910139</v>
      </c>
      <c r="P94" s="1591"/>
      <c r="Q94" s="1587"/>
      <c r="R94" s="1587"/>
      <c r="S94" s="1589">
        <f t="shared" si="19"/>
        <v>177.69076574910139</v>
      </c>
      <c r="T94" s="1478"/>
      <c r="V94" s="1478"/>
      <c r="W94" s="1478"/>
      <c r="X94" s="1478"/>
      <c r="Y94" s="1478"/>
      <c r="Z94" s="1478"/>
      <c r="AA94" s="1478"/>
      <c r="AB94" s="1478"/>
      <c r="AC94" s="1478"/>
    </row>
    <row r="95" spans="1:29" ht="11.25" customHeight="1">
      <c r="J95" s="1478"/>
      <c r="K95" s="1478"/>
      <c r="M95" s="1612"/>
      <c r="N95" s="1612"/>
      <c r="O95" s="1612"/>
      <c r="S95" s="1484"/>
    </row>
    <row r="96" spans="1:29" ht="11.25" customHeight="1">
      <c r="J96" s="1478"/>
      <c r="K96" s="1478"/>
    </row>
    <row r="97" spans="10:11" ht="11.25" customHeight="1">
      <c r="J97" s="1478"/>
      <c r="K97" s="1478"/>
    </row>
  </sheetData>
  <autoFilter ref="B18:R94" xr:uid="{00000000-0009-0000-0000-000001000000}">
    <filterColumn colId="14" showButton="0"/>
    <sortState xmlns:xlrd2="http://schemas.microsoft.com/office/spreadsheetml/2017/richdata2" ref="B19:R94">
      <sortCondition sortBy="cellColor" ref="M18:M94" dxfId="8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E859-8CBB-4B84-986A-15AFF61DB1D0}">
  <sheetPr>
    <tabColor rgb="FFFFC000"/>
  </sheetPr>
  <dimension ref="A1:AC91"/>
  <sheetViews>
    <sheetView showGridLines="0" topLeftCell="A47" zoomScaleNormal="100" workbookViewId="0">
      <selection activeCell="H3" sqref="H3"/>
    </sheetView>
  </sheetViews>
  <sheetFormatPr defaultColWidth="9" defaultRowHeight="11.25" customHeight="1"/>
  <cols>
    <col min="1" max="1" width="1.69921875" style="1480" customWidth="1"/>
    <col min="2" max="2" width="9.69921875" style="1539" customWidth="1"/>
    <col min="3" max="3" width="24" style="1482" customWidth="1"/>
    <col min="4" max="4" width="15.69921875" style="1478" customWidth="1"/>
    <col min="5" max="5" width="8.5" style="1478" customWidth="1"/>
    <col min="6" max="6" width="15.09765625" style="1478" customWidth="1"/>
    <col min="7" max="7" width="9.796875" style="1484" customWidth="1"/>
    <col min="8" max="8" width="9.69921875" style="1478" customWidth="1"/>
    <col min="9" max="9" width="9.796875" style="1478" customWidth="1"/>
    <col min="10" max="10" width="10.5" style="1484" customWidth="1"/>
    <col min="11" max="11" width="11" style="1537" customWidth="1"/>
    <col min="12" max="12" width="11.09765625" style="1478" customWidth="1"/>
    <col min="13" max="13" width="11.296875" style="1478" bestFit="1" customWidth="1"/>
    <col min="14" max="14" width="12.296875" style="1478" customWidth="1"/>
    <col min="15" max="15" width="9.796875" style="1478" customWidth="1"/>
    <col min="16" max="16" width="10.69921875" style="1478" customWidth="1"/>
    <col min="17" max="17" width="9.59765625" style="1478" customWidth="1"/>
    <col min="18" max="18" width="31.5" style="1484" customWidth="1"/>
    <col min="19" max="19" width="10.5" style="1491" bestFit="1" customWidth="1"/>
    <col min="20" max="20" width="9" style="1478"/>
    <col min="21" max="21" width="9" style="1479"/>
    <col min="22" max="16384" width="9" style="1478"/>
  </cols>
  <sheetData>
    <row r="1" spans="1:29" ht="1.5" customHeight="1">
      <c r="A1" s="1465"/>
      <c r="B1" s="1466"/>
      <c r="C1" s="1467"/>
      <c r="D1" s="1468"/>
      <c r="E1" s="1469"/>
      <c r="F1" s="1469"/>
      <c r="G1" s="1470"/>
      <c r="H1" s="1469"/>
      <c r="I1" s="1469"/>
      <c r="J1" s="1471"/>
      <c r="K1" s="1472"/>
      <c r="L1" s="1473"/>
      <c r="M1" s="1474"/>
      <c r="N1" s="1474"/>
      <c r="O1" s="1468"/>
      <c r="P1" s="1475"/>
      <c r="Q1" s="1475"/>
      <c r="R1" s="1476"/>
      <c r="S1" s="1477"/>
    </row>
    <row r="2" spans="1:29" ht="15" customHeight="1">
      <c r="B2" s="1481" t="s">
        <v>1621</v>
      </c>
      <c r="D2" s="1482"/>
      <c r="F2" s="1483"/>
      <c r="G2" s="1484" t="s">
        <v>1047</v>
      </c>
      <c r="H2" s="1485" t="s">
        <v>1398</v>
      </c>
      <c r="I2" s="1486"/>
      <c r="J2" s="1486"/>
      <c r="K2" s="1487"/>
      <c r="L2" s="1486"/>
      <c r="M2" s="1486"/>
      <c r="N2" s="1488"/>
      <c r="O2" s="1489"/>
      <c r="Q2" s="1490"/>
    </row>
    <row r="3" spans="1:29" s="1497" customFormat="1" ht="11.25" customHeight="1">
      <c r="A3" s="1492"/>
      <c r="B3" s="1493" t="s">
        <v>1620</v>
      </c>
      <c r="C3" s="1494"/>
      <c r="D3" s="1494"/>
      <c r="E3" s="1494"/>
      <c r="F3" s="1495">
        <v>1386.6</v>
      </c>
      <c r="G3" s="1496"/>
      <c r="H3" s="1493" t="s">
        <v>1624</v>
      </c>
      <c r="I3" s="1494"/>
      <c r="K3" s="1498"/>
      <c r="L3" s="1495">
        <v>1401.9</v>
      </c>
      <c r="Q3" s="1493"/>
      <c r="R3" s="1493"/>
      <c r="T3" s="1493"/>
      <c r="U3" s="1494"/>
      <c r="V3" s="1499"/>
      <c r="W3" s="1499"/>
      <c r="X3" s="1500">
        <v>1327.2</v>
      </c>
    </row>
    <row r="4" spans="1:29" ht="11.25" customHeight="1">
      <c r="A4" s="1465"/>
      <c r="B4" s="1501" t="s">
        <v>1</v>
      </c>
      <c r="C4" s="1502" t="s">
        <v>2</v>
      </c>
      <c r="D4" s="1503" t="s">
        <v>1049</v>
      </c>
      <c r="E4" s="1504" t="s">
        <v>1050</v>
      </c>
      <c r="F4" s="1505" t="s">
        <v>1051</v>
      </c>
      <c r="G4" s="1543"/>
      <c r="H4" s="1501" t="s">
        <v>1</v>
      </c>
      <c r="I4" s="1503" t="s">
        <v>2</v>
      </c>
      <c r="J4" s="1506" t="s">
        <v>1049</v>
      </c>
      <c r="K4" s="1507" t="s">
        <v>1050</v>
      </c>
      <c r="L4" s="1505" t="s">
        <v>1051</v>
      </c>
      <c r="M4" s="1497"/>
      <c r="N4" s="1497"/>
      <c r="O4" s="1497"/>
      <c r="P4" s="1497"/>
      <c r="Q4" s="1493"/>
      <c r="R4" s="1493"/>
      <c r="U4" s="1478"/>
    </row>
    <row r="5" spans="1:29" ht="11.25" customHeight="1">
      <c r="A5" s="1491">
        <v>51131050</v>
      </c>
      <c r="B5" s="1508" t="s">
        <v>1052</v>
      </c>
      <c r="C5" s="1509" t="s">
        <v>12</v>
      </c>
      <c r="D5" s="1510"/>
      <c r="E5" s="1511"/>
      <c r="F5" s="1512">
        <f t="shared" ref="F5:F10" si="0">ROUND(E5*$F$3,0)</f>
        <v>0</v>
      </c>
      <c r="G5" s="1629">
        <v>51131050</v>
      </c>
      <c r="H5" s="1513" t="s">
        <v>11</v>
      </c>
      <c r="I5" s="1513" t="s">
        <v>12</v>
      </c>
      <c r="J5" s="1514">
        <v>8880.82</v>
      </c>
      <c r="K5" s="1515">
        <v>1247.92</v>
      </c>
      <c r="L5" s="1516">
        <f t="shared" ref="L5:L12" si="1">ROUND(K5*$L$3,0)</f>
        <v>1749459</v>
      </c>
      <c r="M5" s="1497"/>
      <c r="N5" s="1497"/>
      <c r="O5" s="1497"/>
      <c r="P5" s="1497"/>
      <c r="Q5" s="1493"/>
      <c r="R5" s="1493"/>
      <c r="S5" s="1517">
        <f>F5+L5+R5</f>
        <v>1749459</v>
      </c>
      <c r="U5" s="1478"/>
    </row>
    <row r="6" spans="1:29" ht="11.25" customHeight="1">
      <c r="A6" s="1491">
        <v>51061030</v>
      </c>
      <c r="B6" s="1508" t="s">
        <v>1053</v>
      </c>
      <c r="C6" s="1509" t="s">
        <v>1054</v>
      </c>
      <c r="D6" s="1510"/>
      <c r="E6" s="1510"/>
      <c r="F6" s="1512">
        <f t="shared" si="0"/>
        <v>0</v>
      </c>
      <c r="G6" s="1629">
        <v>51061030</v>
      </c>
      <c r="H6" s="1513" t="s">
        <v>13</v>
      </c>
      <c r="I6" s="1513" t="s">
        <v>14</v>
      </c>
      <c r="J6" s="1514">
        <v>74453.540000000008</v>
      </c>
      <c r="K6" s="1515">
        <v>10462.1</v>
      </c>
      <c r="L6" s="1516">
        <f t="shared" si="1"/>
        <v>14666818</v>
      </c>
      <c r="M6" s="1497"/>
      <c r="N6" s="1497"/>
      <c r="O6" s="1497"/>
      <c r="P6" s="1497"/>
      <c r="Q6" s="1493"/>
      <c r="R6" s="1493"/>
      <c r="S6" s="1517">
        <f>F6+L6+R6</f>
        <v>14666818</v>
      </c>
      <c r="U6" s="1478"/>
      <c r="AB6" s="1486"/>
      <c r="AC6" s="1484"/>
    </row>
    <row r="7" spans="1:29" ht="11.25" customHeight="1">
      <c r="A7" s="1491">
        <v>51201020</v>
      </c>
      <c r="B7" s="1508" t="s">
        <v>15</v>
      </c>
      <c r="C7" s="1509" t="s">
        <v>180</v>
      </c>
      <c r="D7" s="1510">
        <v>1263.4825050818743</v>
      </c>
      <c r="E7" s="1510">
        <v>177.69</v>
      </c>
      <c r="F7" s="1512">
        <f t="shared" si="0"/>
        <v>246385</v>
      </c>
      <c r="G7" s="1629">
        <v>51201020</v>
      </c>
      <c r="H7" s="1513" t="s">
        <v>15</v>
      </c>
      <c r="I7" s="1513" t="s">
        <v>1055</v>
      </c>
      <c r="J7" s="1518">
        <v>23837.52</v>
      </c>
      <c r="K7" s="1519">
        <v>3349.61</v>
      </c>
      <c r="L7" s="1516">
        <f t="shared" si="1"/>
        <v>4695818</v>
      </c>
      <c r="M7" s="1497"/>
      <c r="N7" s="1497"/>
      <c r="O7" s="1497"/>
      <c r="P7" s="1497"/>
      <c r="Q7" s="1493"/>
      <c r="R7" s="1493"/>
      <c r="S7" s="1517">
        <f>F7+L7+R7</f>
        <v>4942203</v>
      </c>
      <c r="U7" s="1478"/>
    </row>
    <row r="8" spans="1:29" ht="13.05" customHeight="1">
      <c r="A8" s="1491">
        <v>51201030</v>
      </c>
      <c r="B8" s="1508" t="s">
        <v>1056</v>
      </c>
      <c r="C8" s="1509" t="s">
        <v>17</v>
      </c>
      <c r="D8" s="1510"/>
      <c r="E8" s="1510"/>
      <c r="F8" s="1512">
        <f t="shared" si="0"/>
        <v>0</v>
      </c>
      <c r="G8" s="1629">
        <v>51201030</v>
      </c>
      <c r="H8" s="1513" t="s">
        <v>15</v>
      </c>
      <c r="I8" s="1509" t="s">
        <v>17</v>
      </c>
      <c r="J8" s="1518">
        <v>20000</v>
      </c>
      <c r="K8" s="1519">
        <v>2810.37</v>
      </c>
      <c r="L8" s="1516">
        <f t="shared" si="1"/>
        <v>3939858</v>
      </c>
      <c r="M8" s="1497"/>
      <c r="N8" s="1497"/>
      <c r="O8" s="1497"/>
      <c r="P8" s="1497"/>
      <c r="Q8" s="1493"/>
      <c r="R8" s="1493"/>
      <c r="S8" s="1517">
        <f>F8+L8+R8</f>
        <v>3939858</v>
      </c>
      <c r="U8" s="1478"/>
    </row>
    <row r="9" spans="1:29" ht="11.25" customHeight="1">
      <c r="A9" s="1491">
        <v>51071700</v>
      </c>
      <c r="B9" s="1508" t="s">
        <v>19</v>
      </c>
      <c r="C9" s="1509" t="s">
        <v>20</v>
      </c>
      <c r="D9" s="1510"/>
      <c r="E9" s="1510"/>
      <c r="F9" s="1512">
        <f t="shared" si="0"/>
        <v>0</v>
      </c>
      <c r="G9" s="1629">
        <v>51071700</v>
      </c>
      <c r="H9" s="1513" t="s">
        <v>19</v>
      </c>
      <c r="I9" s="1509" t="s">
        <v>20</v>
      </c>
      <c r="J9" s="1518">
        <v>2907.7000000000003</v>
      </c>
      <c r="K9" s="1519">
        <v>408.59</v>
      </c>
      <c r="L9" s="1516">
        <f t="shared" si="1"/>
        <v>572802</v>
      </c>
      <c r="M9" s="1497"/>
      <c r="N9" s="1497"/>
      <c r="O9" s="1497"/>
      <c r="P9" s="1497"/>
      <c r="Q9" s="1493"/>
      <c r="R9" s="1493"/>
      <c r="S9" s="1517"/>
      <c r="U9" s="1478"/>
    </row>
    <row r="10" spans="1:29" ht="11.25" customHeight="1">
      <c r="A10" s="1491">
        <v>51321010</v>
      </c>
      <c r="B10" s="1508" t="s">
        <v>21</v>
      </c>
      <c r="C10" s="1509"/>
      <c r="D10" s="1510"/>
      <c r="E10" s="1510"/>
      <c r="F10" s="1512">
        <f t="shared" si="0"/>
        <v>0</v>
      </c>
      <c r="G10" s="1630">
        <v>51321010</v>
      </c>
      <c r="H10" s="1513" t="s">
        <v>21</v>
      </c>
      <c r="I10" s="1513"/>
      <c r="J10" s="1514">
        <v>389127.59</v>
      </c>
      <c r="K10" s="1515">
        <v>54704.63</v>
      </c>
      <c r="L10" s="1516">
        <f t="shared" si="1"/>
        <v>76690421</v>
      </c>
      <c r="M10" s="1497"/>
      <c r="N10" s="1497"/>
      <c r="O10" s="1497"/>
      <c r="P10" s="1497"/>
      <c r="Q10" s="1493"/>
      <c r="R10" s="1493"/>
      <c r="S10" s="1517"/>
      <c r="U10" s="1478"/>
      <c r="AB10" s="1486"/>
      <c r="AC10" s="1484"/>
    </row>
    <row r="11" spans="1:29" ht="11.25" customHeight="1">
      <c r="A11" s="1491">
        <v>51031020</v>
      </c>
      <c r="B11" s="1520" t="s">
        <v>1057</v>
      </c>
      <c r="C11" s="1521" t="s">
        <v>1058</v>
      </c>
      <c r="D11" s="1520"/>
      <c r="E11" s="1520"/>
      <c r="F11" s="1522"/>
      <c r="G11" s="1631"/>
      <c r="H11" s="1520" t="s">
        <v>1057</v>
      </c>
      <c r="I11" s="1520" t="s">
        <v>1279</v>
      </c>
      <c r="J11" s="1523"/>
      <c r="K11" s="1524"/>
      <c r="L11" s="1525">
        <f t="shared" si="1"/>
        <v>0</v>
      </c>
      <c r="M11" s="1497"/>
      <c r="N11" s="1497"/>
      <c r="O11" s="1497"/>
      <c r="P11" s="1497"/>
      <c r="Q11" s="1526"/>
      <c r="R11" s="1493"/>
      <c r="S11" s="1517"/>
      <c r="U11" s="1478"/>
      <c r="AB11" s="1486"/>
      <c r="AC11" s="1484"/>
    </row>
    <row r="12" spans="1:29" ht="11.25" customHeight="1">
      <c r="A12" s="1491">
        <v>52981010</v>
      </c>
      <c r="B12" s="1513" t="s">
        <v>1600</v>
      </c>
      <c r="C12" s="1509" t="s">
        <v>1060</v>
      </c>
      <c r="D12" s="1527"/>
      <c r="E12" s="1510"/>
      <c r="F12" s="1512"/>
      <c r="G12" s="1631">
        <v>52981010</v>
      </c>
      <c r="H12" s="1513" t="s">
        <v>1600</v>
      </c>
      <c r="I12" s="1513" t="s">
        <v>1060</v>
      </c>
      <c r="J12" s="1527"/>
      <c r="K12" s="1510"/>
      <c r="L12" s="1516">
        <f t="shared" si="1"/>
        <v>0</v>
      </c>
      <c r="M12" s="1497"/>
      <c r="N12" s="1497"/>
      <c r="O12" s="1497"/>
      <c r="P12" s="1497"/>
      <c r="Q12" s="1526"/>
      <c r="R12" s="1493"/>
      <c r="S12" s="1517"/>
      <c r="U12" s="1478"/>
      <c r="AB12" s="1486"/>
      <c r="AC12" s="1484"/>
    </row>
    <row r="13" spans="1:29" s="1484" customFormat="1" ht="8.5500000000000007" customHeight="1">
      <c r="A13" s="1528"/>
      <c r="B13" s="1529" t="s">
        <v>22</v>
      </c>
      <c r="C13" s="1530"/>
      <c r="D13" s="1531">
        <f>SUM(D5:D11)</f>
        <v>1263.4825050818743</v>
      </c>
      <c r="E13" s="1532">
        <f>SUM(E5:E11)</f>
        <v>177.69</v>
      </c>
      <c r="F13" s="1628">
        <f>SUM(F5:F11)</f>
        <v>246385</v>
      </c>
      <c r="G13" s="1635"/>
      <c r="H13" s="1529" t="s">
        <v>22</v>
      </c>
      <c r="I13" s="1534"/>
      <c r="J13" s="1531">
        <f>SUM(J5:J11)-J12</f>
        <v>519207.17000000004</v>
      </c>
      <c r="K13" s="1507">
        <f>SUM(K5:K11)-K12</f>
        <v>72983.22</v>
      </c>
      <c r="L13" s="1533">
        <f>SUM(L5:L11)-L12</f>
        <v>102315176</v>
      </c>
      <c r="M13" s="1497"/>
      <c r="N13" s="1497"/>
      <c r="O13" s="1497"/>
      <c r="P13" s="1497"/>
      <c r="R13" s="1497"/>
      <c r="S13" s="1517"/>
      <c r="U13" s="1535"/>
      <c r="X13" s="1526" t="e">
        <f>F13+#REF!</f>
        <v>#REF!</v>
      </c>
      <c r="Y13" s="1536"/>
      <c r="Z13" s="1537"/>
      <c r="AB13" s="1538"/>
    </row>
    <row r="14" spans="1:29" ht="8.5500000000000007" customHeight="1">
      <c r="A14" s="1465"/>
      <c r="D14" s="1540">
        <f>D13-D12</f>
        <v>1263.4825050818743</v>
      </c>
      <c r="E14" s="1540">
        <f>E13-E12</f>
        <v>177.69</v>
      </c>
      <c r="F14" s="1540">
        <f>F13-F12</f>
        <v>246385</v>
      </c>
      <c r="G14" s="1541"/>
      <c r="J14" s="1542">
        <f>J13+D13+P13</f>
        <v>520470.6525050819</v>
      </c>
      <c r="K14" s="1542">
        <f>K13+E13+Q13</f>
        <v>73160.91</v>
      </c>
      <c r="L14" s="1542">
        <f>L13+F13+R13</f>
        <v>102561561</v>
      </c>
      <c r="M14" s="1497"/>
      <c r="N14" s="1497"/>
      <c r="O14" s="1497"/>
      <c r="P14" s="1497"/>
      <c r="Q14" s="1526"/>
      <c r="R14" s="1493"/>
      <c r="X14" s="1486"/>
      <c r="Y14" s="1486"/>
      <c r="AB14" s="1486"/>
      <c r="AC14" s="1484"/>
    </row>
    <row r="15" spans="1:29" ht="11.1" customHeight="1">
      <c r="A15" s="1465"/>
      <c r="D15" s="1540"/>
      <c r="E15" s="1540"/>
      <c r="F15" s="1540"/>
      <c r="G15" s="1541"/>
      <c r="J15" s="1627"/>
      <c r="K15" s="1535"/>
      <c r="L15" s="1543"/>
      <c r="M15" s="1535"/>
      <c r="O15" s="1526"/>
      <c r="P15" s="1526"/>
      <c r="Q15" s="1526"/>
      <c r="R15" s="1544"/>
      <c r="X15" s="1486"/>
      <c r="Y15" s="1486"/>
      <c r="AB15" s="1486"/>
      <c r="AC15" s="1484"/>
    </row>
    <row r="16" spans="1:29" ht="11.1" customHeight="1">
      <c r="A16" s="1465"/>
      <c r="D16" s="1482"/>
      <c r="E16" s="1545"/>
      <c r="F16" s="1545"/>
      <c r="G16" s="1541"/>
      <c r="I16" s="1486"/>
      <c r="J16" s="1538"/>
      <c r="K16" s="1626">
        <f>SUBTOTAL(9,K19:K88)</f>
        <v>520470.65</v>
      </c>
      <c r="L16" s="1546"/>
      <c r="M16" s="1626">
        <f>SUBTOTAL(9,M19:M88)</f>
        <v>73160.908540567019</v>
      </c>
      <c r="N16" s="1486"/>
      <c r="Q16" s="1486"/>
    </row>
    <row r="17" spans="1:29" ht="11.55" customHeight="1">
      <c r="A17" s="1465"/>
      <c r="B17" s="1547" t="s">
        <v>24</v>
      </c>
      <c r="C17" s="1548" t="s">
        <v>25</v>
      </c>
      <c r="D17" s="1641" t="s">
        <v>1061</v>
      </c>
      <c r="E17" s="1550" t="s">
        <v>26</v>
      </c>
      <c r="F17" s="1641" t="s">
        <v>1</v>
      </c>
      <c r="G17" s="1551" t="s">
        <v>2</v>
      </c>
      <c r="H17" s="2096" t="s">
        <v>29</v>
      </c>
      <c r="I17" s="2096"/>
      <c r="J17" s="2096"/>
      <c r="K17" s="2096" t="s">
        <v>30</v>
      </c>
      <c r="L17" s="2096"/>
      <c r="M17" s="2097"/>
      <c r="N17" s="2098" t="s">
        <v>31</v>
      </c>
      <c r="O17" s="2098"/>
      <c r="P17" s="2099"/>
      <c r="Q17" s="2099"/>
      <c r="R17" s="1551" t="s">
        <v>1062</v>
      </c>
    </row>
    <row r="18" spans="1:29" ht="11.1" customHeight="1">
      <c r="A18" s="1465"/>
      <c r="B18" s="1552" t="s">
        <v>1063</v>
      </c>
      <c r="C18" s="1553" t="s">
        <v>1064</v>
      </c>
      <c r="D18" s="1642" t="s">
        <v>1065</v>
      </c>
      <c r="E18" s="1555" t="s">
        <v>1066</v>
      </c>
      <c r="F18" s="1556" t="s">
        <v>1067</v>
      </c>
      <c r="G18" s="1557" t="s">
        <v>1068</v>
      </c>
      <c r="H18" s="1558" t="s">
        <v>1069</v>
      </c>
      <c r="I18" s="1558" t="s">
        <v>1070</v>
      </c>
      <c r="J18" s="1559" t="s">
        <v>34</v>
      </c>
      <c r="K18" s="1559" t="s">
        <v>1069</v>
      </c>
      <c r="L18" s="1558" t="s">
        <v>1070</v>
      </c>
      <c r="M18" s="1560" t="s">
        <v>34</v>
      </c>
      <c r="N18" s="1640" t="s">
        <v>1069</v>
      </c>
      <c r="O18" s="1640" t="s">
        <v>34</v>
      </c>
      <c r="P18" s="2100" t="s">
        <v>32</v>
      </c>
      <c r="Q18" s="2100"/>
      <c r="R18" s="1562" t="s">
        <v>1062</v>
      </c>
    </row>
    <row r="19" spans="1:29" ht="11.25" customHeight="1">
      <c r="B19" s="1563">
        <v>45930</v>
      </c>
      <c r="C19" s="1564"/>
      <c r="D19" s="1565"/>
      <c r="E19" s="1564"/>
      <c r="F19" s="1566"/>
      <c r="G19" s="1567"/>
      <c r="H19" s="1568"/>
      <c r="I19" s="1565"/>
      <c r="J19" s="1567"/>
      <c r="K19" s="1569"/>
      <c r="L19" s="1570"/>
      <c r="M19" s="1571"/>
      <c r="N19" s="1572">
        <v>1263.3900000002177</v>
      </c>
      <c r="O19" s="1572">
        <v>177.69076574910139</v>
      </c>
      <c r="P19" s="1573"/>
      <c r="Q19" s="1564"/>
      <c r="R19" s="1574"/>
      <c r="S19" s="1575">
        <v>177.69</v>
      </c>
    </row>
    <row r="20" spans="1:29" s="1479" customFormat="1" ht="11.25" customHeight="1">
      <c r="A20" s="1480"/>
      <c r="B20" s="1576">
        <v>45943</v>
      </c>
      <c r="C20" s="1577" t="s">
        <v>1088</v>
      </c>
      <c r="D20" s="1578"/>
      <c r="E20" s="1579">
        <v>1</v>
      </c>
      <c r="F20" s="1580"/>
      <c r="G20" s="1581"/>
      <c r="H20" s="1582">
        <v>541561.59</v>
      </c>
      <c r="I20" s="1582"/>
      <c r="J20" s="1582">
        <v>76124.429999999993</v>
      </c>
      <c r="K20" s="1583"/>
      <c r="L20" s="1324"/>
      <c r="M20" s="948"/>
      <c r="N20" s="1585">
        <f t="shared" ref="N20:N51" si="2">N19+H20-K20</f>
        <v>542824.98000000021</v>
      </c>
      <c r="O20" s="1585">
        <f t="shared" ref="O20:O51" si="3">O19+J20-M20</f>
        <v>76302.120765749089</v>
      </c>
      <c r="P20" s="1586"/>
      <c r="Q20" s="1587"/>
      <c r="R20" s="1588"/>
      <c r="S20" s="1589"/>
      <c r="T20" s="1478"/>
      <c r="U20" s="1479" t="e">
        <f>N20/L20</f>
        <v>#DIV/0!</v>
      </c>
      <c r="V20" s="1478" t="e">
        <f>U20-S20</f>
        <v>#DIV/0!</v>
      </c>
      <c r="W20" s="1478"/>
      <c r="X20" s="1478"/>
      <c r="Y20" s="1478"/>
      <c r="Z20" s="1478"/>
      <c r="AA20" s="1478"/>
      <c r="AB20" s="1478"/>
      <c r="AC20" s="1478"/>
    </row>
    <row r="21" spans="1:29" s="1479" customFormat="1" ht="11.25" customHeight="1">
      <c r="A21" s="1480"/>
      <c r="B21" s="1576">
        <v>45943</v>
      </c>
      <c r="C21" s="1577" t="s">
        <v>1088</v>
      </c>
      <c r="D21" s="1578"/>
      <c r="E21" s="1579">
        <v>1</v>
      </c>
      <c r="F21" s="1632" t="s">
        <v>107</v>
      </c>
      <c r="G21" s="1581"/>
      <c r="H21" s="1582"/>
      <c r="I21" s="1582"/>
      <c r="J21" s="1582"/>
      <c r="K21" s="1583"/>
      <c r="L21" s="1324"/>
      <c r="M21" s="1096">
        <v>25</v>
      </c>
      <c r="N21" s="1585">
        <f t="shared" si="2"/>
        <v>542824.98000000021</v>
      </c>
      <c r="O21" s="1585">
        <f t="shared" si="3"/>
        <v>76277.120765749089</v>
      </c>
      <c r="P21" s="1586"/>
      <c r="Q21" s="1587"/>
      <c r="R21" s="1588"/>
      <c r="S21" s="1589"/>
      <c r="T21" s="1478"/>
      <c r="V21" s="1478"/>
      <c r="W21" s="1478"/>
      <c r="X21" s="1478"/>
      <c r="Y21" s="1478"/>
      <c r="Z21" s="1478"/>
      <c r="AA21" s="1478"/>
      <c r="AB21" s="1478"/>
      <c r="AC21" s="1478"/>
    </row>
    <row r="22" spans="1:29" s="1479" customFormat="1" ht="11.25" customHeight="1">
      <c r="A22" s="1480"/>
      <c r="B22" s="1576">
        <v>45945</v>
      </c>
      <c r="C22" s="1577" t="s">
        <v>1447</v>
      </c>
      <c r="D22" s="1578"/>
      <c r="E22" s="1579">
        <v>2</v>
      </c>
      <c r="F22" s="1580" t="s">
        <v>15</v>
      </c>
      <c r="G22" s="1581" t="s">
        <v>1055</v>
      </c>
      <c r="H22" s="1582"/>
      <c r="I22" s="1590"/>
      <c r="J22" s="1582"/>
      <c r="K22" s="1583">
        <f>M22*L22</f>
        <v>1263.4825050818743</v>
      </c>
      <c r="L22" s="1324">
        <f>+'[4]통장내역(환율표)'!D21</f>
        <v>7.1105999498107622</v>
      </c>
      <c r="M22" s="948">
        <v>177.69</v>
      </c>
      <c r="N22" s="1585">
        <f t="shared" si="2"/>
        <v>541561.49749491829</v>
      </c>
      <c r="O22" s="1585">
        <f t="shared" si="3"/>
        <v>76099.430765749086</v>
      </c>
      <c r="P22" s="1591"/>
      <c r="Q22" s="1587"/>
      <c r="R22" s="1587"/>
      <c r="S22" s="1589"/>
      <c r="T22" s="1478"/>
      <c r="V22" s="1478"/>
      <c r="W22" s="1478"/>
      <c r="X22" s="1478"/>
      <c r="Y22" s="1478"/>
      <c r="Z22" s="1478"/>
      <c r="AA22" s="1478"/>
      <c r="AB22" s="1478"/>
      <c r="AC22" s="1478"/>
    </row>
    <row r="23" spans="1:29" s="1479" customFormat="1" ht="11.25" customHeight="1">
      <c r="A23" s="1480"/>
      <c r="B23" s="1576">
        <v>45945</v>
      </c>
      <c r="C23" s="1577" t="s">
        <v>1447</v>
      </c>
      <c r="D23" s="1578"/>
      <c r="E23" s="1579">
        <v>2</v>
      </c>
      <c r="F23" s="1580" t="s">
        <v>15</v>
      </c>
      <c r="G23" s="1581" t="s">
        <v>1055</v>
      </c>
      <c r="H23" s="1582"/>
      <c r="I23" s="1590"/>
      <c r="J23" s="1582"/>
      <c r="K23" s="1583">
        <f>25101-K22</f>
        <v>23837.517494918127</v>
      </c>
      <c r="L23" s="1324">
        <f>'[4]통장내역(환율표)'!$D$28</f>
        <v>7.116499952759173</v>
      </c>
      <c r="M23" s="1096">
        <f t="shared" ref="M23:M54" si="4">K23/L23</f>
        <v>3349.6125417208732</v>
      </c>
      <c r="N23" s="1585">
        <f t="shared" si="2"/>
        <v>517723.98000000016</v>
      </c>
      <c r="O23" s="1585">
        <f t="shared" si="3"/>
        <v>72749.818224028219</v>
      </c>
      <c r="P23" s="1591"/>
      <c r="Q23" s="1587"/>
      <c r="R23" s="1587"/>
      <c r="S23" s="1589">
        <f>76099.43-M23</f>
        <v>72749.817458279125</v>
      </c>
      <c r="T23" s="1478"/>
      <c r="V23" s="1478"/>
      <c r="W23" s="1478"/>
      <c r="X23" s="1478"/>
      <c r="Y23" s="1478"/>
      <c r="Z23" s="1478"/>
      <c r="AA23" s="1478"/>
      <c r="AB23" s="1478"/>
      <c r="AC23" s="1478"/>
    </row>
    <row r="24" spans="1:29" s="1479" customFormat="1" ht="11.25" customHeight="1">
      <c r="A24" s="1480"/>
      <c r="B24" s="1576">
        <v>45945</v>
      </c>
      <c r="C24" s="1577" t="s">
        <v>445</v>
      </c>
      <c r="D24" s="1578"/>
      <c r="E24" s="1579">
        <v>3</v>
      </c>
      <c r="F24" s="1580" t="s">
        <v>21</v>
      </c>
      <c r="G24" s="1581"/>
      <c r="H24" s="1582"/>
      <c r="I24" s="1590"/>
      <c r="J24" s="1582"/>
      <c r="K24" s="1583">
        <v>7.2</v>
      </c>
      <c r="L24" s="1324">
        <f>'[4]통장내역(환율표)'!$D$28</f>
        <v>7.116499952759173</v>
      </c>
      <c r="M24" s="1096">
        <f t="shared" si="4"/>
        <v>1.0117333025778288</v>
      </c>
      <c r="N24" s="1585">
        <f t="shared" si="2"/>
        <v>517716.78000000014</v>
      </c>
      <c r="O24" s="1585">
        <f t="shared" si="3"/>
        <v>72748.806490725634</v>
      </c>
      <c r="P24" s="1591"/>
      <c r="Q24" s="1587"/>
      <c r="R24" s="1587"/>
      <c r="S24" s="1589">
        <f t="shared" ref="S24:S55" si="5">S23-M24+J24</f>
        <v>72748.805724976541</v>
      </c>
      <c r="T24" s="1478"/>
      <c r="V24" s="1478"/>
      <c r="W24" s="1478"/>
      <c r="X24" s="1478"/>
      <c r="Y24" s="1478"/>
      <c r="Z24" s="1478"/>
      <c r="AA24" s="1478"/>
      <c r="AB24" s="1478"/>
      <c r="AC24" s="1478"/>
    </row>
    <row r="25" spans="1:29" s="1479" customFormat="1" ht="11.25" customHeight="1">
      <c r="A25" s="1480"/>
      <c r="B25" s="1576">
        <v>45945</v>
      </c>
      <c r="C25" s="1577" t="s">
        <v>1276</v>
      </c>
      <c r="D25" s="1578"/>
      <c r="E25" s="1579">
        <v>4</v>
      </c>
      <c r="F25" s="1580" t="s">
        <v>13</v>
      </c>
      <c r="G25" s="1581" t="s">
        <v>14</v>
      </c>
      <c r="H25" s="1582"/>
      <c r="I25" s="1590"/>
      <c r="J25" s="1582"/>
      <c r="K25" s="1583">
        <v>2400</v>
      </c>
      <c r="L25" s="1324">
        <f>'[4]통장내역(환율표)'!$D$28</f>
        <v>7.116499952759173</v>
      </c>
      <c r="M25" s="1096">
        <f t="shared" si="4"/>
        <v>337.24443419260956</v>
      </c>
      <c r="N25" s="1585">
        <f t="shared" si="2"/>
        <v>515316.78000000014</v>
      </c>
      <c r="O25" s="1585">
        <f t="shared" si="3"/>
        <v>72411.562056533017</v>
      </c>
      <c r="P25" s="1591"/>
      <c r="Q25" s="1587"/>
      <c r="R25" s="1587"/>
      <c r="S25" s="1589">
        <f t="shared" si="5"/>
        <v>72411.561290783924</v>
      </c>
      <c r="T25" s="1478"/>
      <c r="V25" s="1478"/>
      <c r="W25" s="1478"/>
      <c r="X25" s="1478"/>
      <c r="Y25" s="1478"/>
      <c r="Z25" s="1478"/>
      <c r="AA25" s="1478"/>
      <c r="AB25" s="1478"/>
      <c r="AC25" s="1478"/>
    </row>
    <row r="26" spans="1:29" s="1479" customFormat="1" ht="11.25" customHeight="1">
      <c r="A26" s="1480"/>
      <c r="B26" s="1576">
        <v>45945</v>
      </c>
      <c r="C26" s="1577" t="s">
        <v>445</v>
      </c>
      <c r="D26" s="1578"/>
      <c r="E26" s="1579">
        <v>5</v>
      </c>
      <c r="F26" s="1580" t="s">
        <v>21</v>
      </c>
      <c r="G26" s="1581"/>
      <c r="H26" s="1582"/>
      <c r="I26" s="1590"/>
      <c r="J26" s="1582"/>
      <c r="K26" s="1583">
        <v>3.6</v>
      </c>
      <c r="L26" s="1324">
        <f>'[4]통장내역(환율표)'!$D$28</f>
        <v>7.116499952759173</v>
      </c>
      <c r="M26" s="1096">
        <f t="shared" si="4"/>
        <v>0.50586665128891439</v>
      </c>
      <c r="N26" s="1585">
        <f t="shared" si="2"/>
        <v>515313.18000000017</v>
      </c>
      <c r="O26" s="1585">
        <f t="shared" si="3"/>
        <v>72411.056189881725</v>
      </c>
      <c r="P26" s="1591"/>
      <c r="Q26" s="1587"/>
      <c r="R26" s="1587"/>
      <c r="S26" s="1589">
        <f t="shared" si="5"/>
        <v>72411.055424132632</v>
      </c>
      <c r="T26" s="1478"/>
      <c r="U26" s="1479">
        <f>N26/L26</f>
        <v>72411.042425456006</v>
      </c>
      <c r="V26" s="1478">
        <f>U26-S26</f>
        <v>-1.2998676626011729E-2</v>
      </c>
      <c r="W26" s="1478"/>
      <c r="X26" s="1478"/>
      <c r="Y26" s="1478"/>
      <c r="Z26" s="1478"/>
      <c r="AA26" s="1478"/>
      <c r="AB26" s="1478"/>
      <c r="AC26" s="1478"/>
    </row>
    <row r="27" spans="1:29" s="1479" customFormat="1" ht="11.25" customHeight="1">
      <c r="A27" s="1480"/>
      <c r="B27" s="1576">
        <v>45952</v>
      </c>
      <c r="C27" s="1577" t="s">
        <v>1608</v>
      </c>
      <c r="D27" s="1578"/>
      <c r="E27" s="1579">
        <v>6</v>
      </c>
      <c r="F27" s="1580" t="s">
        <v>21</v>
      </c>
      <c r="G27" s="1581"/>
      <c r="H27" s="1582"/>
      <c r="I27" s="1590"/>
      <c r="J27" s="1582"/>
      <c r="K27" s="1583">
        <v>57205.08</v>
      </c>
      <c r="L27" s="1324">
        <f>'[4]통장내역(환율표)'!$D$28</f>
        <v>7.116499952759173</v>
      </c>
      <c r="M27" s="1096">
        <f t="shared" si="4"/>
        <v>8038.3728489762361</v>
      </c>
      <c r="N27" s="1585">
        <f t="shared" si="2"/>
        <v>458108.10000000015</v>
      </c>
      <c r="O27" s="1585">
        <f t="shared" si="3"/>
        <v>64372.683340905489</v>
      </c>
      <c r="P27" s="1591"/>
      <c r="Q27" s="1587"/>
      <c r="R27" s="1587"/>
      <c r="S27" s="1589">
        <f t="shared" si="5"/>
        <v>64372.682575156396</v>
      </c>
      <c r="T27" s="1478"/>
      <c r="V27" s="1478"/>
      <c r="W27" s="1478"/>
      <c r="X27" s="1478"/>
      <c r="Y27" s="1478"/>
      <c r="Z27" s="1478"/>
      <c r="AA27" s="1478"/>
      <c r="AB27" s="1478"/>
      <c r="AC27" s="1478"/>
    </row>
    <row r="28" spans="1:29" s="1479" customFormat="1" ht="11.25" customHeight="1">
      <c r="A28" s="1480"/>
      <c r="B28" s="1576">
        <v>45952</v>
      </c>
      <c r="C28" s="1577" t="s">
        <v>1608</v>
      </c>
      <c r="D28" s="1578"/>
      <c r="E28" s="1579">
        <v>7</v>
      </c>
      <c r="F28" s="1580" t="s">
        <v>21</v>
      </c>
      <c r="G28" s="1581"/>
      <c r="H28" s="1582"/>
      <c r="I28" s="1590"/>
      <c r="J28" s="1582"/>
      <c r="K28" s="1583">
        <v>74.540000000000006</v>
      </c>
      <c r="L28" s="1324">
        <f>'[4]통장내역(환율표)'!$D$28</f>
        <v>7.116499952759173</v>
      </c>
      <c r="M28" s="1096">
        <f t="shared" si="4"/>
        <v>10.474250051965466</v>
      </c>
      <c r="N28" s="1585">
        <f t="shared" si="2"/>
        <v>458033.56000000017</v>
      </c>
      <c r="O28" s="1585">
        <f t="shared" si="3"/>
        <v>64362.209090853525</v>
      </c>
      <c r="P28" s="1591"/>
      <c r="Q28" s="1587"/>
      <c r="R28" s="1587"/>
      <c r="S28" s="1589">
        <f t="shared" si="5"/>
        <v>64362.208325104431</v>
      </c>
      <c r="T28" s="1478"/>
      <c r="V28" s="1478"/>
      <c r="W28" s="1478"/>
      <c r="X28" s="1478"/>
      <c r="Y28" s="1478"/>
      <c r="Z28" s="1478"/>
      <c r="AA28" s="1478"/>
      <c r="AB28" s="1478"/>
      <c r="AC28" s="1478"/>
    </row>
    <row r="29" spans="1:29" s="1479" customFormat="1" ht="11.25" customHeight="1">
      <c r="A29" s="1480"/>
      <c r="B29" s="1576">
        <v>45953</v>
      </c>
      <c r="C29" s="1577" t="s">
        <v>306</v>
      </c>
      <c r="D29" s="1578"/>
      <c r="E29" s="1579">
        <v>8</v>
      </c>
      <c r="F29" s="1580" t="s">
        <v>21</v>
      </c>
      <c r="G29" s="1581"/>
      <c r="H29" s="1582"/>
      <c r="I29" s="1590"/>
      <c r="J29" s="1582"/>
      <c r="K29" s="1583">
        <v>1010</v>
      </c>
      <c r="L29" s="1324">
        <f>'[4]통장내역(환율표)'!$D$28</f>
        <v>7.116499952759173</v>
      </c>
      <c r="M29" s="1096">
        <f t="shared" si="4"/>
        <v>141.92369938938987</v>
      </c>
      <c r="N29" s="1585">
        <f t="shared" si="2"/>
        <v>457023.56000000017</v>
      </c>
      <c r="O29" s="1585">
        <f t="shared" si="3"/>
        <v>64220.285391464138</v>
      </c>
      <c r="P29" s="1591"/>
      <c r="Q29" s="1587"/>
      <c r="R29" s="1587"/>
      <c r="S29" s="1589">
        <f t="shared" si="5"/>
        <v>64220.284625715045</v>
      </c>
      <c r="T29" s="1478"/>
      <c r="V29" s="1478"/>
      <c r="W29" s="1478"/>
      <c r="X29" s="1478"/>
      <c r="Y29" s="1478"/>
      <c r="Z29" s="1478"/>
      <c r="AA29" s="1478"/>
      <c r="AB29" s="1478"/>
      <c r="AC29" s="1478"/>
    </row>
    <row r="30" spans="1:29" s="1479" customFormat="1" ht="11.25" customHeight="1">
      <c r="A30" s="1480"/>
      <c r="B30" s="1576">
        <v>45953</v>
      </c>
      <c r="C30" s="1577" t="s">
        <v>445</v>
      </c>
      <c r="D30" s="1578"/>
      <c r="E30" s="1579">
        <v>9</v>
      </c>
      <c r="F30" s="1580" t="s">
        <v>21</v>
      </c>
      <c r="G30" s="1581"/>
      <c r="H30" s="1582"/>
      <c r="I30" s="1590"/>
      <c r="J30" s="1582"/>
      <c r="K30" s="1583">
        <v>3.6</v>
      </c>
      <c r="L30" s="1324">
        <f>'[4]통장내역(환율표)'!$D$28</f>
        <v>7.116499952759173</v>
      </c>
      <c r="M30" s="1096">
        <f t="shared" si="4"/>
        <v>0.50586665128891439</v>
      </c>
      <c r="N30" s="1585">
        <f t="shared" si="2"/>
        <v>457019.9600000002</v>
      </c>
      <c r="O30" s="1585">
        <f t="shared" si="3"/>
        <v>64219.779524812846</v>
      </c>
      <c r="P30" s="1591"/>
      <c r="Q30" s="1587"/>
      <c r="R30" s="1587"/>
      <c r="S30" s="1589">
        <f t="shared" si="5"/>
        <v>64219.778759063753</v>
      </c>
      <c r="T30" s="1478"/>
      <c r="V30" s="1478"/>
      <c r="W30" s="1478"/>
      <c r="X30" s="1478"/>
      <c r="Y30" s="1478"/>
      <c r="Z30" s="1478"/>
      <c r="AA30" s="1478"/>
      <c r="AB30" s="1478"/>
      <c r="AC30" s="1478"/>
    </row>
    <row r="31" spans="1:29" s="1479" customFormat="1" ht="11.25" customHeight="1">
      <c r="A31" s="1480"/>
      <c r="B31" s="1576">
        <v>45953</v>
      </c>
      <c r="C31" s="1577" t="s">
        <v>305</v>
      </c>
      <c r="D31" s="1578"/>
      <c r="E31" s="1579">
        <v>10</v>
      </c>
      <c r="F31" s="1580" t="s">
        <v>15</v>
      </c>
      <c r="G31" s="1581" t="s">
        <v>226</v>
      </c>
      <c r="H31" s="1582"/>
      <c r="I31" s="1590"/>
      <c r="J31" s="1582"/>
      <c r="K31" s="1583">
        <v>7000</v>
      </c>
      <c r="L31" s="1324">
        <f>'[4]통장내역(환율표)'!$D$28</f>
        <v>7.116499952759173</v>
      </c>
      <c r="M31" s="1096">
        <f t="shared" si="4"/>
        <v>983.62959972844453</v>
      </c>
      <c r="N31" s="1585">
        <f t="shared" si="2"/>
        <v>450019.9600000002</v>
      </c>
      <c r="O31" s="1585">
        <f t="shared" si="3"/>
        <v>63236.149925084399</v>
      </c>
      <c r="P31" s="1591"/>
      <c r="Q31" s="1587"/>
      <c r="R31" s="1587"/>
      <c r="S31" s="1589">
        <f t="shared" si="5"/>
        <v>63236.149159335306</v>
      </c>
      <c r="T31" s="1478"/>
      <c r="V31" s="1478"/>
      <c r="W31" s="1478"/>
      <c r="X31" s="1478"/>
      <c r="Y31" s="1478"/>
      <c r="Z31" s="1478"/>
      <c r="AA31" s="1478"/>
      <c r="AB31" s="1478"/>
      <c r="AC31" s="1478"/>
    </row>
    <row r="32" spans="1:29" s="1479" customFormat="1" ht="12" customHeight="1">
      <c r="A32" s="1480"/>
      <c r="B32" s="1576">
        <v>45953</v>
      </c>
      <c r="C32" s="1577" t="s">
        <v>1107</v>
      </c>
      <c r="D32" s="1578"/>
      <c r="E32" s="1579">
        <v>10</v>
      </c>
      <c r="F32" s="1580" t="s">
        <v>21</v>
      </c>
      <c r="G32" s="1581"/>
      <c r="H32" s="1582"/>
      <c r="I32" s="1590"/>
      <c r="J32" s="1582"/>
      <c r="K32" s="1583">
        <v>6000</v>
      </c>
      <c r="L32" s="1324">
        <f>'[4]통장내역(환율표)'!$D$28</f>
        <v>7.116499952759173</v>
      </c>
      <c r="M32" s="1096">
        <f t="shared" si="4"/>
        <v>843.1110854815239</v>
      </c>
      <c r="N32" s="1585">
        <f t="shared" si="2"/>
        <v>444019.9600000002</v>
      </c>
      <c r="O32" s="1585">
        <f t="shared" si="3"/>
        <v>62393.038839602872</v>
      </c>
      <c r="P32" s="1591"/>
      <c r="Q32" s="1587"/>
      <c r="R32" s="1587"/>
      <c r="S32" s="1589">
        <f t="shared" si="5"/>
        <v>62393.038073853779</v>
      </c>
      <c r="T32" s="1478"/>
      <c r="U32" s="1479">
        <f t="shared" ref="U32:U48" si="6">N32/L32</f>
        <v>62393.025075177167</v>
      </c>
      <c r="V32" s="1478">
        <f t="shared" ref="V32:V48" si="7">U32-S32</f>
        <v>-1.2998676611459814E-2</v>
      </c>
      <c r="W32" s="1478"/>
      <c r="X32" s="1478"/>
      <c r="Y32" s="1478"/>
      <c r="Z32" s="1478"/>
      <c r="AA32" s="1478"/>
      <c r="AB32" s="1478"/>
      <c r="AC32" s="1478"/>
    </row>
    <row r="33" spans="1:29" s="1479" customFormat="1" ht="12" customHeight="1">
      <c r="A33" s="1480"/>
      <c r="B33" s="1576">
        <v>45953</v>
      </c>
      <c r="C33" s="1577" t="s">
        <v>1108</v>
      </c>
      <c r="D33" s="1578"/>
      <c r="E33" s="1579">
        <v>10</v>
      </c>
      <c r="F33" s="1580" t="s">
        <v>21</v>
      </c>
      <c r="G33" s="1581"/>
      <c r="H33" s="1582"/>
      <c r="I33" s="1590"/>
      <c r="J33" s="1582"/>
      <c r="K33" s="1583">
        <v>240</v>
      </c>
      <c r="L33" s="1324">
        <f>'[4]통장내역(환율표)'!$D$28</f>
        <v>7.116499952759173</v>
      </c>
      <c r="M33" s="1096">
        <f t="shared" si="4"/>
        <v>33.724443419260957</v>
      </c>
      <c r="N33" s="1585">
        <f t="shared" si="2"/>
        <v>443779.9600000002</v>
      </c>
      <c r="O33" s="1585">
        <f t="shared" si="3"/>
        <v>62359.31439618361</v>
      </c>
      <c r="P33" s="1591"/>
      <c r="Q33" s="1587"/>
      <c r="R33" s="1587"/>
      <c r="S33" s="1589">
        <f t="shared" si="5"/>
        <v>62359.313630434517</v>
      </c>
      <c r="T33" s="1478"/>
      <c r="U33" s="1479">
        <f t="shared" si="6"/>
        <v>62359.300631757906</v>
      </c>
      <c r="V33" s="1478">
        <f t="shared" si="7"/>
        <v>-1.2998676611459814E-2</v>
      </c>
      <c r="W33" s="1478"/>
      <c r="X33" s="1478"/>
      <c r="Y33" s="1478"/>
      <c r="Z33" s="1478"/>
      <c r="AA33" s="1478"/>
      <c r="AB33" s="1478"/>
      <c r="AC33" s="1478"/>
    </row>
    <row r="34" spans="1:29" s="1479" customFormat="1" ht="12" customHeight="1">
      <c r="A34" s="1480"/>
      <c r="B34" s="1576">
        <v>45953</v>
      </c>
      <c r="C34" s="1593" t="s">
        <v>305</v>
      </c>
      <c r="D34" s="1578"/>
      <c r="E34" s="1579">
        <v>10</v>
      </c>
      <c r="F34" s="1580" t="s">
        <v>15</v>
      </c>
      <c r="G34" s="1581" t="s">
        <v>226</v>
      </c>
      <c r="H34" s="1582"/>
      <c r="I34" s="1590"/>
      <c r="J34" s="1582"/>
      <c r="K34" s="1583">
        <v>7000</v>
      </c>
      <c r="L34" s="1324">
        <f>'[4]통장내역(환율표)'!$D$28</f>
        <v>7.116499952759173</v>
      </c>
      <c r="M34" s="1096">
        <f t="shared" si="4"/>
        <v>983.62959972844453</v>
      </c>
      <c r="N34" s="1585">
        <f t="shared" si="2"/>
        <v>436779.9600000002</v>
      </c>
      <c r="O34" s="1585">
        <f t="shared" si="3"/>
        <v>61375.684796455163</v>
      </c>
      <c r="P34" s="1591"/>
      <c r="Q34" s="1587"/>
      <c r="R34" s="1587"/>
      <c r="S34" s="1589">
        <f t="shared" si="5"/>
        <v>61375.68403070607</v>
      </c>
      <c r="T34" s="1478"/>
      <c r="U34" s="1479">
        <f t="shared" si="6"/>
        <v>61375.671032029459</v>
      </c>
      <c r="V34" s="1478">
        <f t="shared" si="7"/>
        <v>-1.2998676611459814E-2</v>
      </c>
      <c r="W34" s="1478"/>
      <c r="X34" s="1478"/>
      <c r="Y34" s="1478"/>
      <c r="Z34" s="1478"/>
      <c r="AA34" s="1478"/>
      <c r="AB34" s="1478"/>
      <c r="AC34" s="1478"/>
    </row>
    <row r="35" spans="1:29" s="1479" customFormat="1" ht="12" customHeight="1">
      <c r="A35" s="1480"/>
      <c r="B35" s="1576">
        <v>45953</v>
      </c>
      <c r="C35" s="1593" t="s">
        <v>1107</v>
      </c>
      <c r="D35" s="1578"/>
      <c r="E35" s="1579">
        <v>10</v>
      </c>
      <c r="F35" s="1580" t="s">
        <v>21</v>
      </c>
      <c r="G35" s="1581"/>
      <c r="H35" s="1582"/>
      <c r="I35" s="1590"/>
      <c r="J35" s="1582"/>
      <c r="K35" s="1583">
        <v>6000</v>
      </c>
      <c r="L35" s="1324">
        <f>'[4]통장내역(환율표)'!$D$28</f>
        <v>7.116499952759173</v>
      </c>
      <c r="M35" s="1096">
        <f t="shared" si="4"/>
        <v>843.1110854815239</v>
      </c>
      <c r="N35" s="1585">
        <f t="shared" si="2"/>
        <v>430779.9600000002</v>
      </c>
      <c r="O35" s="1585">
        <f t="shared" si="3"/>
        <v>60532.573710973636</v>
      </c>
      <c r="P35" s="1591"/>
      <c r="Q35" s="1587"/>
      <c r="R35" s="1587"/>
      <c r="S35" s="1589">
        <f t="shared" si="5"/>
        <v>60532.572945224543</v>
      </c>
      <c r="T35" s="1478"/>
      <c r="U35" s="1479">
        <f t="shared" si="6"/>
        <v>60532.559946547939</v>
      </c>
      <c r="V35" s="1478">
        <f t="shared" si="7"/>
        <v>-1.2998676604183856E-2</v>
      </c>
      <c r="W35" s="1478"/>
      <c r="X35" s="1478"/>
      <c r="Y35" s="1478"/>
      <c r="Z35" s="1478"/>
      <c r="AA35" s="1478"/>
      <c r="AB35" s="1478"/>
      <c r="AC35" s="1478"/>
    </row>
    <row r="36" spans="1:29" s="1479" customFormat="1" ht="12" customHeight="1">
      <c r="A36" s="1480"/>
      <c r="B36" s="1576">
        <v>45953</v>
      </c>
      <c r="C36" s="1593" t="s">
        <v>1108</v>
      </c>
      <c r="D36" s="1578"/>
      <c r="E36" s="1579">
        <v>10</v>
      </c>
      <c r="F36" s="1580" t="s">
        <v>21</v>
      </c>
      <c r="G36" s="1581"/>
      <c r="H36" s="1582"/>
      <c r="I36" s="1590"/>
      <c r="J36" s="1582"/>
      <c r="K36" s="1583">
        <v>80</v>
      </c>
      <c r="L36" s="1324">
        <f>'[4]통장내역(환율표)'!$D$28</f>
        <v>7.116499952759173</v>
      </c>
      <c r="M36" s="1096">
        <f t="shared" si="4"/>
        <v>11.241481139753652</v>
      </c>
      <c r="N36" s="1585">
        <f t="shared" si="2"/>
        <v>430699.9600000002</v>
      </c>
      <c r="O36" s="1585">
        <f t="shared" si="3"/>
        <v>60521.332229833883</v>
      </c>
      <c r="P36" s="1591"/>
      <c r="Q36" s="1587"/>
      <c r="R36" s="1587"/>
      <c r="S36" s="1589">
        <f t="shared" si="5"/>
        <v>60521.331464084789</v>
      </c>
      <c r="T36" s="1478"/>
      <c r="U36" s="1479">
        <f t="shared" si="6"/>
        <v>60521.318465408185</v>
      </c>
      <c r="V36" s="1478">
        <f t="shared" si="7"/>
        <v>-1.2998676604183856E-2</v>
      </c>
      <c r="W36" s="1478"/>
      <c r="X36" s="1478"/>
      <c r="Y36" s="1478"/>
      <c r="Z36" s="1478"/>
      <c r="AA36" s="1478"/>
      <c r="AB36" s="1478"/>
      <c r="AC36" s="1478"/>
    </row>
    <row r="37" spans="1:29" s="1479" customFormat="1" ht="12" customHeight="1">
      <c r="A37" s="1480"/>
      <c r="B37" s="1576">
        <v>45953</v>
      </c>
      <c r="C37" s="1593" t="s">
        <v>305</v>
      </c>
      <c r="D37" s="1578"/>
      <c r="E37" s="1579">
        <v>10</v>
      </c>
      <c r="F37" s="1580" t="s">
        <v>15</v>
      </c>
      <c r="G37" s="1581" t="s">
        <v>226</v>
      </c>
      <c r="H37" s="1582"/>
      <c r="I37" s="1590"/>
      <c r="J37" s="1582"/>
      <c r="K37" s="1583">
        <v>6000</v>
      </c>
      <c r="L37" s="1324">
        <f>'[4]통장내역(환율표)'!$D$28</f>
        <v>7.116499952759173</v>
      </c>
      <c r="M37" s="1096">
        <f t="shared" si="4"/>
        <v>843.1110854815239</v>
      </c>
      <c r="N37" s="1585">
        <f t="shared" si="2"/>
        <v>424699.9600000002</v>
      </c>
      <c r="O37" s="1585">
        <f t="shared" si="3"/>
        <v>59678.221144352356</v>
      </c>
      <c r="P37" s="1591"/>
      <c r="Q37" s="1587"/>
      <c r="R37" s="1587"/>
      <c r="S37" s="1589">
        <f t="shared" si="5"/>
        <v>59678.220378603262</v>
      </c>
      <c r="T37" s="1478"/>
      <c r="U37" s="1479">
        <f t="shared" si="6"/>
        <v>59678.207379926658</v>
      </c>
      <c r="V37" s="1478">
        <f t="shared" si="7"/>
        <v>-1.2998676604183856E-2</v>
      </c>
      <c r="W37" s="1478"/>
      <c r="X37" s="1478"/>
      <c r="Y37" s="1478"/>
      <c r="Z37" s="1478"/>
      <c r="AA37" s="1478"/>
      <c r="AB37" s="1478"/>
      <c r="AC37" s="1478"/>
    </row>
    <row r="38" spans="1:29" s="1479" customFormat="1" ht="12" customHeight="1">
      <c r="A38" s="1480"/>
      <c r="B38" s="1576">
        <v>45953</v>
      </c>
      <c r="C38" s="1593" t="s">
        <v>1107</v>
      </c>
      <c r="D38" s="1578"/>
      <c r="E38" s="1579">
        <v>10</v>
      </c>
      <c r="F38" s="1580" t="s">
        <v>21</v>
      </c>
      <c r="G38" s="1581"/>
      <c r="H38" s="1582"/>
      <c r="I38" s="1590"/>
      <c r="J38" s="1582"/>
      <c r="K38" s="1583">
        <v>6000</v>
      </c>
      <c r="L38" s="1324">
        <f>'[4]통장내역(환율표)'!$D$28</f>
        <v>7.116499952759173</v>
      </c>
      <c r="M38" s="1096">
        <f t="shared" si="4"/>
        <v>843.1110854815239</v>
      </c>
      <c r="N38" s="1585">
        <f t="shared" si="2"/>
        <v>418699.9600000002</v>
      </c>
      <c r="O38" s="1585">
        <f t="shared" si="3"/>
        <v>58835.110058870829</v>
      </c>
      <c r="P38" s="1591"/>
      <c r="Q38" s="1587"/>
      <c r="R38" s="1587"/>
      <c r="S38" s="1589">
        <f t="shared" si="5"/>
        <v>58835.109293121735</v>
      </c>
      <c r="T38" s="1478"/>
      <c r="U38" s="1479">
        <f t="shared" si="6"/>
        <v>58835.096294445131</v>
      </c>
      <c r="V38" s="1478">
        <f t="shared" si="7"/>
        <v>-1.2998676604183856E-2</v>
      </c>
      <c r="W38" s="1478"/>
      <c r="X38" s="1478"/>
      <c r="Y38" s="1478"/>
      <c r="Z38" s="1478"/>
      <c r="AA38" s="1478"/>
      <c r="AB38" s="1478"/>
      <c r="AC38" s="1478"/>
    </row>
    <row r="39" spans="1:29" s="1479" customFormat="1" ht="12" customHeight="1">
      <c r="A39" s="1480"/>
      <c r="B39" s="1576">
        <v>45953</v>
      </c>
      <c r="C39" s="1593" t="s">
        <v>1108</v>
      </c>
      <c r="D39" s="1578"/>
      <c r="E39" s="1579">
        <v>10</v>
      </c>
      <c r="F39" s="1580" t="s">
        <v>21</v>
      </c>
      <c r="G39" s="1581"/>
      <c r="H39" s="1582"/>
      <c r="I39" s="1590"/>
      <c r="J39" s="1582"/>
      <c r="K39" s="1583">
        <v>160</v>
      </c>
      <c r="L39" s="1324">
        <f>'[4]통장내역(환율표)'!$D$28</f>
        <v>7.116499952759173</v>
      </c>
      <c r="M39" s="1096">
        <f t="shared" si="4"/>
        <v>22.482962279507305</v>
      </c>
      <c r="N39" s="1585">
        <f t="shared" si="2"/>
        <v>418539.9600000002</v>
      </c>
      <c r="O39" s="1585">
        <f t="shared" si="3"/>
        <v>58812.627096591321</v>
      </c>
      <c r="P39" s="1591"/>
      <c r="Q39" s="1587"/>
      <c r="R39" s="1587"/>
      <c r="S39" s="1589">
        <f t="shared" si="5"/>
        <v>58812.626330842228</v>
      </c>
      <c r="T39" s="1478"/>
      <c r="U39" s="1479">
        <f t="shared" si="6"/>
        <v>58812.613332165631</v>
      </c>
      <c r="V39" s="1478">
        <f t="shared" si="7"/>
        <v>-1.2998676596907899E-2</v>
      </c>
      <c r="W39" s="1478"/>
      <c r="X39" s="1478"/>
      <c r="Y39" s="1478"/>
      <c r="Z39" s="1478"/>
      <c r="AA39" s="1478"/>
      <c r="AB39" s="1478"/>
      <c r="AC39" s="1478"/>
    </row>
    <row r="40" spans="1:29" s="1479" customFormat="1" ht="12" customHeight="1">
      <c r="A40" s="1480"/>
      <c r="B40" s="1576">
        <v>45953</v>
      </c>
      <c r="C40" s="1593" t="s">
        <v>445</v>
      </c>
      <c r="D40" s="1578"/>
      <c r="E40" s="1579">
        <v>11</v>
      </c>
      <c r="F40" s="1580" t="s">
        <v>21</v>
      </c>
      <c r="G40" s="1581"/>
      <c r="H40" s="1582"/>
      <c r="I40" s="1590"/>
      <c r="J40" s="1582"/>
      <c r="K40" s="1583">
        <v>7.2</v>
      </c>
      <c r="L40" s="1324">
        <f>'[4]통장내역(환율표)'!$D$28</f>
        <v>7.116499952759173</v>
      </c>
      <c r="M40" s="1096">
        <f t="shared" si="4"/>
        <v>1.0117333025778288</v>
      </c>
      <c r="N40" s="1585">
        <f t="shared" si="2"/>
        <v>418532.76000000018</v>
      </c>
      <c r="O40" s="1585">
        <f t="shared" si="3"/>
        <v>58811.615363288744</v>
      </c>
      <c r="P40" s="1591"/>
      <c r="Q40" s="1587"/>
      <c r="R40" s="1587"/>
      <c r="S40" s="1589">
        <f t="shared" si="5"/>
        <v>58811.61459753965</v>
      </c>
      <c r="T40" s="1478"/>
      <c r="U40" s="1479">
        <f t="shared" si="6"/>
        <v>58811.601598863046</v>
      </c>
      <c r="V40" s="1478">
        <f t="shared" si="7"/>
        <v>-1.2998676604183856E-2</v>
      </c>
      <c r="W40" s="1478"/>
      <c r="X40" s="1478"/>
      <c r="Y40" s="1478"/>
      <c r="Z40" s="1478"/>
      <c r="AA40" s="1478"/>
      <c r="AB40" s="1478"/>
      <c r="AC40" s="1478"/>
    </row>
    <row r="41" spans="1:29" s="1479" customFormat="1" ht="12" customHeight="1">
      <c r="A41" s="1480"/>
      <c r="B41" s="1576">
        <v>45953</v>
      </c>
      <c r="C41" s="1593" t="s">
        <v>1461</v>
      </c>
      <c r="D41" s="1578" t="s">
        <v>1426</v>
      </c>
      <c r="E41" s="1579">
        <v>12</v>
      </c>
      <c r="F41" s="1580" t="s">
        <v>19</v>
      </c>
      <c r="G41" s="1581" t="s">
        <v>1609</v>
      </c>
      <c r="H41" s="1582"/>
      <c r="I41" s="1590"/>
      <c r="J41" s="1582"/>
      <c r="K41" s="1583">
        <v>917</v>
      </c>
      <c r="L41" s="1324">
        <f>'[4]통장내역(환율표)'!$D$28</f>
        <v>7.116499952759173</v>
      </c>
      <c r="M41" s="1096">
        <f t="shared" si="4"/>
        <v>128.85547756442622</v>
      </c>
      <c r="N41" s="1585">
        <f t="shared" si="2"/>
        <v>417615.76000000018</v>
      </c>
      <c r="O41" s="1585">
        <f t="shared" si="3"/>
        <v>58682.759885724314</v>
      </c>
      <c r="P41" s="1591"/>
      <c r="Q41" s="1587"/>
      <c r="R41" s="1587"/>
      <c r="S41" s="1589">
        <f t="shared" si="5"/>
        <v>58682.759119975221</v>
      </c>
      <c r="T41" s="1478"/>
      <c r="U41" s="1479">
        <f t="shared" si="6"/>
        <v>58682.746121298624</v>
      </c>
      <c r="V41" s="1478">
        <f t="shared" si="7"/>
        <v>-1.2998676596907899E-2</v>
      </c>
      <c r="W41" s="1478"/>
      <c r="X41" s="1478"/>
      <c r="Y41" s="1478"/>
      <c r="Z41" s="1478"/>
      <c r="AA41" s="1478"/>
      <c r="AB41" s="1478"/>
      <c r="AC41" s="1478"/>
    </row>
    <row r="42" spans="1:29" s="1479" customFormat="1" ht="12" customHeight="1">
      <c r="A42" s="1480"/>
      <c r="B42" s="1576">
        <v>45953</v>
      </c>
      <c r="C42" s="1593" t="s">
        <v>11</v>
      </c>
      <c r="D42" s="1578" t="s">
        <v>1426</v>
      </c>
      <c r="E42" s="1579">
        <v>13</v>
      </c>
      <c r="F42" s="1580" t="s">
        <v>11</v>
      </c>
      <c r="G42" s="1581" t="s">
        <v>12</v>
      </c>
      <c r="H42" s="1582"/>
      <c r="I42" s="1590"/>
      <c r="J42" s="1582"/>
      <c r="K42" s="1583">
        <v>1128.7</v>
      </c>
      <c r="L42" s="1324">
        <f>'[4]통장내역(환율표)'!$D$28</f>
        <v>7.116499952759173</v>
      </c>
      <c r="M42" s="1096">
        <f t="shared" si="4"/>
        <v>158.60324703049935</v>
      </c>
      <c r="N42" s="1585">
        <f t="shared" si="2"/>
        <v>416487.06000000017</v>
      </c>
      <c r="O42" s="1585">
        <f t="shared" si="3"/>
        <v>58524.156638693814</v>
      </c>
      <c r="P42" s="1591"/>
      <c r="Q42" s="1587"/>
      <c r="R42" s="1587"/>
      <c r="S42" s="1589">
        <f t="shared" si="5"/>
        <v>58524.155872944721</v>
      </c>
      <c r="T42" s="1478"/>
      <c r="U42" s="1479">
        <f t="shared" si="6"/>
        <v>58524.142874268124</v>
      </c>
      <c r="V42" s="1478">
        <f t="shared" si="7"/>
        <v>-1.2998676596907899E-2</v>
      </c>
      <c r="W42" s="1478"/>
      <c r="X42" s="1478"/>
      <c r="Y42" s="1478"/>
      <c r="Z42" s="1478"/>
      <c r="AA42" s="1478"/>
      <c r="AB42" s="1478"/>
      <c r="AC42" s="1478"/>
    </row>
    <row r="43" spans="1:29" s="1479" customFormat="1" ht="12" customHeight="1">
      <c r="A43" s="1480"/>
      <c r="B43" s="1576">
        <v>45953</v>
      </c>
      <c r="C43" s="1593" t="s">
        <v>1403</v>
      </c>
      <c r="D43" s="1578" t="s">
        <v>1426</v>
      </c>
      <c r="E43" s="1579">
        <v>14</v>
      </c>
      <c r="F43" s="1580" t="s">
        <v>13</v>
      </c>
      <c r="G43" s="1581" t="s">
        <v>14</v>
      </c>
      <c r="H43" s="1582"/>
      <c r="I43" s="1590"/>
      <c r="J43" s="1582"/>
      <c r="K43" s="1583">
        <v>19568.400000000001</v>
      </c>
      <c r="L43" s="1324">
        <f>'[4]통장내역(환율표)'!$D$28</f>
        <v>7.116499952759173</v>
      </c>
      <c r="M43" s="1096">
        <f t="shared" si="4"/>
        <v>2749.7224941894424</v>
      </c>
      <c r="N43" s="1585">
        <f t="shared" si="2"/>
        <v>396918.66000000015</v>
      </c>
      <c r="O43" s="1585">
        <f t="shared" si="3"/>
        <v>55774.434144504368</v>
      </c>
      <c r="P43" s="1591"/>
      <c r="Q43" s="1587"/>
      <c r="R43" s="1587"/>
      <c r="S43" s="1589">
        <f t="shared" si="5"/>
        <v>55774.433378755275</v>
      </c>
      <c r="T43" s="1478"/>
      <c r="U43" s="1479">
        <f t="shared" si="6"/>
        <v>55774.420380078678</v>
      </c>
      <c r="V43" s="1478">
        <f t="shared" si="7"/>
        <v>-1.2998676596907899E-2</v>
      </c>
      <c r="W43" s="1478"/>
      <c r="X43" s="1478"/>
      <c r="Y43" s="1478"/>
      <c r="Z43" s="1478"/>
      <c r="AA43" s="1478"/>
      <c r="AB43" s="1478"/>
      <c r="AC43" s="1478"/>
    </row>
    <row r="44" spans="1:29" s="1479" customFormat="1" ht="12" customHeight="1">
      <c r="A44" s="1480"/>
      <c r="B44" s="1576">
        <v>45953</v>
      </c>
      <c r="C44" s="1577" t="s">
        <v>1610</v>
      </c>
      <c r="D44" s="1578" t="s">
        <v>1426</v>
      </c>
      <c r="E44" s="1579">
        <v>15</v>
      </c>
      <c r="F44" s="1580" t="s">
        <v>21</v>
      </c>
      <c r="G44" s="1581"/>
      <c r="H44" s="1582"/>
      <c r="I44" s="1590"/>
      <c r="J44" s="1582"/>
      <c r="K44" s="1583">
        <v>21108</v>
      </c>
      <c r="L44" s="1324">
        <f>'[4]통장내역(환율표)'!$D$28</f>
        <v>7.116499952759173</v>
      </c>
      <c r="M44" s="1096">
        <f t="shared" si="4"/>
        <v>2966.0647987240013</v>
      </c>
      <c r="N44" s="1585">
        <f t="shared" si="2"/>
        <v>375810.66000000015</v>
      </c>
      <c r="O44" s="1585">
        <f t="shared" si="3"/>
        <v>52808.369345780367</v>
      </c>
      <c r="P44" s="1591"/>
      <c r="Q44" s="1587"/>
      <c r="R44" s="1587"/>
      <c r="S44" s="1589">
        <f t="shared" si="5"/>
        <v>52808.368580031274</v>
      </c>
      <c r="T44" s="1478"/>
      <c r="U44" s="1479">
        <f t="shared" si="6"/>
        <v>52808.355581354677</v>
      </c>
      <c r="V44" s="1478">
        <f t="shared" si="7"/>
        <v>-1.2998676596907899E-2</v>
      </c>
      <c r="W44" s="1478"/>
      <c r="X44" s="1478"/>
      <c r="Y44" s="1478"/>
      <c r="Z44" s="1478"/>
      <c r="AA44" s="1478"/>
      <c r="AB44" s="1478"/>
      <c r="AC44" s="1478"/>
    </row>
    <row r="45" spans="1:29" s="1479" customFormat="1" ht="12" customHeight="1">
      <c r="A45" s="1480"/>
      <c r="B45" s="1576">
        <v>45953</v>
      </c>
      <c r="C45" s="1577" t="s">
        <v>445</v>
      </c>
      <c r="D45" s="1578" t="s">
        <v>1426</v>
      </c>
      <c r="E45" s="1579">
        <v>16</v>
      </c>
      <c r="F45" s="1580" t="s">
        <v>21</v>
      </c>
      <c r="G45" s="1581"/>
      <c r="H45" s="1582"/>
      <c r="I45" s="1582"/>
      <c r="J45" s="1582"/>
      <c r="K45" s="1583">
        <v>7.2</v>
      </c>
      <c r="L45" s="1324">
        <f>'[4]통장내역(환율표)'!$D$28</f>
        <v>7.116499952759173</v>
      </c>
      <c r="M45" s="1096">
        <f t="shared" si="4"/>
        <v>1.0117333025778288</v>
      </c>
      <c r="N45" s="1585">
        <f t="shared" si="2"/>
        <v>375803.46000000014</v>
      </c>
      <c r="O45" s="1585">
        <f t="shared" si="3"/>
        <v>52807.35761247779</v>
      </c>
      <c r="P45" s="1591"/>
      <c r="Q45" s="1587"/>
      <c r="R45" s="1587"/>
      <c r="S45" s="1589">
        <f t="shared" si="5"/>
        <v>52807.356846728697</v>
      </c>
      <c r="T45" s="1478"/>
      <c r="U45" s="1479">
        <f t="shared" si="6"/>
        <v>52807.343848052093</v>
      </c>
      <c r="V45" s="1478">
        <f t="shared" si="7"/>
        <v>-1.2998676604183856E-2</v>
      </c>
      <c r="W45" s="1478"/>
      <c r="X45" s="1478"/>
      <c r="Y45" s="1478"/>
      <c r="Z45" s="1478"/>
      <c r="AA45" s="1478"/>
      <c r="AB45" s="1478"/>
      <c r="AC45" s="1478"/>
    </row>
    <row r="46" spans="1:29" s="1479" customFormat="1" ht="12" customHeight="1">
      <c r="A46" s="1480"/>
      <c r="B46" s="1576">
        <v>45953</v>
      </c>
      <c r="C46" s="1577" t="s">
        <v>1611</v>
      </c>
      <c r="D46" s="1578" t="s">
        <v>1612</v>
      </c>
      <c r="E46" s="1579">
        <v>17</v>
      </c>
      <c r="F46" s="1580" t="s">
        <v>13</v>
      </c>
      <c r="G46" s="1581" t="s">
        <v>14</v>
      </c>
      <c r="H46" s="1582"/>
      <c r="I46" s="1582"/>
      <c r="J46" s="1582"/>
      <c r="K46" s="1583">
        <v>124.5</v>
      </c>
      <c r="L46" s="1324">
        <f>'[4]통장내역(환율표)'!$D$28</f>
        <v>7.116499952759173</v>
      </c>
      <c r="M46" s="1096">
        <f t="shared" si="4"/>
        <v>17.494555023741622</v>
      </c>
      <c r="N46" s="1585">
        <f t="shared" si="2"/>
        <v>375678.96000000014</v>
      </c>
      <c r="O46" s="1585">
        <f t="shared" si="3"/>
        <v>52789.863057454051</v>
      </c>
      <c r="P46" s="1591"/>
      <c r="Q46" s="1587"/>
      <c r="R46" s="1587"/>
      <c r="S46" s="1589">
        <f t="shared" si="5"/>
        <v>52789.862291704958</v>
      </c>
      <c r="T46" s="1478"/>
      <c r="U46" s="1479">
        <f t="shared" si="6"/>
        <v>52789.849293028354</v>
      </c>
      <c r="V46" s="1478">
        <f t="shared" si="7"/>
        <v>-1.2998676604183856E-2</v>
      </c>
      <c r="W46" s="1478"/>
      <c r="X46" s="1478"/>
      <c r="Y46" s="1478"/>
      <c r="Z46" s="1478"/>
      <c r="AA46" s="1478"/>
      <c r="AB46" s="1478"/>
      <c r="AC46" s="1478"/>
    </row>
    <row r="47" spans="1:29" s="1479" customFormat="1" ht="12" customHeight="1">
      <c r="A47" s="1480"/>
      <c r="B47" s="1576">
        <v>45953</v>
      </c>
      <c r="C47" s="1577" t="s">
        <v>1403</v>
      </c>
      <c r="D47" s="1578" t="s">
        <v>1612</v>
      </c>
      <c r="E47" s="1579">
        <v>18</v>
      </c>
      <c r="F47" s="1580" t="s">
        <v>13</v>
      </c>
      <c r="G47" s="1581" t="s">
        <v>14</v>
      </c>
      <c r="H47" s="1582"/>
      <c r="I47" s="1582"/>
      <c r="J47" s="1582"/>
      <c r="K47" s="1583">
        <v>5731.42</v>
      </c>
      <c r="L47" s="1324">
        <f>'[4]통장내역(환율표)'!$D$28</f>
        <v>7.116499952759173</v>
      </c>
      <c r="M47" s="1096">
        <f t="shared" si="4"/>
        <v>805.37062292508597</v>
      </c>
      <c r="N47" s="1585">
        <f t="shared" si="2"/>
        <v>369947.54000000015</v>
      </c>
      <c r="O47" s="1585">
        <f t="shared" si="3"/>
        <v>51984.492434528962</v>
      </c>
      <c r="P47" s="1591"/>
      <c r="Q47" s="1587"/>
      <c r="R47" s="1587"/>
      <c r="S47" s="1589">
        <f t="shared" si="5"/>
        <v>51984.491668779869</v>
      </c>
      <c r="T47" s="1478"/>
      <c r="U47" s="1479">
        <f t="shared" si="6"/>
        <v>51984.478670103272</v>
      </c>
      <c r="V47" s="1478">
        <f t="shared" si="7"/>
        <v>-1.2998676596907899E-2</v>
      </c>
      <c r="W47" s="1478"/>
      <c r="X47" s="1478"/>
      <c r="Y47" s="1478"/>
      <c r="Z47" s="1478"/>
      <c r="AA47" s="1478"/>
      <c r="AB47" s="1478"/>
      <c r="AC47" s="1478"/>
    </row>
    <row r="48" spans="1:29" s="1479" customFormat="1" ht="12" customHeight="1">
      <c r="A48" s="1480"/>
      <c r="B48" s="1576">
        <v>45953</v>
      </c>
      <c r="C48" s="1577" t="s">
        <v>19</v>
      </c>
      <c r="D48" s="1578" t="s">
        <v>1612</v>
      </c>
      <c r="E48" s="1579">
        <v>19</v>
      </c>
      <c r="F48" s="1580" t="s">
        <v>19</v>
      </c>
      <c r="G48" s="1581" t="s">
        <v>1609</v>
      </c>
      <c r="H48" s="1582"/>
      <c r="I48" s="1582"/>
      <c r="J48" s="1582"/>
      <c r="K48" s="1583">
        <v>398</v>
      </c>
      <c r="L48" s="1324">
        <f>'[4]통장내역(환율표)'!$D$28</f>
        <v>7.116499952759173</v>
      </c>
      <c r="M48" s="1096">
        <f t="shared" si="4"/>
        <v>55.926368670274421</v>
      </c>
      <c r="N48" s="1585">
        <f t="shared" si="2"/>
        <v>369549.54000000015</v>
      </c>
      <c r="O48" s="1585">
        <f t="shared" si="3"/>
        <v>51928.566065858686</v>
      </c>
      <c r="P48" s="1591"/>
      <c r="Q48" s="1587"/>
      <c r="R48" s="1587"/>
      <c r="S48" s="1589">
        <f t="shared" si="5"/>
        <v>51928.565300109592</v>
      </c>
      <c r="T48" s="1478"/>
      <c r="U48" s="1479">
        <f t="shared" si="6"/>
        <v>51928.552301432996</v>
      </c>
      <c r="V48" s="1478">
        <f t="shared" si="7"/>
        <v>-1.2998676596907899E-2</v>
      </c>
      <c r="W48" s="1478"/>
      <c r="X48" s="1478"/>
      <c r="Y48" s="1478"/>
      <c r="Z48" s="1478"/>
      <c r="AA48" s="1478"/>
      <c r="AB48" s="1478"/>
      <c r="AC48" s="1478"/>
    </row>
    <row r="49" spans="1:29" s="1479" customFormat="1" ht="12" customHeight="1">
      <c r="A49" s="1480"/>
      <c r="B49" s="1576">
        <v>45953</v>
      </c>
      <c r="C49" s="1577" t="s">
        <v>445</v>
      </c>
      <c r="D49" s="1578" t="s">
        <v>1612</v>
      </c>
      <c r="E49" s="1579">
        <v>20</v>
      </c>
      <c r="F49" s="1580" t="s">
        <v>21</v>
      </c>
      <c r="G49" s="1581"/>
      <c r="H49" s="1582"/>
      <c r="I49" s="1582"/>
      <c r="J49" s="1582"/>
      <c r="K49" s="1583">
        <v>3.6</v>
      </c>
      <c r="L49" s="1324">
        <f>'[4]통장내역(환율표)'!$D$28</f>
        <v>7.116499952759173</v>
      </c>
      <c r="M49" s="1096">
        <f t="shared" si="4"/>
        <v>0.50586665128891439</v>
      </c>
      <c r="N49" s="1585">
        <f t="shared" si="2"/>
        <v>369545.94000000018</v>
      </c>
      <c r="O49" s="1585">
        <f t="shared" si="3"/>
        <v>51928.060199207393</v>
      </c>
      <c r="Q49" s="1587"/>
      <c r="R49" s="1587"/>
      <c r="S49" s="1589">
        <f t="shared" si="5"/>
        <v>51928.0594334583</v>
      </c>
      <c r="T49" s="1478"/>
      <c r="V49" s="1478"/>
      <c r="W49" s="1478"/>
      <c r="X49" s="1478"/>
      <c r="Y49" s="1478"/>
      <c r="Z49" s="1478"/>
      <c r="AA49" s="1478"/>
      <c r="AB49" s="1478"/>
      <c r="AC49" s="1478"/>
    </row>
    <row r="50" spans="1:29" s="1479" customFormat="1" ht="12" customHeight="1">
      <c r="A50" s="1480"/>
      <c r="B50" s="1576">
        <v>45953</v>
      </c>
      <c r="C50" s="1577" t="s">
        <v>1403</v>
      </c>
      <c r="D50" s="1578" t="s">
        <v>1613</v>
      </c>
      <c r="E50" s="1579">
        <v>21</v>
      </c>
      <c r="F50" s="1580" t="s">
        <v>13</v>
      </c>
      <c r="G50" s="1581" t="s">
        <v>14</v>
      </c>
      <c r="H50" s="1582"/>
      <c r="I50" s="1582"/>
      <c r="J50" s="1582"/>
      <c r="K50" s="1583">
        <v>7159.74</v>
      </c>
      <c r="L50" s="1324">
        <f>'[4]통장내역(환율표)'!$D$28</f>
        <v>7.116499952759173</v>
      </c>
      <c r="M50" s="1096">
        <f t="shared" si="4"/>
        <v>1006.0760271942477</v>
      </c>
      <c r="N50" s="1585">
        <f t="shared" si="2"/>
        <v>362386.20000000019</v>
      </c>
      <c r="O50" s="1585">
        <f t="shared" si="3"/>
        <v>50921.984172013144</v>
      </c>
      <c r="P50" s="1591"/>
      <c r="Q50" s="1587"/>
      <c r="R50" s="1587"/>
      <c r="S50" s="1589">
        <f t="shared" si="5"/>
        <v>50921.983406264051</v>
      </c>
      <c r="T50" s="1478"/>
      <c r="V50" s="1478"/>
      <c r="W50" s="1478"/>
      <c r="X50" s="1478"/>
      <c r="Y50" s="1478"/>
      <c r="Z50" s="1478"/>
      <c r="AA50" s="1478"/>
      <c r="AB50" s="1478"/>
      <c r="AC50" s="1478"/>
    </row>
    <row r="51" spans="1:29" s="1484" customFormat="1" ht="11.25" customHeight="1">
      <c r="A51" s="1480"/>
      <c r="B51" s="1576">
        <v>45953</v>
      </c>
      <c r="C51" s="1577" t="s">
        <v>1611</v>
      </c>
      <c r="D51" s="1578" t="s">
        <v>1613</v>
      </c>
      <c r="E51" s="1579">
        <v>22</v>
      </c>
      <c r="F51" s="1580" t="s">
        <v>13</v>
      </c>
      <c r="G51" s="1581" t="s">
        <v>14</v>
      </c>
      <c r="H51" s="1594"/>
      <c r="I51" s="1595"/>
      <c r="J51" s="1595"/>
      <c r="K51" s="1583">
        <v>191.8</v>
      </c>
      <c r="L51" s="1324">
        <f>'[4]통장내역(환율표)'!$D$28</f>
        <v>7.116499952759173</v>
      </c>
      <c r="M51" s="1096">
        <f t="shared" si="4"/>
        <v>26.951451032559383</v>
      </c>
      <c r="N51" s="1585">
        <f t="shared" si="2"/>
        <v>362194.4000000002</v>
      </c>
      <c r="O51" s="1585">
        <f t="shared" si="3"/>
        <v>50895.032720980584</v>
      </c>
      <c r="P51" s="1591"/>
      <c r="Q51" s="1587"/>
      <c r="R51" s="1587"/>
      <c r="S51" s="1589">
        <f t="shared" si="5"/>
        <v>50895.03195523149</v>
      </c>
      <c r="T51" s="1478"/>
      <c r="U51" s="1479">
        <f>N51/L51</f>
        <v>50895.018956554908</v>
      </c>
      <c r="V51" s="1478">
        <f>U51-S51</f>
        <v>-1.2998676582355984E-2</v>
      </c>
      <c r="W51" s="1478"/>
      <c r="X51" s="1478"/>
      <c r="Y51" s="1478"/>
      <c r="Z51" s="1478"/>
      <c r="AA51" s="1478"/>
      <c r="AB51" s="1478"/>
      <c r="AC51" s="1478"/>
    </row>
    <row r="52" spans="1:29" s="1484" customFormat="1" ht="11.25" customHeight="1">
      <c r="A52" s="1480"/>
      <c r="B52" s="1576">
        <v>45953</v>
      </c>
      <c r="C52" s="1577" t="s">
        <v>1409</v>
      </c>
      <c r="D52" s="1578" t="s">
        <v>1613</v>
      </c>
      <c r="E52" s="1579">
        <v>23</v>
      </c>
      <c r="F52" s="1580" t="s">
        <v>21</v>
      </c>
      <c r="G52" s="1581" t="s">
        <v>12</v>
      </c>
      <c r="H52" s="1594"/>
      <c r="I52" s="1595"/>
      <c r="J52" s="1595"/>
      <c r="K52" s="1583">
        <v>35</v>
      </c>
      <c r="L52" s="1324">
        <f>'[4]통장내역(환율표)'!$D$28</f>
        <v>7.116499952759173</v>
      </c>
      <c r="M52" s="1096">
        <f t="shared" si="4"/>
        <v>4.9181479986422225</v>
      </c>
      <c r="N52" s="1585">
        <f t="shared" ref="N52:N88" si="8">N51+H52-K52</f>
        <v>362159.4000000002</v>
      </c>
      <c r="O52" s="1585">
        <f t="shared" ref="O52:O88" si="9">O51+J52-M52</f>
        <v>50890.11457298194</v>
      </c>
      <c r="P52" s="1591"/>
      <c r="Q52" s="1587"/>
      <c r="R52" s="1587"/>
      <c r="S52" s="1589">
        <f t="shared" si="5"/>
        <v>50890.113807232847</v>
      </c>
      <c r="T52" s="1478"/>
      <c r="U52" s="1479">
        <f>N52/L52</f>
        <v>50890.100808556264</v>
      </c>
      <c r="V52" s="1478">
        <f>U52-S52</f>
        <v>-1.2998676582355984E-2</v>
      </c>
      <c r="W52" s="1478"/>
      <c r="X52" s="1478"/>
      <c r="Y52" s="1478"/>
      <c r="Z52" s="1478"/>
      <c r="AA52" s="1478"/>
      <c r="AB52" s="1478"/>
      <c r="AC52" s="1478"/>
    </row>
    <row r="53" spans="1:29" s="1484" customFormat="1" ht="11.25" customHeight="1">
      <c r="A53" s="1480"/>
      <c r="B53" s="1576">
        <v>45953</v>
      </c>
      <c r="C53" s="1577" t="s">
        <v>1405</v>
      </c>
      <c r="D53" s="1578" t="s">
        <v>1613</v>
      </c>
      <c r="E53" s="1579">
        <v>24</v>
      </c>
      <c r="F53" s="1580" t="s">
        <v>21</v>
      </c>
      <c r="G53" s="1581"/>
      <c r="H53" s="1594"/>
      <c r="I53" s="1595"/>
      <c r="J53" s="1595"/>
      <c r="K53" s="1583">
        <v>18</v>
      </c>
      <c r="L53" s="1324">
        <f>'[4]통장내역(환율표)'!$D$28</f>
        <v>7.116499952759173</v>
      </c>
      <c r="M53" s="1096">
        <f t="shared" si="4"/>
        <v>2.5293332564445716</v>
      </c>
      <c r="N53" s="1585">
        <f t="shared" si="8"/>
        <v>362141.4000000002</v>
      </c>
      <c r="O53" s="1585">
        <f t="shared" si="9"/>
        <v>50887.585239725493</v>
      </c>
      <c r="P53" s="1591"/>
      <c r="Q53" s="1587"/>
      <c r="R53" s="1587"/>
      <c r="S53" s="1589">
        <f t="shared" si="5"/>
        <v>50887.5844739764</v>
      </c>
      <c r="T53" s="1478"/>
      <c r="U53" s="1479">
        <f>N53/L53</f>
        <v>50887.571475299817</v>
      </c>
      <c r="V53" s="1478">
        <f>U53-S53</f>
        <v>-1.2998676582355984E-2</v>
      </c>
      <c r="W53" s="1478"/>
      <c r="X53" s="1478"/>
      <c r="Y53" s="1478"/>
      <c r="Z53" s="1478"/>
      <c r="AA53" s="1478"/>
      <c r="AB53" s="1478"/>
      <c r="AC53" s="1478"/>
    </row>
    <row r="54" spans="1:29" s="1484" customFormat="1" ht="11.25" customHeight="1">
      <c r="A54" s="1480"/>
      <c r="B54" s="1576">
        <v>45953</v>
      </c>
      <c r="C54" s="1577" t="s">
        <v>19</v>
      </c>
      <c r="D54" s="1578" t="s">
        <v>1613</v>
      </c>
      <c r="E54" s="1579">
        <v>25</v>
      </c>
      <c r="F54" s="1580" t="s">
        <v>19</v>
      </c>
      <c r="G54" s="1581" t="s">
        <v>1609</v>
      </c>
      <c r="H54" s="1594"/>
      <c r="I54" s="1595"/>
      <c r="J54" s="1595"/>
      <c r="K54" s="1583">
        <v>200</v>
      </c>
      <c r="L54" s="1324">
        <f>'[4]통장내역(환율표)'!$D$28</f>
        <v>7.116499952759173</v>
      </c>
      <c r="M54" s="1096">
        <f t="shared" si="4"/>
        <v>28.103702849384131</v>
      </c>
      <c r="N54" s="1585">
        <f t="shared" si="8"/>
        <v>361941.4000000002</v>
      </c>
      <c r="O54" s="1585">
        <f t="shared" si="9"/>
        <v>50859.481536876112</v>
      </c>
      <c r="P54" s="1591"/>
      <c r="Q54" s="1587"/>
      <c r="R54" s="1587"/>
      <c r="S54" s="1589">
        <f t="shared" si="5"/>
        <v>50859.480771127019</v>
      </c>
      <c r="T54" s="1478"/>
      <c r="U54" s="1479">
        <f>N54/L54</f>
        <v>50859.467772450436</v>
      </c>
      <c r="V54" s="1478">
        <f>U54-S54</f>
        <v>-1.2998676582355984E-2</v>
      </c>
      <c r="W54" s="1478"/>
      <c r="X54" s="1478"/>
      <c r="Y54" s="1478"/>
      <c r="Z54" s="1478"/>
      <c r="AA54" s="1478"/>
      <c r="AB54" s="1478"/>
      <c r="AC54" s="1478"/>
    </row>
    <row r="55" spans="1:29" s="1484" customFormat="1" ht="11.25" customHeight="1">
      <c r="A55" s="1480"/>
      <c r="B55" s="1576">
        <v>45953</v>
      </c>
      <c r="C55" s="1577" t="s">
        <v>445</v>
      </c>
      <c r="D55" s="1578" t="s">
        <v>1613</v>
      </c>
      <c r="E55" s="1579">
        <v>26</v>
      </c>
      <c r="F55" s="1580" t="s">
        <v>21</v>
      </c>
      <c r="G55" s="1581"/>
      <c r="H55" s="1582"/>
      <c r="I55" s="1582"/>
      <c r="J55" s="1582"/>
      <c r="K55" s="1583">
        <v>3.6</v>
      </c>
      <c r="L55" s="1324">
        <f>'[4]통장내역(환율표)'!$D$28</f>
        <v>7.116499952759173</v>
      </c>
      <c r="M55" s="1096">
        <f t="shared" ref="M55:M86" si="10">K55/L55</f>
        <v>0.50586665128891439</v>
      </c>
      <c r="N55" s="1585">
        <f t="shared" si="8"/>
        <v>361937.80000000022</v>
      </c>
      <c r="O55" s="1585">
        <f t="shared" si="9"/>
        <v>50858.97567022482</v>
      </c>
      <c r="P55" s="1591"/>
      <c r="Q55" s="1587"/>
      <c r="R55" s="1587"/>
      <c r="S55" s="1589">
        <f t="shared" si="5"/>
        <v>50858.974904475726</v>
      </c>
      <c r="T55" s="1478"/>
      <c r="U55" s="1479"/>
      <c r="V55" s="1478"/>
      <c r="W55" s="1478"/>
      <c r="X55" s="1478"/>
      <c r="Y55" s="1478"/>
      <c r="Z55" s="1478"/>
      <c r="AA55" s="1478"/>
      <c r="AB55" s="1478"/>
      <c r="AC55" s="1478"/>
    </row>
    <row r="56" spans="1:29" s="1484" customFormat="1" ht="11.25" customHeight="1">
      <c r="A56" s="1480"/>
      <c r="B56" s="1576">
        <v>45953</v>
      </c>
      <c r="C56" s="1596" t="s">
        <v>11</v>
      </c>
      <c r="D56" s="1578" t="s">
        <v>1436</v>
      </c>
      <c r="E56" s="1579">
        <v>27</v>
      </c>
      <c r="F56" s="1580" t="s">
        <v>11</v>
      </c>
      <c r="G56" s="1581" t="s">
        <v>12</v>
      </c>
      <c r="H56" s="1582"/>
      <c r="I56" s="1582"/>
      <c r="J56" s="1582"/>
      <c r="K56" s="1583">
        <v>553.66999999999996</v>
      </c>
      <c r="L56" s="1324">
        <f>'[4]통장내역(환율표)'!$D$28</f>
        <v>7.116499952759173</v>
      </c>
      <c r="M56" s="1096">
        <f t="shared" si="10"/>
        <v>77.800885783092554</v>
      </c>
      <c r="N56" s="1585">
        <f t="shared" si="8"/>
        <v>361384.13000000024</v>
      </c>
      <c r="O56" s="1585">
        <f t="shared" si="9"/>
        <v>50781.174784441726</v>
      </c>
      <c r="P56" s="1591"/>
      <c r="Q56" s="1587"/>
      <c r="R56" s="1634" t="s">
        <v>1619</v>
      </c>
      <c r="S56" s="1589">
        <f t="shared" ref="S56:S88" si="11">S55-M56+J56</f>
        <v>50781.174018692633</v>
      </c>
      <c r="T56" s="1478"/>
      <c r="U56" s="1479"/>
      <c r="V56" s="1478"/>
      <c r="W56" s="1478"/>
      <c r="X56" s="1478"/>
      <c r="Y56" s="1478"/>
      <c r="Z56" s="1478"/>
      <c r="AA56" s="1478"/>
      <c r="AB56" s="1478"/>
      <c r="AC56" s="1478"/>
    </row>
    <row r="57" spans="1:29" s="1484" customFormat="1" ht="11.25" customHeight="1">
      <c r="A57" s="1480"/>
      <c r="B57" s="1576">
        <v>45953</v>
      </c>
      <c r="C57" s="1577" t="s">
        <v>1611</v>
      </c>
      <c r="D57" s="1578" t="s">
        <v>1436</v>
      </c>
      <c r="E57" s="1579">
        <v>28</v>
      </c>
      <c r="F57" s="1580" t="s">
        <v>13</v>
      </c>
      <c r="G57" s="1581" t="s">
        <v>14</v>
      </c>
      <c r="H57" s="1594"/>
      <c r="I57" s="1595"/>
      <c r="J57" s="1582"/>
      <c r="K57" s="1583">
        <v>130</v>
      </c>
      <c r="L57" s="1324">
        <f>'[4]통장내역(환율표)'!$D$28</f>
        <v>7.116499952759173</v>
      </c>
      <c r="M57" s="1096">
        <f t="shared" si="10"/>
        <v>18.267406852099686</v>
      </c>
      <c r="N57" s="1585">
        <f t="shared" si="8"/>
        <v>361254.13000000024</v>
      </c>
      <c r="O57" s="1585">
        <f t="shared" si="9"/>
        <v>50762.907377589625</v>
      </c>
      <c r="P57" s="1591"/>
      <c r="Q57" s="1587"/>
      <c r="R57" s="1587"/>
      <c r="S57" s="1589">
        <f t="shared" si="11"/>
        <v>50762.906611840532</v>
      </c>
      <c r="T57" s="1478"/>
      <c r="U57" s="1479">
        <f>N57/L57</f>
        <v>50762.893613163957</v>
      </c>
      <c r="V57" s="1478">
        <f>U57-S57</f>
        <v>-1.2998676575080026E-2</v>
      </c>
      <c r="W57" s="1478"/>
      <c r="X57" s="1478"/>
      <c r="Y57" s="1478"/>
      <c r="Z57" s="1478"/>
      <c r="AA57" s="1478"/>
      <c r="AB57" s="1478"/>
      <c r="AC57" s="1478"/>
    </row>
    <row r="58" spans="1:29" s="1484" customFormat="1" ht="11.25" customHeight="1">
      <c r="A58" s="1480"/>
      <c r="B58" s="1576">
        <v>45953</v>
      </c>
      <c r="C58" s="1577" t="s">
        <v>19</v>
      </c>
      <c r="D58" s="1578" t="s">
        <v>1436</v>
      </c>
      <c r="E58" s="1579">
        <v>29</v>
      </c>
      <c r="F58" s="1580" t="s">
        <v>19</v>
      </c>
      <c r="G58" s="1581" t="s">
        <v>1609</v>
      </c>
      <c r="H58" s="1582"/>
      <c r="I58" s="1582"/>
      <c r="J58" s="1582"/>
      <c r="K58" s="1583">
        <v>249.4</v>
      </c>
      <c r="L58" s="1324">
        <f>'[4]통장내역(환율표)'!$D$28</f>
        <v>7.116499952759173</v>
      </c>
      <c r="M58" s="1096">
        <f t="shared" si="10"/>
        <v>35.045317453182008</v>
      </c>
      <c r="N58" s="1585">
        <f t="shared" si="8"/>
        <v>361004.73000000021</v>
      </c>
      <c r="O58" s="1585">
        <f t="shared" si="9"/>
        <v>50727.862060136446</v>
      </c>
      <c r="P58" s="1591"/>
      <c r="Q58" s="1587"/>
      <c r="R58" s="1587"/>
      <c r="S58" s="1589">
        <f t="shared" si="11"/>
        <v>50727.861294387352</v>
      </c>
      <c r="T58" s="1478"/>
      <c r="U58" s="1479">
        <f>N58/L58</f>
        <v>50727.84829571077</v>
      </c>
      <c r="V58" s="1478">
        <f>U58-S58</f>
        <v>-1.2998676582355984E-2</v>
      </c>
      <c r="W58" s="1478"/>
      <c r="X58" s="1478"/>
      <c r="Y58" s="1478"/>
      <c r="Z58" s="1478"/>
      <c r="AA58" s="1478"/>
      <c r="AB58" s="1478"/>
      <c r="AC58" s="1478"/>
    </row>
    <row r="59" spans="1:29" s="1484" customFormat="1" ht="11.25" customHeight="1">
      <c r="A59" s="1480"/>
      <c r="B59" s="1576">
        <v>45953</v>
      </c>
      <c r="C59" s="1577" t="s">
        <v>1405</v>
      </c>
      <c r="D59" s="1578" t="s">
        <v>1436</v>
      </c>
      <c r="E59" s="1579">
        <v>30</v>
      </c>
      <c r="F59" s="1580" t="s">
        <v>21</v>
      </c>
      <c r="G59" s="1581"/>
      <c r="H59" s="1582"/>
      <c r="I59" s="1590"/>
      <c r="J59" s="1582"/>
      <c r="K59" s="1583">
        <v>62.74</v>
      </c>
      <c r="L59" s="1324">
        <f>'[4]통장내역(환율표)'!$D$28</f>
        <v>7.116499952759173</v>
      </c>
      <c r="M59" s="1096">
        <f t="shared" si="10"/>
        <v>8.8161315838518028</v>
      </c>
      <c r="N59" s="1585">
        <f t="shared" si="8"/>
        <v>360941.99000000022</v>
      </c>
      <c r="O59" s="1585">
        <f t="shared" si="9"/>
        <v>50719.045928552594</v>
      </c>
      <c r="P59" s="1591"/>
      <c r="Q59" s="1587"/>
      <c r="R59" s="1587"/>
      <c r="S59" s="1589">
        <f t="shared" si="11"/>
        <v>50719.045162803501</v>
      </c>
      <c r="T59" s="1478"/>
      <c r="U59" s="1479"/>
      <c r="V59" s="1478"/>
      <c r="W59" s="1478"/>
      <c r="X59" s="1478"/>
      <c r="Y59" s="1478"/>
      <c r="Z59" s="1478"/>
      <c r="AA59" s="1478"/>
      <c r="AB59" s="1478"/>
      <c r="AC59" s="1478"/>
    </row>
    <row r="60" spans="1:29" s="1484" customFormat="1" ht="11.25" customHeight="1">
      <c r="A60" s="1480"/>
      <c r="B60" s="1576">
        <v>45953</v>
      </c>
      <c r="C60" s="1577" t="s">
        <v>445</v>
      </c>
      <c r="D60" s="1578" t="s">
        <v>1436</v>
      </c>
      <c r="E60" s="1579">
        <v>31</v>
      </c>
      <c r="F60" s="1580" t="s">
        <v>21</v>
      </c>
      <c r="G60" s="1581"/>
      <c r="H60" s="1582"/>
      <c r="I60" s="1582"/>
      <c r="J60" s="1582"/>
      <c r="K60" s="1583">
        <v>3.6</v>
      </c>
      <c r="L60" s="1324">
        <f>'[4]통장내역(환율표)'!$D$28</f>
        <v>7.116499952759173</v>
      </c>
      <c r="M60" s="1096">
        <f t="shared" si="10"/>
        <v>0.50586665128891439</v>
      </c>
      <c r="N60" s="1585">
        <f t="shared" si="8"/>
        <v>360938.39000000025</v>
      </c>
      <c r="O60" s="1585">
        <f t="shared" si="9"/>
        <v>50718.540061901302</v>
      </c>
      <c r="P60" s="1591"/>
      <c r="Q60" s="1587"/>
      <c r="R60" s="1587"/>
      <c r="S60" s="1589">
        <f t="shared" si="11"/>
        <v>50718.539296152208</v>
      </c>
      <c r="T60" s="1478"/>
      <c r="U60" s="1479"/>
      <c r="V60" s="1478"/>
      <c r="W60" s="1478"/>
      <c r="X60" s="1478"/>
      <c r="Y60" s="1478"/>
      <c r="Z60" s="1478"/>
      <c r="AA60" s="1478"/>
      <c r="AB60" s="1478"/>
      <c r="AC60" s="1478"/>
    </row>
    <row r="61" spans="1:29" s="1484" customFormat="1" ht="11.25" customHeight="1">
      <c r="A61" s="1480"/>
      <c r="B61" s="1576">
        <v>45953</v>
      </c>
      <c r="C61" s="1577" t="s">
        <v>1611</v>
      </c>
      <c r="D61" s="1578" t="s">
        <v>1435</v>
      </c>
      <c r="E61" s="1579">
        <v>32</v>
      </c>
      <c r="F61" s="1580" t="s">
        <v>13</v>
      </c>
      <c r="G61" s="1581" t="s">
        <v>14</v>
      </c>
      <c r="H61" s="1582"/>
      <c r="I61" s="1582"/>
      <c r="J61" s="1582"/>
      <c r="K61" s="1583">
        <v>26.2</v>
      </c>
      <c r="L61" s="1324">
        <f>'[4]통장내역(환율표)'!$D$28</f>
        <v>7.116499952759173</v>
      </c>
      <c r="M61" s="1096">
        <f t="shared" si="10"/>
        <v>3.6815850732693209</v>
      </c>
      <c r="N61" s="1585">
        <f t="shared" si="8"/>
        <v>360912.19000000024</v>
      </c>
      <c r="O61" s="1585">
        <f t="shared" si="9"/>
        <v>50714.858476828034</v>
      </c>
      <c r="P61" s="1591"/>
      <c r="Q61" s="1587"/>
      <c r="R61" s="1587"/>
      <c r="S61" s="1589">
        <f t="shared" si="11"/>
        <v>50714.857711078941</v>
      </c>
      <c r="T61" s="1478"/>
      <c r="U61" s="1479"/>
      <c r="V61" s="1478"/>
      <c r="W61" s="1478"/>
      <c r="X61" s="1478"/>
      <c r="Y61" s="1478"/>
      <c r="Z61" s="1478"/>
      <c r="AA61" s="1478"/>
      <c r="AB61" s="1478"/>
      <c r="AC61" s="1478"/>
    </row>
    <row r="62" spans="1:29" s="1484" customFormat="1" ht="11.25" customHeight="1">
      <c r="A62" s="1480"/>
      <c r="B62" s="1576">
        <v>45953</v>
      </c>
      <c r="C62" s="1577" t="s">
        <v>19</v>
      </c>
      <c r="D62" s="1578" t="s">
        <v>1435</v>
      </c>
      <c r="E62" s="1579">
        <v>33</v>
      </c>
      <c r="F62" s="1580" t="s">
        <v>19</v>
      </c>
      <c r="G62" s="1581" t="s">
        <v>1609</v>
      </c>
      <c r="H62" s="1582"/>
      <c r="I62" s="1582"/>
      <c r="J62" s="1582"/>
      <c r="K62" s="1583">
        <v>498.8</v>
      </c>
      <c r="L62" s="1324">
        <f>'[4]통장내역(환율표)'!$D$28</f>
        <v>7.116499952759173</v>
      </c>
      <c r="M62" s="1096">
        <f t="shared" si="10"/>
        <v>70.090634906364016</v>
      </c>
      <c r="N62" s="1585">
        <f t="shared" si="8"/>
        <v>360413.39000000025</v>
      </c>
      <c r="O62" s="1585">
        <f t="shared" si="9"/>
        <v>50644.767841921668</v>
      </c>
      <c r="P62" s="1591"/>
      <c r="Q62" s="1587"/>
      <c r="R62" s="1587"/>
      <c r="S62" s="1589">
        <f t="shared" si="11"/>
        <v>50644.767076172575</v>
      </c>
      <c r="T62" s="1478"/>
      <c r="U62" s="1479"/>
      <c r="V62" s="1478"/>
      <c r="W62" s="1478"/>
      <c r="X62" s="1478"/>
      <c r="Y62" s="1478"/>
      <c r="Z62" s="1478"/>
      <c r="AA62" s="1478"/>
      <c r="AB62" s="1478"/>
      <c r="AC62" s="1478"/>
    </row>
    <row r="63" spans="1:29" s="1484" customFormat="1" ht="11.25" customHeight="1">
      <c r="A63" s="1480"/>
      <c r="B63" s="1576">
        <v>45953</v>
      </c>
      <c r="C63" s="1577" t="s">
        <v>11</v>
      </c>
      <c r="D63" s="1578" t="s">
        <v>1435</v>
      </c>
      <c r="E63" s="1579">
        <v>34</v>
      </c>
      <c r="F63" s="1580" t="s">
        <v>11</v>
      </c>
      <c r="G63" s="1581" t="s">
        <v>12</v>
      </c>
      <c r="H63" s="1582"/>
      <c r="I63" s="1582"/>
      <c r="J63" s="1582"/>
      <c r="K63" s="1583">
        <v>943.45</v>
      </c>
      <c r="L63" s="1324">
        <f>'[4]통장내역(환율표)'!$D$28</f>
        <v>7.116499952759173</v>
      </c>
      <c r="M63" s="1096">
        <f t="shared" si="10"/>
        <v>132.5721922662573</v>
      </c>
      <c r="N63" s="1585">
        <f t="shared" si="8"/>
        <v>359469.94000000024</v>
      </c>
      <c r="O63" s="1585">
        <f t="shared" si="9"/>
        <v>50512.195649655412</v>
      </c>
      <c r="P63" s="1591"/>
      <c r="Q63" s="1587"/>
      <c r="R63" s="1587"/>
      <c r="S63" s="1589">
        <f t="shared" si="11"/>
        <v>50512.194883906319</v>
      </c>
      <c r="T63" s="1478"/>
      <c r="U63" s="1479"/>
      <c r="V63" s="1478"/>
      <c r="W63" s="1478"/>
      <c r="X63" s="1478"/>
      <c r="Y63" s="1478"/>
      <c r="Z63" s="1478"/>
      <c r="AA63" s="1478"/>
      <c r="AB63" s="1478"/>
      <c r="AC63" s="1478"/>
    </row>
    <row r="64" spans="1:29" s="1484" customFormat="1" ht="11.25" customHeight="1">
      <c r="A64" s="1480"/>
      <c r="B64" s="1576">
        <v>45953</v>
      </c>
      <c r="C64" s="1577" t="s">
        <v>1409</v>
      </c>
      <c r="D64" s="1578" t="s">
        <v>1435</v>
      </c>
      <c r="E64" s="1579">
        <v>35</v>
      </c>
      <c r="F64" s="1580" t="s">
        <v>21</v>
      </c>
      <c r="G64" s="1581"/>
      <c r="H64" s="1582"/>
      <c r="I64" s="1582"/>
      <c r="J64" s="1582"/>
      <c r="K64" s="1583">
        <v>33.9</v>
      </c>
      <c r="L64" s="1324">
        <f>'[4]통장내역(환율표)'!$D$28</f>
        <v>7.116499952759173</v>
      </c>
      <c r="M64" s="1096">
        <f t="shared" si="10"/>
        <v>4.7635776329706099</v>
      </c>
      <c r="N64" s="1585">
        <f t="shared" si="8"/>
        <v>359436.04000000021</v>
      </c>
      <c r="O64" s="1585">
        <f t="shared" si="9"/>
        <v>50507.432072022442</v>
      </c>
      <c r="P64" s="1591"/>
      <c r="Q64" s="1587"/>
      <c r="R64" s="1587"/>
      <c r="S64" s="1589">
        <f t="shared" si="11"/>
        <v>50507.431306273349</v>
      </c>
      <c r="T64" s="1478"/>
      <c r="U64" s="1479"/>
      <c r="V64" s="1478"/>
      <c r="W64" s="1478"/>
      <c r="X64" s="1478"/>
      <c r="Y64" s="1478"/>
      <c r="Z64" s="1478"/>
      <c r="AA64" s="1478"/>
      <c r="AB64" s="1478"/>
      <c r="AC64" s="1478"/>
    </row>
    <row r="65" spans="1:29" s="1484" customFormat="1" ht="11.25" customHeight="1">
      <c r="A65" s="1480"/>
      <c r="B65" s="1576">
        <v>45953</v>
      </c>
      <c r="C65" s="1577" t="s">
        <v>445</v>
      </c>
      <c r="D65" s="1578" t="s">
        <v>1435</v>
      </c>
      <c r="E65" s="1579">
        <v>36</v>
      </c>
      <c r="F65" s="1580" t="s">
        <v>21</v>
      </c>
      <c r="G65" s="1581"/>
      <c r="H65" s="1582"/>
      <c r="I65" s="1582"/>
      <c r="J65" s="1582"/>
      <c r="K65" s="1583">
        <v>3.6</v>
      </c>
      <c r="L65" s="1324">
        <f>'[4]통장내역(환율표)'!$D$28</f>
        <v>7.116499952759173</v>
      </c>
      <c r="M65" s="1096">
        <f t="shared" si="10"/>
        <v>0.50586665128891439</v>
      </c>
      <c r="N65" s="1585">
        <f t="shared" si="8"/>
        <v>359432.44000000024</v>
      </c>
      <c r="O65" s="1585">
        <f t="shared" si="9"/>
        <v>50506.92620537115</v>
      </c>
      <c r="P65" s="1591"/>
      <c r="Q65" s="1587"/>
      <c r="R65" s="1587"/>
      <c r="S65" s="1589">
        <f t="shared" si="11"/>
        <v>50506.925439622057</v>
      </c>
      <c r="T65" s="1478"/>
      <c r="U65" s="1479">
        <f>N65/L65</f>
        <v>50506.912440945489</v>
      </c>
      <c r="V65" s="1478">
        <f>U65-S65</f>
        <v>-1.2998676567804068E-2</v>
      </c>
      <c r="W65" s="1478"/>
      <c r="X65" s="1478"/>
      <c r="Y65" s="1478"/>
      <c r="Z65" s="1478"/>
      <c r="AA65" s="1478"/>
      <c r="AB65" s="1478"/>
      <c r="AC65" s="1478"/>
    </row>
    <row r="66" spans="1:29" s="1484" customFormat="1" ht="11.25" customHeight="1">
      <c r="A66" s="1480"/>
      <c r="B66" s="1576">
        <v>45953</v>
      </c>
      <c r="C66" s="1577" t="s">
        <v>11</v>
      </c>
      <c r="D66" s="1578" t="s">
        <v>1614</v>
      </c>
      <c r="E66" s="1579">
        <v>37</v>
      </c>
      <c r="F66" s="1580" t="s">
        <v>11</v>
      </c>
      <c r="G66" s="1581" t="s">
        <v>12</v>
      </c>
      <c r="H66" s="1582"/>
      <c r="I66" s="1582"/>
      <c r="J66" s="1582"/>
      <c r="K66" s="1583">
        <v>543</v>
      </c>
      <c r="L66" s="1324">
        <f>'[4]통장내역(환율표)'!$D$28</f>
        <v>7.116499952759173</v>
      </c>
      <c r="M66" s="1096">
        <f t="shared" si="10"/>
        <v>76.301553236077908</v>
      </c>
      <c r="N66" s="1585">
        <f t="shared" si="8"/>
        <v>358889.44000000024</v>
      </c>
      <c r="O66" s="1585">
        <f t="shared" si="9"/>
        <v>50430.624652135069</v>
      </c>
      <c r="P66" s="1591"/>
      <c r="Q66" s="1587"/>
      <c r="R66" s="1587"/>
      <c r="S66" s="1589">
        <f t="shared" si="11"/>
        <v>50430.623886385976</v>
      </c>
      <c r="T66" s="1478"/>
      <c r="U66" s="1479">
        <f>N66/L66</f>
        <v>50430.610887709408</v>
      </c>
      <c r="V66" s="1478">
        <f>U66-S66</f>
        <v>-1.2998676567804068E-2</v>
      </c>
      <c r="W66" s="1478"/>
      <c r="X66" s="1478"/>
      <c r="Y66" s="1478"/>
      <c r="Z66" s="1478"/>
      <c r="AA66" s="1478"/>
      <c r="AB66" s="1478"/>
      <c r="AC66" s="1478"/>
    </row>
    <row r="67" spans="1:29" s="1484" customFormat="1" ht="11.25" customHeight="1">
      <c r="A67" s="1480"/>
      <c r="B67" s="1576">
        <v>45953</v>
      </c>
      <c r="C67" s="1577" t="s">
        <v>1403</v>
      </c>
      <c r="D67" s="1578" t="s">
        <v>1614</v>
      </c>
      <c r="E67" s="1579">
        <v>38</v>
      </c>
      <c r="F67" s="1580" t="s">
        <v>13</v>
      </c>
      <c r="G67" s="1581" t="s">
        <v>14</v>
      </c>
      <c r="H67" s="1582"/>
      <c r="I67" s="1582"/>
      <c r="J67" s="1582"/>
      <c r="K67" s="1583">
        <v>15496.44</v>
      </c>
      <c r="L67" s="1324">
        <f>'[4]통장내역(환율표)'!$D$28</f>
        <v>7.116499952759173</v>
      </c>
      <c r="M67" s="1096">
        <f t="shared" si="10"/>
        <v>2177.5367249165511</v>
      </c>
      <c r="N67" s="1585">
        <f t="shared" si="8"/>
        <v>343393.00000000023</v>
      </c>
      <c r="O67" s="1585">
        <f t="shared" si="9"/>
        <v>48253.087927218519</v>
      </c>
      <c r="P67" s="1591"/>
      <c r="Q67" s="1587"/>
      <c r="R67" s="1587"/>
      <c r="S67" s="1589">
        <f t="shared" si="11"/>
        <v>48253.087161469426</v>
      </c>
      <c r="T67" s="1478"/>
      <c r="U67" s="1479">
        <f>N67/L67</f>
        <v>48253.074162792858</v>
      </c>
      <c r="V67" s="1478">
        <f>U67-S67</f>
        <v>-1.2998676567804068E-2</v>
      </c>
      <c r="W67" s="1478"/>
      <c r="X67" s="1478"/>
      <c r="Y67" s="1478"/>
      <c r="Z67" s="1478"/>
      <c r="AA67" s="1478"/>
      <c r="AB67" s="1478"/>
      <c r="AC67" s="1478"/>
    </row>
    <row r="68" spans="1:29" s="1484" customFormat="1" ht="11.25" customHeight="1">
      <c r="A68" s="1480"/>
      <c r="B68" s="1576">
        <v>45953</v>
      </c>
      <c r="C68" s="1577" t="s">
        <v>19</v>
      </c>
      <c r="D68" s="1578" t="s">
        <v>1614</v>
      </c>
      <c r="E68" s="1579">
        <v>39</v>
      </c>
      <c r="F68" s="1580" t="s">
        <v>19</v>
      </c>
      <c r="G68" s="1581" t="s">
        <v>1609</v>
      </c>
      <c r="H68" s="1582"/>
      <c r="I68" s="1582"/>
      <c r="J68" s="1582"/>
      <c r="K68" s="1583">
        <v>344.5</v>
      </c>
      <c r="L68" s="1324">
        <f>'[4]통장내역(환율표)'!$D$28</f>
        <v>7.116499952759173</v>
      </c>
      <c r="M68" s="1096">
        <f t="shared" si="10"/>
        <v>48.408628158064161</v>
      </c>
      <c r="N68" s="1585">
        <f t="shared" si="8"/>
        <v>343048.50000000023</v>
      </c>
      <c r="O68" s="1585">
        <f t="shared" si="9"/>
        <v>48204.679299060452</v>
      </c>
      <c r="P68" s="1597"/>
      <c r="Q68" s="1587"/>
      <c r="R68" s="1587"/>
      <c r="S68" s="1589">
        <f t="shared" si="11"/>
        <v>48204.678533311358</v>
      </c>
      <c r="T68" s="1478"/>
      <c r="U68" s="1479">
        <f>N68/L68</f>
        <v>48204.665534634791</v>
      </c>
      <c r="V68" s="1478">
        <f>U68-S68</f>
        <v>-1.2998676567804068E-2</v>
      </c>
      <c r="W68" s="1478"/>
      <c r="X68" s="1478"/>
      <c r="Y68" s="1478"/>
      <c r="Z68" s="1478"/>
      <c r="AA68" s="1478"/>
      <c r="AB68" s="1478"/>
      <c r="AC68" s="1478"/>
    </row>
    <row r="69" spans="1:29" s="1484" customFormat="1" ht="11.25" customHeight="1">
      <c r="A69" s="1480"/>
      <c r="B69" s="1576">
        <v>45953</v>
      </c>
      <c r="C69" s="1577" t="s">
        <v>1610</v>
      </c>
      <c r="D69" s="1578" t="s">
        <v>1614</v>
      </c>
      <c r="E69" s="1579">
        <v>40</v>
      </c>
      <c r="F69" s="1580" t="s">
        <v>21</v>
      </c>
      <c r="G69" s="1581"/>
      <c r="H69" s="1582"/>
      <c r="I69" s="1582"/>
      <c r="J69" s="1582"/>
      <c r="K69" s="1583">
        <v>2668</v>
      </c>
      <c r="L69" s="1324">
        <f>'[4]통장내역(환율표)'!$D$28</f>
        <v>7.116499952759173</v>
      </c>
      <c r="M69" s="1096">
        <f t="shared" si="10"/>
        <v>374.90339601078432</v>
      </c>
      <c r="N69" s="1585">
        <f t="shared" si="8"/>
        <v>340380.50000000023</v>
      </c>
      <c r="O69" s="1585">
        <f t="shared" si="9"/>
        <v>47829.775903049667</v>
      </c>
      <c r="P69" s="1591"/>
      <c r="Q69" s="1587"/>
      <c r="R69" s="1587"/>
      <c r="S69" s="1589">
        <f t="shared" si="11"/>
        <v>47829.775137300574</v>
      </c>
      <c r="T69" s="1478"/>
      <c r="U69" s="1479"/>
      <c r="V69" s="1478"/>
      <c r="W69" s="1478"/>
      <c r="X69" s="1478"/>
      <c r="Y69" s="1478"/>
      <c r="Z69" s="1478"/>
      <c r="AA69" s="1478"/>
      <c r="AB69" s="1478"/>
      <c r="AC69" s="1478"/>
    </row>
    <row r="70" spans="1:29" s="1484" customFormat="1" ht="11.25" customHeight="1">
      <c r="A70" s="1480"/>
      <c r="B70" s="1576">
        <v>45953</v>
      </c>
      <c r="C70" s="1577" t="s">
        <v>1406</v>
      </c>
      <c r="D70" s="1578" t="s">
        <v>1615</v>
      </c>
      <c r="E70" s="1579">
        <v>41</v>
      </c>
      <c r="F70" s="1580" t="s">
        <v>13</v>
      </c>
      <c r="G70" s="1581" t="s">
        <v>14</v>
      </c>
      <c r="H70" s="1582"/>
      <c r="I70" s="1582"/>
      <c r="J70" s="1582"/>
      <c r="K70" s="1583">
        <v>1895</v>
      </c>
      <c r="L70" s="1324">
        <f>'[4]통장내역(환율표)'!$D$28</f>
        <v>7.116499952759173</v>
      </c>
      <c r="M70" s="1096">
        <f t="shared" si="10"/>
        <v>266.28258449791463</v>
      </c>
      <c r="N70" s="1585">
        <f t="shared" si="8"/>
        <v>338485.50000000023</v>
      </c>
      <c r="O70" s="1585">
        <f t="shared" si="9"/>
        <v>47563.493318551751</v>
      </c>
      <c r="P70" s="1591"/>
      <c r="Q70" s="1587"/>
      <c r="R70" s="1587"/>
      <c r="S70" s="1589">
        <f t="shared" si="11"/>
        <v>47563.492552802658</v>
      </c>
      <c r="T70" s="1478"/>
      <c r="U70" s="1479">
        <f>N70/L70</f>
        <v>47563.47955412609</v>
      </c>
      <c r="V70" s="1478">
        <f>U70-S70</f>
        <v>-1.2998676567804068E-2</v>
      </c>
      <c r="W70" s="1478"/>
      <c r="X70" s="1478"/>
      <c r="Y70" s="1478"/>
      <c r="Z70" s="1478"/>
      <c r="AA70" s="1478"/>
      <c r="AB70" s="1478"/>
      <c r="AC70" s="1478"/>
    </row>
    <row r="71" spans="1:29" s="1484" customFormat="1" ht="11.25" customHeight="1">
      <c r="A71" s="1480"/>
      <c r="B71" s="1576">
        <v>45953</v>
      </c>
      <c r="C71" s="1593" t="s">
        <v>1407</v>
      </c>
      <c r="D71" s="1578" t="s">
        <v>1615</v>
      </c>
      <c r="E71" s="1579">
        <v>42</v>
      </c>
      <c r="F71" s="1580" t="s">
        <v>13</v>
      </c>
      <c r="G71" s="1581" t="s">
        <v>14</v>
      </c>
      <c r="H71" s="1582"/>
      <c r="I71" s="1590"/>
      <c r="J71" s="1582"/>
      <c r="K71" s="1583">
        <v>143</v>
      </c>
      <c r="L71" s="1324">
        <f>'[4]통장내역(환율표)'!$D$28</f>
        <v>7.116499952759173</v>
      </c>
      <c r="M71" s="1096">
        <f t="shared" si="10"/>
        <v>20.094147537309652</v>
      </c>
      <c r="N71" s="1585">
        <f t="shared" si="8"/>
        <v>338342.50000000023</v>
      </c>
      <c r="O71" s="1585">
        <f t="shared" si="9"/>
        <v>47543.39917101444</v>
      </c>
      <c r="P71" s="1591"/>
      <c r="Q71" s="1587"/>
      <c r="R71" s="1587"/>
      <c r="S71" s="1589">
        <f t="shared" si="11"/>
        <v>47543.398405265347</v>
      </c>
      <c r="T71" s="1478"/>
      <c r="U71" s="1479"/>
      <c r="V71" s="1478"/>
      <c r="W71" s="1478"/>
      <c r="X71" s="1478"/>
      <c r="Y71" s="1478"/>
      <c r="Z71" s="1478"/>
      <c r="AA71" s="1478"/>
      <c r="AB71" s="1478"/>
      <c r="AC71" s="1478"/>
    </row>
    <row r="72" spans="1:29" s="1484" customFormat="1" ht="11.25" customHeight="1">
      <c r="A72" s="1480"/>
      <c r="B72" s="1576">
        <v>45953</v>
      </c>
      <c r="C72" s="1593" t="s">
        <v>1408</v>
      </c>
      <c r="D72" s="1578" t="s">
        <v>1615</v>
      </c>
      <c r="E72" s="1579">
        <v>43</v>
      </c>
      <c r="F72" s="1580" t="s">
        <v>13</v>
      </c>
      <c r="G72" s="1581" t="s">
        <v>14</v>
      </c>
      <c r="H72" s="1582"/>
      <c r="I72" s="1582"/>
      <c r="J72" s="1582"/>
      <c r="K72" s="1583">
        <v>183</v>
      </c>
      <c r="L72" s="1324">
        <f>'[4]통장내역(환율표)'!$D$28</f>
        <v>7.116499952759173</v>
      </c>
      <c r="M72" s="1096">
        <f t="shared" si="10"/>
        <v>25.714888107186479</v>
      </c>
      <c r="N72" s="1585">
        <f t="shared" si="8"/>
        <v>338159.50000000023</v>
      </c>
      <c r="O72" s="1585">
        <f t="shared" si="9"/>
        <v>47517.684282907256</v>
      </c>
      <c r="P72" s="1591"/>
      <c r="Q72" s="1587"/>
      <c r="R72" s="1587"/>
      <c r="S72" s="1589">
        <f t="shared" si="11"/>
        <v>47517.683517158162</v>
      </c>
      <c r="T72" s="1478"/>
      <c r="U72" s="1479"/>
      <c r="V72" s="1478"/>
      <c r="W72" s="1478"/>
      <c r="X72" s="1478"/>
      <c r="Y72" s="1478"/>
      <c r="Z72" s="1478"/>
      <c r="AA72" s="1478"/>
      <c r="AB72" s="1478"/>
      <c r="AC72" s="1478"/>
    </row>
    <row r="73" spans="1:29" s="1484" customFormat="1" ht="11.25" customHeight="1">
      <c r="A73" s="1480"/>
      <c r="B73" s="1576">
        <v>45953</v>
      </c>
      <c r="C73" s="1593" t="s">
        <v>445</v>
      </c>
      <c r="D73" s="1578" t="s">
        <v>1615</v>
      </c>
      <c r="E73" s="1579">
        <v>44</v>
      </c>
      <c r="F73" s="1580" t="s">
        <v>21</v>
      </c>
      <c r="G73" s="1581"/>
      <c r="H73" s="1582"/>
      <c r="I73" s="1582"/>
      <c r="J73" s="1582"/>
      <c r="K73" s="1583">
        <v>3.6</v>
      </c>
      <c r="L73" s="1324">
        <f>'[4]통장내역(환율표)'!$D$28</f>
        <v>7.116499952759173</v>
      </c>
      <c r="M73" s="1096">
        <f t="shared" si="10"/>
        <v>0.50586665128891439</v>
      </c>
      <c r="N73" s="1585">
        <f t="shared" si="8"/>
        <v>338155.90000000026</v>
      </c>
      <c r="O73" s="1585">
        <f t="shared" si="9"/>
        <v>47517.178416255963</v>
      </c>
      <c r="P73" s="1591"/>
      <c r="Q73" s="1587"/>
      <c r="R73" s="1587"/>
      <c r="S73" s="1589">
        <f t="shared" si="11"/>
        <v>47517.17765050687</v>
      </c>
      <c r="T73" s="1478"/>
      <c r="U73" s="1479">
        <f>N73/L73</f>
        <v>47517.16465183031</v>
      </c>
      <c r="V73" s="1478">
        <f>U73-S73</f>
        <v>-1.2998676560528111E-2</v>
      </c>
      <c r="W73" s="1478"/>
      <c r="X73" s="1478"/>
      <c r="Y73" s="1478"/>
      <c r="Z73" s="1478"/>
      <c r="AA73" s="1478"/>
      <c r="AB73" s="1478"/>
      <c r="AC73" s="1478"/>
    </row>
    <row r="74" spans="1:29" s="1484" customFormat="1" ht="11.25" customHeight="1">
      <c r="A74" s="1480"/>
      <c r="B74" s="1576">
        <v>45953</v>
      </c>
      <c r="C74" s="1593" t="s">
        <v>1408</v>
      </c>
      <c r="D74" s="1578" t="s">
        <v>1616</v>
      </c>
      <c r="E74" s="1579">
        <v>45</v>
      </c>
      <c r="F74" s="1580" t="s">
        <v>13</v>
      </c>
      <c r="G74" s="1581" t="s">
        <v>14</v>
      </c>
      <c r="H74" s="1582"/>
      <c r="I74" s="1582"/>
      <c r="J74" s="1582"/>
      <c r="K74" s="1583">
        <v>420</v>
      </c>
      <c r="L74" s="1324">
        <f>'[4]통장내역(환율표)'!$D$28</f>
        <v>7.116499952759173</v>
      </c>
      <c r="M74" s="1096">
        <f t="shared" si="10"/>
        <v>59.017775983706677</v>
      </c>
      <c r="N74" s="1585">
        <f t="shared" si="8"/>
        <v>337735.90000000026</v>
      </c>
      <c r="O74" s="1585">
        <f t="shared" si="9"/>
        <v>47458.160640272254</v>
      </c>
      <c r="P74" s="1591"/>
      <c r="Q74" s="1587"/>
      <c r="R74" s="1587"/>
      <c r="S74" s="1589">
        <f t="shared" si="11"/>
        <v>47458.15987452316</v>
      </c>
      <c r="T74" s="1478"/>
      <c r="U74" s="1479"/>
      <c r="V74" s="1478"/>
      <c r="W74" s="1478"/>
      <c r="X74" s="1478"/>
      <c r="Y74" s="1478"/>
      <c r="Z74" s="1478"/>
      <c r="AA74" s="1478"/>
      <c r="AB74" s="1478"/>
      <c r="AC74" s="1478"/>
    </row>
    <row r="75" spans="1:29" s="1484" customFormat="1" ht="11.25" customHeight="1">
      <c r="A75" s="1480"/>
      <c r="B75" s="1576">
        <v>45953</v>
      </c>
      <c r="C75" s="1593" t="s">
        <v>1406</v>
      </c>
      <c r="D75" s="1578" t="s">
        <v>1616</v>
      </c>
      <c r="E75" s="1579">
        <v>46</v>
      </c>
      <c r="F75" s="1580" t="s">
        <v>13</v>
      </c>
      <c r="G75" s="1581" t="s">
        <v>14</v>
      </c>
      <c r="H75" s="1582"/>
      <c r="I75" s="1582"/>
      <c r="J75" s="1582"/>
      <c r="K75" s="1583">
        <v>1305</v>
      </c>
      <c r="L75" s="1324">
        <f>'[4]통장내역(환율표)'!$D$28</f>
        <v>7.116499952759173</v>
      </c>
      <c r="M75" s="1096">
        <f t="shared" si="10"/>
        <v>183.37666109223144</v>
      </c>
      <c r="N75" s="1585">
        <f t="shared" si="8"/>
        <v>336430.90000000026</v>
      </c>
      <c r="O75" s="1585">
        <f t="shared" si="9"/>
        <v>47274.783979180022</v>
      </c>
      <c r="P75" s="1591"/>
      <c r="Q75" s="1587"/>
      <c r="R75" s="1587"/>
      <c r="S75" s="1589">
        <f t="shared" si="11"/>
        <v>47274.783213430928</v>
      </c>
      <c r="T75" s="1478"/>
      <c r="U75" s="1479">
        <f t="shared" ref="U75:U88" si="12">N75/L75</f>
        <v>47274.770214754375</v>
      </c>
      <c r="V75" s="1478">
        <f t="shared" ref="V75:V88" si="13">U75-S75</f>
        <v>-1.2998676553252153E-2</v>
      </c>
      <c r="W75" s="1478"/>
      <c r="X75" s="1478"/>
      <c r="Y75" s="1478"/>
      <c r="Z75" s="1478"/>
      <c r="AA75" s="1478"/>
      <c r="AB75" s="1478"/>
      <c r="AC75" s="1478"/>
    </row>
    <row r="76" spans="1:29" s="1484" customFormat="1" ht="11.25" customHeight="1">
      <c r="A76" s="1480"/>
      <c r="B76" s="1576">
        <v>45953</v>
      </c>
      <c r="C76" s="1593" t="s">
        <v>1407</v>
      </c>
      <c r="D76" s="1578" t="s">
        <v>1616</v>
      </c>
      <c r="E76" s="1579">
        <v>47</v>
      </c>
      <c r="F76" s="1580" t="s">
        <v>13</v>
      </c>
      <c r="G76" s="1581" t="s">
        <v>14</v>
      </c>
      <c r="H76" s="1582"/>
      <c r="I76" s="1582"/>
      <c r="J76" s="1582"/>
      <c r="K76" s="1583">
        <v>42</v>
      </c>
      <c r="L76" s="1324">
        <f>'[4]통장내역(환율표)'!$D$28</f>
        <v>7.116499952759173</v>
      </c>
      <c r="M76" s="1096">
        <f t="shared" si="10"/>
        <v>5.9017775983706677</v>
      </c>
      <c r="N76" s="1585">
        <f t="shared" si="8"/>
        <v>336388.90000000026</v>
      </c>
      <c r="O76" s="1585">
        <f t="shared" si="9"/>
        <v>47268.882201581648</v>
      </c>
      <c r="P76" s="1591"/>
      <c r="Q76" s="1587"/>
      <c r="R76" s="1587"/>
      <c r="S76" s="1589">
        <f t="shared" si="11"/>
        <v>47268.881435832554</v>
      </c>
      <c r="T76" s="1478"/>
      <c r="U76" s="1479">
        <f t="shared" si="12"/>
        <v>47268.868437156001</v>
      </c>
      <c r="V76" s="1478">
        <f t="shared" si="13"/>
        <v>-1.2998676553252153E-2</v>
      </c>
      <c r="W76" s="1478"/>
      <c r="X76" s="1478"/>
      <c r="Y76" s="1478"/>
      <c r="Z76" s="1478"/>
      <c r="AA76" s="1478"/>
      <c r="AB76" s="1478"/>
      <c r="AC76" s="1478"/>
    </row>
    <row r="77" spans="1:29" s="1484" customFormat="1" ht="11.25" customHeight="1">
      <c r="A77" s="1480"/>
      <c r="B77" s="1576">
        <v>45953</v>
      </c>
      <c r="C77" s="1593" t="s">
        <v>445</v>
      </c>
      <c r="D77" s="1578" t="s">
        <v>1616</v>
      </c>
      <c r="E77" s="1579">
        <v>48</v>
      </c>
      <c r="F77" s="1580" t="s">
        <v>21</v>
      </c>
      <c r="G77" s="1581"/>
      <c r="H77" s="1582"/>
      <c r="I77" s="1582"/>
      <c r="J77" s="1582"/>
      <c r="K77" s="1583">
        <v>3.6</v>
      </c>
      <c r="L77" s="1324">
        <f>'[4]통장내역(환율표)'!$D$28</f>
        <v>7.116499952759173</v>
      </c>
      <c r="M77" s="1096">
        <f t="shared" si="10"/>
        <v>0.50586665128891439</v>
      </c>
      <c r="N77" s="1585">
        <f t="shared" si="8"/>
        <v>336385.30000000028</v>
      </c>
      <c r="O77" s="1585">
        <f t="shared" si="9"/>
        <v>47268.376334930355</v>
      </c>
      <c r="P77" s="1591"/>
      <c r="Q77" s="1587"/>
      <c r="R77" s="1587"/>
      <c r="S77" s="1589">
        <f t="shared" si="11"/>
        <v>47268.375569181262</v>
      </c>
      <c r="T77" s="1478"/>
      <c r="U77" s="1479">
        <f t="shared" si="12"/>
        <v>47268.362570504716</v>
      </c>
      <c r="V77" s="1478">
        <f t="shared" si="13"/>
        <v>-1.2998676545976195E-2</v>
      </c>
      <c r="W77" s="1478"/>
      <c r="X77" s="1478"/>
      <c r="Y77" s="1478"/>
      <c r="Z77" s="1478"/>
      <c r="AA77" s="1478"/>
      <c r="AB77" s="1478"/>
      <c r="AC77" s="1478"/>
    </row>
    <row r="78" spans="1:29" s="1484" customFormat="1" ht="11.25" customHeight="1">
      <c r="A78" s="1480"/>
      <c r="B78" s="1576">
        <v>45953</v>
      </c>
      <c r="C78" s="1593" t="s">
        <v>1406</v>
      </c>
      <c r="D78" s="1578" t="s">
        <v>1617</v>
      </c>
      <c r="E78" s="1579">
        <v>49</v>
      </c>
      <c r="F78" s="1580" t="s">
        <v>13</v>
      </c>
      <c r="G78" s="1581" t="s">
        <v>14</v>
      </c>
      <c r="H78" s="1582"/>
      <c r="I78" s="1582"/>
      <c r="J78" s="1582"/>
      <c r="K78" s="1583">
        <v>1362.55</v>
      </c>
      <c r="L78" s="1324">
        <f>'[4]통장내역(환율표)'!$D$28</f>
        <v>7.116499952759173</v>
      </c>
      <c r="M78" s="1096">
        <f t="shared" si="10"/>
        <v>191.46350158714174</v>
      </c>
      <c r="N78" s="1585">
        <f t="shared" si="8"/>
        <v>335022.75000000029</v>
      </c>
      <c r="O78" s="1585">
        <f t="shared" si="9"/>
        <v>47076.912833343216</v>
      </c>
      <c r="P78" s="1591"/>
      <c r="Q78" s="1587"/>
      <c r="R78" s="1587"/>
      <c r="S78" s="1589">
        <f t="shared" si="11"/>
        <v>47076.912067594123</v>
      </c>
      <c r="T78" s="1478"/>
      <c r="U78" s="1479">
        <f t="shared" si="12"/>
        <v>47076.899068917577</v>
      </c>
      <c r="V78" s="1478">
        <f t="shared" si="13"/>
        <v>-1.2998676545976195E-2</v>
      </c>
      <c r="W78" s="1478"/>
      <c r="X78" s="1478"/>
      <c r="Y78" s="1478"/>
      <c r="Z78" s="1478"/>
      <c r="AA78" s="1478"/>
      <c r="AB78" s="1478"/>
      <c r="AC78" s="1478"/>
    </row>
    <row r="79" spans="1:29" s="1484" customFormat="1" ht="11.25" customHeight="1">
      <c r="A79" s="1480"/>
      <c r="B79" s="1576">
        <v>45953</v>
      </c>
      <c r="C79" s="1593" t="s">
        <v>1408</v>
      </c>
      <c r="D79" s="1578" t="s">
        <v>1617</v>
      </c>
      <c r="E79" s="1579">
        <v>50</v>
      </c>
      <c r="F79" s="1580" t="s">
        <v>13</v>
      </c>
      <c r="G79" s="1581" t="s">
        <v>14</v>
      </c>
      <c r="H79" s="1582"/>
      <c r="I79" s="1582"/>
      <c r="J79" s="1582"/>
      <c r="K79" s="1583">
        <v>200</v>
      </c>
      <c r="L79" s="1324">
        <f>'[4]통장내역(환율표)'!$D$28</f>
        <v>7.116499952759173</v>
      </c>
      <c r="M79" s="1096">
        <f t="shared" si="10"/>
        <v>28.103702849384131</v>
      </c>
      <c r="N79" s="1585">
        <f t="shared" si="8"/>
        <v>334822.75000000029</v>
      </c>
      <c r="O79" s="1585">
        <f t="shared" si="9"/>
        <v>47048.809130493835</v>
      </c>
      <c r="P79" s="1591"/>
      <c r="Q79" s="1587"/>
      <c r="R79" s="1587"/>
      <c r="S79" s="1589">
        <f t="shared" si="11"/>
        <v>47048.808364744742</v>
      </c>
      <c r="T79" s="1478"/>
      <c r="U79" s="1479">
        <f t="shared" si="12"/>
        <v>47048.795366068196</v>
      </c>
      <c r="V79" s="1478">
        <f t="shared" si="13"/>
        <v>-1.2998676545976195E-2</v>
      </c>
      <c r="W79" s="1478"/>
      <c r="X79" s="1478"/>
      <c r="Y79" s="1478"/>
      <c r="Z79" s="1478"/>
      <c r="AA79" s="1478"/>
      <c r="AB79" s="1478"/>
      <c r="AC79" s="1478"/>
    </row>
    <row r="80" spans="1:29" s="1484" customFormat="1" ht="11.25" customHeight="1">
      <c r="A80" s="1480"/>
      <c r="B80" s="1576">
        <v>45953</v>
      </c>
      <c r="C80" s="1593" t="s">
        <v>1407</v>
      </c>
      <c r="D80" s="1578" t="s">
        <v>1617</v>
      </c>
      <c r="E80" s="1579">
        <v>51</v>
      </c>
      <c r="F80" s="1580" t="s">
        <v>13</v>
      </c>
      <c r="G80" s="1581" t="s">
        <v>14</v>
      </c>
      <c r="H80" s="1582"/>
      <c r="I80" s="1590"/>
      <c r="J80" s="1582"/>
      <c r="K80" s="1583">
        <v>21</v>
      </c>
      <c r="L80" s="1324">
        <f>'[4]통장내역(환율표)'!$D$28</f>
        <v>7.116499952759173</v>
      </c>
      <c r="M80" s="1096">
        <f t="shared" si="10"/>
        <v>2.9508887991853339</v>
      </c>
      <c r="N80" s="1585">
        <f t="shared" si="8"/>
        <v>334801.75000000029</v>
      </c>
      <c r="O80" s="1585">
        <f t="shared" si="9"/>
        <v>47045.858241694652</v>
      </c>
      <c r="P80" s="1591"/>
      <c r="Q80" s="1587"/>
      <c r="R80" s="1587"/>
      <c r="S80" s="1589">
        <f t="shared" si="11"/>
        <v>47045.857475945559</v>
      </c>
      <c r="T80" s="1478"/>
      <c r="U80" s="1479">
        <f t="shared" si="12"/>
        <v>47045.844477269005</v>
      </c>
      <c r="V80" s="1478">
        <f t="shared" si="13"/>
        <v>-1.2998676553252153E-2</v>
      </c>
      <c r="W80" s="1478"/>
      <c r="X80" s="1478"/>
      <c r="Y80" s="1478"/>
      <c r="Z80" s="1478"/>
      <c r="AA80" s="1478"/>
      <c r="AB80" s="1478"/>
      <c r="AC80" s="1478"/>
    </row>
    <row r="81" spans="1:29" s="1484" customFormat="1" ht="11.25" customHeight="1">
      <c r="A81" s="1480"/>
      <c r="B81" s="1576">
        <v>45953</v>
      </c>
      <c r="C81" s="1593" t="s">
        <v>445</v>
      </c>
      <c r="D81" s="1578" t="s">
        <v>1617</v>
      </c>
      <c r="E81" s="1579">
        <v>52</v>
      </c>
      <c r="F81" s="1580" t="s">
        <v>21</v>
      </c>
      <c r="G81" s="1581"/>
      <c r="H81" s="1582"/>
      <c r="I81" s="1590"/>
      <c r="J81" s="1582"/>
      <c r="K81" s="1583">
        <v>3.6</v>
      </c>
      <c r="L81" s="1324">
        <f>'[4]통장내역(환율표)'!$D$28</f>
        <v>7.116499952759173</v>
      </c>
      <c r="M81" s="1096">
        <f t="shared" si="10"/>
        <v>0.50586665128891439</v>
      </c>
      <c r="N81" s="1585">
        <f t="shared" si="8"/>
        <v>334798.15000000031</v>
      </c>
      <c r="O81" s="1585">
        <f t="shared" si="9"/>
        <v>47045.35237504336</v>
      </c>
      <c r="P81" s="1591"/>
      <c r="Q81" s="1587"/>
      <c r="R81" s="1587"/>
      <c r="S81" s="1589">
        <f t="shared" si="11"/>
        <v>47045.351609294266</v>
      </c>
      <c r="T81" s="1478"/>
      <c r="U81" s="1479">
        <f t="shared" si="12"/>
        <v>47045.33861061772</v>
      </c>
      <c r="V81" s="1478">
        <f t="shared" si="13"/>
        <v>-1.2998676545976195E-2</v>
      </c>
      <c r="W81" s="1478"/>
      <c r="X81" s="1478"/>
      <c r="Y81" s="1478"/>
      <c r="Z81" s="1478"/>
      <c r="AA81" s="1478"/>
      <c r="AB81" s="1478"/>
      <c r="AC81" s="1478"/>
    </row>
    <row r="82" spans="1:29" s="1484" customFormat="1" ht="11.25" customHeight="1">
      <c r="A82" s="1480"/>
      <c r="B82" s="1576">
        <v>45953</v>
      </c>
      <c r="C82" s="1593" t="s">
        <v>1403</v>
      </c>
      <c r="D82" s="1578" t="s">
        <v>1454</v>
      </c>
      <c r="E82" s="1579">
        <v>53</v>
      </c>
      <c r="F82" s="1580" t="s">
        <v>13</v>
      </c>
      <c r="G82" s="1581" t="s">
        <v>14</v>
      </c>
      <c r="H82" s="1582"/>
      <c r="I82" s="1590"/>
      <c r="J82" s="1583"/>
      <c r="K82" s="1583">
        <v>18015.28</v>
      </c>
      <c r="L82" s="1324">
        <f>'[4]통장내역(환율표)'!$D$28</f>
        <v>7.116499952759173</v>
      </c>
      <c r="M82" s="1096">
        <f t="shared" si="10"/>
        <v>2531.4803793422643</v>
      </c>
      <c r="N82" s="1585">
        <f t="shared" si="8"/>
        <v>316782.87000000034</v>
      </c>
      <c r="O82" s="1585">
        <f t="shared" si="9"/>
        <v>44513.871995701098</v>
      </c>
      <c r="P82" s="1591"/>
      <c r="Q82" s="1587"/>
      <c r="R82" s="1587"/>
      <c r="S82" s="1589">
        <f t="shared" si="11"/>
        <v>44513.871229952005</v>
      </c>
      <c r="T82" s="1478"/>
      <c r="U82" s="1479">
        <f t="shared" si="12"/>
        <v>44513.858231275459</v>
      </c>
      <c r="V82" s="1478">
        <f t="shared" si="13"/>
        <v>-1.2998676545976195E-2</v>
      </c>
      <c r="W82" s="1478"/>
      <c r="X82" s="1478"/>
      <c r="Y82" s="1478"/>
      <c r="Z82" s="1478"/>
      <c r="AA82" s="1478"/>
      <c r="AB82" s="1478"/>
      <c r="AC82" s="1478"/>
    </row>
    <row r="83" spans="1:29" s="1484" customFormat="1" ht="11.25" customHeight="1">
      <c r="A83" s="1480"/>
      <c r="B83" s="1576">
        <v>45953</v>
      </c>
      <c r="C83" s="1593" t="s">
        <v>11</v>
      </c>
      <c r="D83" s="1578" t="s">
        <v>1454</v>
      </c>
      <c r="E83" s="1579">
        <v>54</v>
      </c>
      <c r="F83" s="1580" t="s">
        <v>11</v>
      </c>
      <c r="G83" s="1581" t="s">
        <v>12</v>
      </c>
      <c r="H83" s="1594"/>
      <c r="I83" s="1595"/>
      <c r="J83" s="1595"/>
      <c r="K83" s="1583">
        <v>5712</v>
      </c>
      <c r="L83" s="1324">
        <f>'[4]통장내역(환율표)'!$D$28</f>
        <v>7.116499952759173</v>
      </c>
      <c r="M83" s="1096">
        <f t="shared" si="10"/>
        <v>802.64175337841073</v>
      </c>
      <c r="N83" s="1585">
        <f t="shared" si="8"/>
        <v>311070.87000000034</v>
      </c>
      <c r="O83" s="1585">
        <f t="shared" si="9"/>
        <v>43711.230242322687</v>
      </c>
      <c r="P83" s="1591"/>
      <c r="Q83" s="1587"/>
      <c r="R83" s="1587"/>
      <c r="S83" s="1589">
        <f t="shared" si="11"/>
        <v>43711.229476573593</v>
      </c>
      <c r="T83" s="1478"/>
      <c r="U83" s="1479">
        <f t="shared" si="12"/>
        <v>43711.216477897047</v>
      </c>
      <c r="V83" s="1478">
        <f t="shared" si="13"/>
        <v>-1.2998676545976195E-2</v>
      </c>
      <c r="W83" s="1478"/>
      <c r="X83" s="1478"/>
      <c r="Y83" s="1478"/>
      <c r="Z83" s="1478"/>
      <c r="AA83" s="1478"/>
      <c r="AB83" s="1478"/>
      <c r="AC83" s="1478"/>
    </row>
    <row r="84" spans="1:29" s="1484" customFormat="1" ht="11.25" customHeight="1">
      <c r="A84" s="1480"/>
      <c r="B84" s="1576">
        <v>45953</v>
      </c>
      <c r="C84" s="1593" t="s">
        <v>1611</v>
      </c>
      <c r="D84" s="1578" t="s">
        <v>1454</v>
      </c>
      <c r="E84" s="1579">
        <v>55</v>
      </c>
      <c r="F84" s="1580" t="s">
        <v>13</v>
      </c>
      <c r="G84" s="1581" t="s">
        <v>14</v>
      </c>
      <c r="H84" s="1594"/>
      <c r="I84" s="1595"/>
      <c r="J84" s="1595"/>
      <c r="K84" s="1583">
        <v>38.21</v>
      </c>
      <c r="L84" s="1324">
        <f>'[4]통장내역(환율표)'!$D$28</f>
        <v>7.116499952759173</v>
      </c>
      <c r="M84" s="1096">
        <f t="shared" si="10"/>
        <v>5.369212429374838</v>
      </c>
      <c r="N84" s="1585">
        <f t="shared" si="8"/>
        <v>311032.66000000032</v>
      </c>
      <c r="O84" s="1585">
        <f t="shared" si="9"/>
        <v>43705.861029893313</v>
      </c>
      <c r="P84" s="1591"/>
      <c r="Q84" s="1587"/>
      <c r="R84" s="1587"/>
      <c r="S84" s="1589">
        <f t="shared" si="11"/>
        <v>43705.860264144219</v>
      </c>
      <c r="T84" s="1478"/>
      <c r="U84" s="1479">
        <f t="shared" si="12"/>
        <v>43705.847265467673</v>
      </c>
      <c r="V84" s="1478">
        <f t="shared" si="13"/>
        <v>-1.2998676545976195E-2</v>
      </c>
      <c r="W84" s="1478"/>
      <c r="X84" s="1478"/>
      <c r="Y84" s="1478"/>
      <c r="Z84" s="1478"/>
      <c r="AA84" s="1478"/>
      <c r="AB84" s="1478"/>
      <c r="AC84" s="1478"/>
    </row>
    <row r="85" spans="1:29" s="1484" customFormat="1" ht="11.25" customHeight="1">
      <c r="A85" s="1480"/>
      <c r="B85" s="1576">
        <v>45953</v>
      </c>
      <c r="C85" s="1593" t="s">
        <v>19</v>
      </c>
      <c r="D85" s="1578" t="s">
        <v>1454</v>
      </c>
      <c r="E85" s="1579">
        <v>56</v>
      </c>
      <c r="F85" s="1580" t="s">
        <v>19</v>
      </c>
      <c r="G85" s="1581" t="s">
        <v>1609</v>
      </c>
      <c r="H85" s="1594"/>
      <c r="I85" s="1595"/>
      <c r="J85" s="1595"/>
      <c r="K85" s="1583">
        <v>300</v>
      </c>
      <c r="L85" s="1324">
        <f>'[4]통장내역(환율표)'!$D$28</f>
        <v>7.116499952759173</v>
      </c>
      <c r="M85" s="1096">
        <f t="shared" si="10"/>
        <v>42.155554274076195</v>
      </c>
      <c r="N85" s="1585">
        <f t="shared" si="8"/>
        <v>310732.66000000032</v>
      </c>
      <c r="O85" s="1585">
        <f t="shared" si="9"/>
        <v>43663.705475619237</v>
      </c>
      <c r="P85" s="1591"/>
      <c r="Q85" s="1587"/>
      <c r="R85" s="1587"/>
      <c r="S85" s="1589">
        <f t="shared" si="11"/>
        <v>43663.704709870144</v>
      </c>
      <c r="T85" s="1478"/>
      <c r="U85" s="1479">
        <f t="shared" si="12"/>
        <v>43663.691711193598</v>
      </c>
      <c r="V85" s="1478">
        <f t="shared" si="13"/>
        <v>-1.2998676545976195E-2</v>
      </c>
      <c r="W85" s="1478"/>
      <c r="X85" s="1478"/>
      <c r="Y85" s="1478"/>
      <c r="Z85" s="1478"/>
      <c r="AA85" s="1478"/>
      <c r="AB85" s="1478"/>
      <c r="AC85" s="1478"/>
    </row>
    <row r="86" spans="1:29" s="1484" customFormat="1" ht="11.25" customHeight="1">
      <c r="A86" s="1480"/>
      <c r="B86" s="1576">
        <v>45953</v>
      </c>
      <c r="C86" s="1593" t="s">
        <v>445</v>
      </c>
      <c r="D86" s="1578" t="s">
        <v>1454</v>
      </c>
      <c r="E86" s="1579">
        <v>57</v>
      </c>
      <c r="F86" s="1580" t="s">
        <v>21</v>
      </c>
      <c r="G86" s="1581"/>
      <c r="H86" s="1594"/>
      <c r="I86" s="1595"/>
      <c r="J86" s="1595"/>
      <c r="K86" s="1583">
        <v>7.2</v>
      </c>
      <c r="L86" s="1324">
        <f>'[4]통장내역(환율표)'!$D$28</f>
        <v>7.116499952759173</v>
      </c>
      <c r="M86" s="1096">
        <f t="shared" si="10"/>
        <v>1.0117333025778288</v>
      </c>
      <c r="N86" s="1585">
        <f t="shared" si="8"/>
        <v>310725.46000000031</v>
      </c>
      <c r="O86" s="1585">
        <f t="shared" si="9"/>
        <v>43662.69374231666</v>
      </c>
      <c r="P86" s="1591"/>
      <c r="Q86" s="1587"/>
      <c r="R86" s="1587"/>
      <c r="S86" s="1589">
        <f t="shared" si="11"/>
        <v>43662.692976567567</v>
      </c>
      <c r="T86" s="1478"/>
      <c r="U86" s="1479">
        <f t="shared" si="12"/>
        <v>43662.679977891014</v>
      </c>
      <c r="V86" s="1478">
        <f t="shared" si="13"/>
        <v>-1.2998676553252153E-2</v>
      </c>
      <c r="W86" s="1478"/>
      <c r="X86" s="1478"/>
      <c r="Y86" s="1478"/>
      <c r="Z86" s="1478"/>
      <c r="AA86" s="1478"/>
      <c r="AB86" s="1478"/>
      <c r="AC86" s="1478"/>
    </row>
    <row r="87" spans="1:29" s="1484" customFormat="1" ht="11.25" customHeight="1">
      <c r="A87" s="1480"/>
      <c r="B87" s="1576">
        <v>45953</v>
      </c>
      <c r="C87" s="1593" t="s">
        <v>1618</v>
      </c>
      <c r="D87" s="1578"/>
      <c r="E87" s="1579">
        <v>58</v>
      </c>
      <c r="F87" s="1580" t="s">
        <v>21</v>
      </c>
      <c r="G87" s="1581"/>
      <c r="H87" s="1594"/>
      <c r="I87" s="1595"/>
      <c r="J87" s="1595"/>
      <c r="K87" s="1583">
        <v>288359.13</v>
      </c>
      <c r="L87" s="1324">
        <f>'[4]통장내역(환율표)'!$D$28</f>
        <v>7.116499952759173</v>
      </c>
      <c r="M87" s="1096">
        <f t="shared" ref="M87" si="14">K87/L87</f>
        <v>40519.796517134644</v>
      </c>
      <c r="N87" s="1585">
        <f t="shared" si="8"/>
        <v>22366.330000000307</v>
      </c>
      <c r="O87" s="1585">
        <f t="shared" si="9"/>
        <v>3142.897225182016</v>
      </c>
      <c r="P87" s="1591"/>
      <c r="Q87" s="1587"/>
      <c r="R87" s="1587"/>
      <c r="S87" s="1589">
        <f t="shared" si="11"/>
        <v>3142.8964594329227</v>
      </c>
      <c r="T87" s="1478"/>
      <c r="U87" s="1479">
        <f t="shared" si="12"/>
        <v>3142.8834607563722</v>
      </c>
      <c r="V87" s="1478">
        <f t="shared" si="13"/>
        <v>-1.2998676550523669E-2</v>
      </c>
      <c r="W87" s="1478"/>
      <c r="X87" s="1478"/>
      <c r="Y87" s="1478"/>
      <c r="Z87" s="1478"/>
      <c r="AA87" s="1478"/>
      <c r="AB87" s="1478"/>
      <c r="AC87" s="1478"/>
    </row>
    <row r="88" spans="1:29" s="1484" customFormat="1" ht="11.25" customHeight="1">
      <c r="A88" s="1480"/>
      <c r="B88" s="1576">
        <v>45953</v>
      </c>
      <c r="C88" s="1593" t="s">
        <v>445</v>
      </c>
      <c r="D88" s="1578"/>
      <c r="E88" s="1579">
        <v>59</v>
      </c>
      <c r="F88" s="1580" t="s">
        <v>21</v>
      </c>
      <c r="G88" s="1581"/>
      <c r="H88" s="1594"/>
      <c r="I88" s="1595"/>
      <c r="J88" s="1595"/>
      <c r="K88" s="1583">
        <v>12</v>
      </c>
      <c r="L88" s="1324">
        <f>'[4]통장내역(환율표)'!$D$28</f>
        <v>7.116499952759173</v>
      </c>
      <c r="M88" s="1096">
        <v>1.6850000000000001</v>
      </c>
      <c r="N88" s="1585">
        <f t="shared" si="8"/>
        <v>22354.330000000307</v>
      </c>
      <c r="O88" s="1585">
        <f t="shared" si="9"/>
        <v>3141.212225182016</v>
      </c>
      <c r="P88" s="1591"/>
      <c r="Q88" s="1587"/>
      <c r="R88" s="1587"/>
      <c r="S88" s="1589">
        <f t="shared" si="11"/>
        <v>3141.2114594329228</v>
      </c>
      <c r="T88" s="1478"/>
      <c r="U88" s="1479">
        <f t="shared" si="12"/>
        <v>3141.1972385854087</v>
      </c>
      <c r="V88" s="1478">
        <f t="shared" si="13"/>
        <v>-1.4220847514025081E-2</v>
      </c>
      <c r="W88" s="1478"/>
      <c r="X88" s="1478"/>
      <c r="Y88" s="1478"/>
      <c r="Z88" s="1478"/>
      <c r="AA88" s="1478"/>
      <c r="AB88" s="1478"/>
      <c r="AC88" s="1478"/>
    </row>
    <row r="89" spans="1:29" ht="11.25" customHeight="1">
      <c r="J89" s="1478"/>
      <c r="K89" s="1478"/>
      <c r="S89" s="1484"/>
    </row>
    <row r="90" spans="1:29" ht="11.25" customHeight="1">
      <c r="J90" s="1478"/>
      <c r="K90" s="1478"/>
    </row>
    <row r="91" spans="1:29" ht="11.25" customHeight="1">
      <c r="J91" s="1478"/>
      <c r="K91" s="1478"/>
    </row>
  </sheetData>
  <autoFilter ref="B18:R88" xr:uid="{00000000-0009-0000-0000-000001000000}">
    <filterColumn colId="14" showButton="0"/>
    <sortState xmlns:xlrd2="http://schemas.microsoft.com/office/spreadsheetml/2017/richdata2" ref="B19:R88">
      <sortCondition sortBy="cellColor" ref="M18:M88" dxfId="7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2FA3-C176-4A03-B4D8-DC518047AD9F}">
  <sheetPr>
    <tabColor rgb="FFFFC000"/>
  </sheetPr>
  <dimension ref="A1:AC105"/>
  <sheetViews>
    <sheetView showGridLines="0" zoomScale="85" zoomScaleNormal="85" workbookViewId="0">
      <selection activeCell="H3" sqref="H3"/>
    </sheetView>
  </sheetViews>
  <sheetFormatPr defaultColWidth="9" defaultRowHeight="11.25" customHeight="1"/>
  <cols>
    <col min="1" max="1" width="1.69921875" style="1480" customWidth="1"/>
    <col min="2" max="2" width="9.69921875" style="1539" customWidth="1"/>
    <col min="3" max="3" width="24" style="1482" customWidth="1"/>
    <col min="4" max="4" width="15.69921875" style="1478" customWidth="1"/>
    <col min="5" max="5" width="8.5" style="1478" customWidth="1"/>
    <col min="6" max="6" width="15.09765625" style="1478" customWidth="1"/>
    <col min="7" max="7" width="9.796875" style="1484" customWidth="1"/>
    <col min="8" max="8" width="9.69921875" style="1478" customWidth="1"/>
    <col min="9" max="9" width="9.796875" style="1478" customWidth="1"/>
    <col min="10" max="10" width="10.5" style="1484" customWidth="1"/>
    <col min="11" max="11" width="11" style="1537" customWidth="1"/>
    <col min="12" max="12" width="11.09765625" style="1478" customWidth="1"/>
    <col min="13" max="13" width="11.296875" style="1478" bestFit="1" customWidth="1"/>
    <col min="14" max="14" width="12.296875" style="1478" customWidth="1"/>
    <col min="15" max="15" width="9.796875" style="1478" customWidth="1"/>
    <col min="16" max="16" width="10.69921875" style="1478" customWidth="1"/>
    <col min="17" max="17" width="9.59765625" style="1478" customWidth="1"/>
    <col min="18" max="18" width="31.5" style="1484" customWidth="1"/>
    <col min="19" max="19" width="10.5" style="1491" bestFit="1" customWidth="1"/>
    <col min="20" max="20" width="9" style="1478"/>
    <col min="21" max="21" width="9" style="1479"/>
    <col min="22" max="16384" width="9" style="1478"/>
  </cols>
  <sheetData>
    <row r="1" spans="1:29" ht="1.5" customHeight="1">
      <c r="A1" s="1465"/>
      <c r="B1" s="1466"/>
      <c r="C1" s="1467"/>
      <c r="D1" s="1468"/>
      <c r="E1" s="1469"/>
      <c r="F1" s="1469"/>
      <c r="G1" s="1470"/>
      <c r="H1" s="1469"/>
      <c r="I1" s="1469"/>
      <c r="J1" s="1471"/>
      <c r="K1" s="1472"/>
      <c r="L1" s="1473"/>
      <c r="M1" s="1474"/>
      <c r="N1" s="1474"/>
      <c r="O1" s="1468"/>
      <c r="P1" s="1475"/>
      <c r="Q1" s="1475"/>
      <c r="R1" s="1476"/>
      <c r="S1" s="1477"/>
    </row>
    <row r="2" spans="1:29" ht="15" customHeight="1">
      <c r="B2" s="1481" t="s">
        <v>1622</v>
      </c>
      <c r="D2" s="1482"/>
      <c r="F2" s="1483"/>
      <c r="G2" s="1484" t="s">
        <v>1047</v>
      </c>
      <c r="H2" s="1485" t="s">
        <v>1398</v>
      </c>
      <c r="I2" s="1486"/>
      <c r="J2" s="1486"/>
      <c r="K2" s="1487"/>
      <c r="L2" s="1486"/>
      <c r="M2" s="1486"/>
      <c r="N2" s="1488"/>
      <c r="O2" s="1489"/>
      <c r="Q2" s="1490"/>
    </row>
    <row r="3" spans="1:29" s="1497" customFormat="1" ht="11.25" customHeight="1">
      <c r="A3" s="1492"/>
      <c r="B3" s="1493" t="s">
        <v>1625</v>
      </c>
      <c r="C3" s="1494"/>
      <c r="D3" s="1494"/>
      <c r="E3" s="1494"/>
      <c r="F3" s="1495">
        <v>1401.9</v>
      </c>
      <c r="G3" s="1664"/>
      <c r="H3" s="1663" t="s">
        <v>1627</v>
      </c>
      <c r="I3" s="1494"/>
      <c r="K3" s="1498"/>
      <c r="L3" s="1495">
        <v>1454</v>
      </c>
      <c r="Q3" s="1493"/>
      <c r="R3" s="1493"/>
      <c r="T3" s="1493"/>
      <c r="U3" s="1494"/>
      <c r="V3" s="1499"/>
      <c r="W3" s="1499"/>
      <c r="X3" s="1500">
        <v>1327.2</v>
      </c>
    </row>
    <row r="4" spans="1:29" ht="11.25" customHeight="1">
      <c r="A4" s="1465"/>
      <c r="B4" s="1668" t="s">
        <v>1</v>
      </c>
      <c r="C4" s="1669" t="s">
        <v>2</v>
      </c>
      <c r="D4" s="1670" t="s">
        <v>1049</v>
      </c>
      <c r="E4" s="1671" t="s">
        <v>1050</v>
      </c>
      <c r="F4" s="1672" t="s">
        <v>1051</v>
      </c>
      <c r="G4" s="1673"/>
      <c r="H4" s="1674" t="s">
        <v>1</v>
      </c>
      <c r="I4" s="1669" t="s">
        <v>2</v>
      </c>
      <c r="J4" s="1670" t="s">
        <v>1049</v>
      </c>
      <c r="K4" s="1671" t="s">
        <v>1050</v>
      </c>
      <c r="L4" s="1672" t="s">
        <v>1051</v>
      </c>
      <c r="M4" s="1644"/>
      <c r="N4" s="1497"/>
      <c r="O4" s="1497"/>
      <c r="P4" s="1497"/>
      <c r="Q4" s="1493"/>
      <c r="R4" s="1493"/>
      <c r="U4" s="1478"/>
    </row>
    <row r="5" spans="1:29" ht="11.25" customHeight="1">
      <c r="A5" s="1491">
        <v>51131050</v>
      </c>
      <c r="B5" s="1645" t="s">
        <v>1052</v>
      </c>
      <c r="C5" s="1646" t="s">
        <v>12</v>
      </c>
      <c r="D5" s="1647"/>
      <c r="E5" s="1648"/>
      <c r="F5" s="1649">
        <f>ROUND(E5*$F$3,0)</f>
        <v>0</v>
      </c>
      <c r="G5" s="1665">
        <v>51131050</v>
      </c>
      <c r="H5" s="1650" t="s">
        <v>11</v>
      </c>
      <c r="I5" s="1650" t="s">
        <v>12</v>
      </c>
      <c r="J5" s="1647">
        <v>19456.010000000002</v>
      </c>
      <c r="K5" s="1651">
        <v>2746.44</v>
      </c>
      <c r="L5" s="1652">
        <f>ROUND(K5*$L$3,0)</f>
        <v>3993324</v>
      </c>
      <c r="M5" s="1644"/>
      <c r="N5" s="1497"/>
      <c r="O5" s="1497"/>
      <c r="P5" s="1497"/>
      <c r="Q5" s="1493"/>
      <c r="R5" s="1493"/>
      <c r="S5" s="1517">
        <f>F5+L5+R5</f>
        <v>3993324</v>
      </c>
      <c r="U5" s="1478"/>
    </row>
    <row r="6" spans="1:29" ht="11.25" customHeight="1">
      <c r="A6" s="1491">
        <v>51061030</v>
      </c>
      <c r="B6" s="1645" t="s">
        <v>1053</v>
      </c>
      <c r="C6" s="1646" t="s">
        <v>1054</v>
      </c>
      <c r="D6" s="1647"/>
      <c r="E6" s="1647"/>
      <c r="F6" s="1649">
        <f t="shared" ref="F6:F10" si="0">ROUND(E6*$F$3,0)</f>
        <v>0</v>
      </c>
      <c r="G6" s="1665">
        <v>51061030</v>
      </c>
      <c r="H6" s="1650" t="s">
        <v>13</v>
      </c>
      <c r="I6" s="1650" t="s">
        <v>14</v>
      </c>
      <c r="J6" s="1647">
        <v>64040.680000000008</v>
      </c>
      <c r="K6" s="1651">
        <v>9040.06</v>
      </c>
      <c r="L6" s="1652">
        <f t="shared" ref="L6:L12" si="1">ROUND(K6*$L$3,0)</f>
        <v>13144247</v>
      </c>
      <c r="M6" s="1644"/>
      <c r="N6" s="1497"/>
      <c r="O6" s="1497"/>
      <c r="P6" s="1497"/>
      <c r="Q6" s="1493"/>
      <c r="R6" s="1493"/>
      <c r="S6" s="1517">
        <f t="shared" ref="S6:S8" si="2">F6+L6+R6</f>
        <v>13144247</v>
      </c>
      <c r="U6" s="1478"/>
      <c r="AB6" s="1486"/>
      <c r="AC6" s="1484"/>
    </row>
    <row r="7" spans="1:29" ht="11.25" customHeight="1">
      <c r="A7" s="1491">
        <v>51201020</v>
      </c>
      <c r="B7" s="1645" t="s">
        <v>15</v>
      </c>
      <c r="C7" s="1646" t="s">
        <v>180</v>
      </c>
      <c r="D7" s="1647">
        <f>+K22</f>
        <v>22354.420965000001</v>
      </c>
      <c r="E7" s="1647">
        <v>3141.21</v>
      </c>
      <c r="F7" s="1649">
        <f t="shared" si="0"/>
        <v>4403662</v>
      </c>
      <c r="G7" s="1665">
        <v>51201020</v>
      </c>
      <c r="H7" s="1650" t="s">
        <v>15</v>
      </c>
      <c r="I7" s="1650" t="s">
        <v>1055</v>
      </c>
      <c r="J7" s="1653">
        <v>2682.58</v>
      </c>
      <c r="K7" s="1654">
        <v>378.68</v>
      </c>
      <c r="L7" s="1652">
        <f t="shared" si="1"/>
        <v>550601</v>
      </c>
      <c r="M7" s="1644"/>
      <c r="N7" s="1497"/>
      <c r="O7" s="1497"/>
      <c r="P7" s="1497"/>
      <c r="Q7" s="1493"/>
      <c r="R7" s="1493"/>
      <c r="S7" s="1517">
        <f t="shared" si="2"/>
        <v>4954263</v>
      </c>
      <c r="U7" s="1478"/>
    </row>
    <row r="8" spans="1:29" ht="13.05" customHeight="1">
      <c r="A8" s="1491">
        <v>51201030</v>
      </c>
      <c r="B8" s="1645" t="s">
        <v>1056</v>
      </c>
      <c r="C8" s="1646" t="s">
        <v>17</v>
      </c>
      <c r="D8" s="1647"/>
      <c r="E8" s="1647"/>
      <c r="F8" s="1649">
        <f t="shared" si="0"/>
        <v>0</v>
      </c>
      <c r="G8" s="1665">
        <v>51201030</v>
      </c>
      <c r="H8" s="1650" t="s">
        <v>15</v>
      </c>
      <c r="I8" s="1646" t="s">
        <v>17</v>
      </c>
      <c r="J8" s="1653">
        <v>20000</v>
      </c>
      <c r="K8" s="1654">
        <v>2823.22</v>
      </c>
      <c r="L8" s="1652">
        <f t="shared" si="1"/>
        <v>4104962</v>
      </c>
      <c r="M8" s="1644"/>
      <c r="N8" s="1497"/>
      <c r="O8" s="1497"/>
      <c r="P8" s="1497"/>
      <c r="Q8" s="1493"/>
      <c r="R8" s="1493"/>
      <c r="S8" s="1517">
        <f t="shared" si="2"/>
        <v>4104962</v>
      </c>
      <c r="U8" s="1478"/>
    </row>
    <row r="9" spans="1:29" ht="11.25" customHeight="1">
      <c r="A9" s="1491">
        <v>51071700</v>
      </c>
      <c r="B9" s="1645" t="s">
        <v>19</v>
      </c>
      <c r="C9" s="1646" t="s">
        <v>20</v>
      </c>
      <c r="D9" s="1647"/>
      <c r="E9" s="1647"/>
      <c r="F9" s="1649">
        <f t="shared" si="0"/>
        <v>0</v>
      </c>
      <c r="G9" s="1665">
        <v>51071700</v>
      </c>
      <c r="H9" s="1650" t="s">
        <v>19</v>
      </c>
      <c r="I9" s="1646" t="s">
        <v>20</v>
      </c>
      <c r="J9" s="1653">
        <v>1996.8799999999999</v>
      </c>
      <c r="K9" s="1654">
        <v>281.88</v>
      </c>
      <c r="L9" s="1652">
        <f t="shared" si="1"/>
        <v>409854</v>
      </c>
      <c r="M9" s="1644"/>
      <c r="N9" s="1497"/>
      <c r="O9" s="1497"/>
      <c r="P9" s="1497"/>
      <c r="Q9" s="1493"/>
      <c r="R9" s="1493"/>
      <c r="S9" s="1517"/>
      <c r="U9" s="1478"/>
    </row>
    <row r="10" spans="1:29" ht="11.25" customHeight="1">
      <c r="A10" s="1491">
        <v>51321010</v>
      </c>
      <c r="B10" s="1645" t="s">
        <v>21</v>
      </c>
      <c r="C10" s="1646"/>
      <c r="D10" s="1647"/>
      <c r="E10" s="1647"/>
      <c r="F10" s="1649">
        <f t="shared" si="0"/>
        <v>0</v>
      </c>
      <c r="G10" s="1666">
        <v>51321010</v>
      </c>
      <c r="H10" s="1650" t="s">
        <v>21</v>
      </c>
      <c r="I10" s="1650"/>
      <c r="J10" s="1647">
        <v>274489.14</v>
      </c>
      <c r="K10" s="1651">
        <v>38772.21</v>
      </c>
      <c r="L10" s="1652">
        <f t="shared" si="1"/>
        <v>56374793</v>
      </c>
      <c r="M10" s="1644"/>
      <c r="N10" s="1497"/>
      <c r="O10" s="1497"/>
      <c r="P10" s="1497"/>
      <c r="Q10" s="1493"/>
      <c r="R10" s="1493"/>
      <c r="S10" s="1517"/>
      <c r="U10" s="1478"/>
      <c r="AB10" s="1486"/>
      <c r="AC10" s="1484"/>
    </row>
    <row r="11" spans="1:29" ht="11.25" customHeight="1">
      <c r="A11" s="1491">
        <v>51031020</v>
      </c>
      <c r="B11" s="1655" t="s">
        <v>1057</v>
      </c>
      <c r="C11" s="1656" t="s">
        <v>1058</v>
      </c>
      <c r="D11" s="1655"/>
      <c r="E11" s="1655"/>
      <c r="F11" s="1657"/>
      <c r="G11" s="1667"/>
      <c r="H11" s="1655" t="s">
        <v>1057</v>
      </c>
      <c r="I11" s="1655" t="s">
        <v>1279</v>
      </c>
      <c r="J11" s="1658"/>
      <c r="K11" s="1659"/>
      <c r="L11" s="1657">
        <f t="shared" si="1"/>
        <v>0</v>
      </c>
      <c r="M11" s="1644"/>
      <c r="N11" s="1497"/>
      <c r="O11" s="1497"/>
      <c r="P11" s="1497"/>
      <c r="Q11" s="1526"/>
      <c r="R11" s="1493"/>
      <c r="S11" s="1517"/>
      <c r="U11" s="1478"/>
      <c r="AB11" s="1486"/>
      <c r="AC11" s="1484"/>
    </row>
    <row r="12" spans="1:29" ht="11.25" customHeight="1">
      <c r="A12" s="1491">
        <v>52981010</v>
      </c>
      <c r="B12" s="1650" t="s">
        <v>1626</v>
      </c>
      <c r="C12" s="1646" t="s">
        <v>1060</v>
      </c>
      <c r="D12" s="1660"/>
      <c r="E12" s="1647"/>
      <c r="F12" s="1649"/>
      <c r="G12" s="1667">
        <v>52981010</v>
      </c>
      <c r="H12" s="1650" t="s">
        <v>1626</v>
      </c>
      <c r="I12" s="1650" t="s">
        <v>1060</v>
      </c>
      <c r="J12" s="1660"/>
      <c r="K12" s="1647"/>
      <c r="L12" s="1652">
        <f t="shared" si="1"/>
        <v>0</v>
      </c>
      <c r="M12" s="1644"/>
      <c r="N12" s="1497"/>
      <c r="O12" s="1497"/>
      <c r="P12" s="1497"/>
      <c r="Q12" s="1526"/>
      <c r="R12" s="1493"/>
      <c r="S12" s="1517"/>
      <c r="U12" s="1478"/>
      <c r="AB12" s="1486"/>
      <c r="AC12" s="1484"/>
    </row>
    <row r="13" spans="1:29" s="1484" customFormat="1" ht="8.5500000000000007" customHeight="1">
      <c r="A13" s="1528"/>
      <c r="B13" s="1661" t="s">
        <v>22</v>
      </c>
      <c r="C13" s="1662"/>
      <c r="D13" s="1675">
        <f>SUM(D5:D11)</f>
        <v>22354.420965000001</v>
      </c>
      <c r="E13" s="1675">
        <f>SUM(E5:E11)</f>
        <v>3141.21</v>
      </c>
      <c r="F13" s="1676">
        <f>SUM(F5:F11)</f>
        <v>4403662</v>
      </c>
      <c r="G13" s="1677"/>
      <c r="H13" s="1678" t="s">
        <v>22</v>
      </c>
      <c r="I13" s="1679"/>
      <c r="J13" s="1675">
        <f>SUM(J5:J11)-J12</f>
        <v>382665.29000000004</v>
      </c>
      <c r="K13" s="1671">
        <f>SUM(K5:K11)-K12</f>
        <v>54042.49</v>
      </c>
      <c r="L13" s="1680">
        <f>SUM(L5:L11)-L12</f>
        <v>78577781</v>
      </c>
      <c r="M13" s="1644"/>
      <c r="N13" s="1497"/>
      <c r="O13" s="1497"/>
      <c r="P13" s="1497"/>
      <c r="R13" s="1497"/>
      <c r="S13" s="1517"/>
      <c r="U13" s="1535"/>
      <c r="X13" s="1526" t="e">
        <f>F13+#REF!</f>
        <v>#REF!</v>
      </c>
      <c r="Y13" s="1536"/>
      <c r="Z13" s="1537"/>
      <c r="AB13" s="1538"/>
    </row>
    <row r="14" spans="1:29" ht="8.5500000000000007" customHeight="1">
      <c r="A14" s="1465"/>
      <c r="D14" s="1540">
        <f>D13-D12</f>
        <v>22354.420965000001</v>
      </c>
      <c r="E14" s="1540">
        <f>E13-E12</f>
        <v>3141.21</v>
      </c>
      <c r="F14" s="1540">
        <f>F13-F12</f>
        <v>4403662</v>
      </c>
      <c r="G14" s="1541"/>
      <c r="J14" s="1542">
        <f>J13+D13+P13</f>
        <v>405019.71096500003</v>
      </c>
      <c r="K14" s="1542">
        <f t="shared" ref="K14:L14" si="3">K13+E13+Q13</f>
        <v>57183.7</v>
      </c>
      <c r="L14" s="1542">
        <f t="shared" si="3"/>
        <v>82981443</v>
      </c>
      <c r="M14" s="1497"/>
      <c r="N14" s="1497"/>
      <c r="O14" s="1497"/>
      <c r="P14" s="1497"/>
      <c r="Q14" s="1526"/>
      <c r="R14" s="1493"/>
      <c r="X14" s="1486"/>
      <c r="Y14" s="1486"/>
      <c r="AB14" s="1486"/>
      <c r="AC14" s="1484"/>
    </row>
    <row r="15" spans="1:29" ht="11.1" customHeight="1">
      <c r="A15" s="1465"/>
      <c r="D15" s="1540"/>
      <c r="E15" s="1540"/>
      <c r="F15" s="1540"/>
      <c r="G15" s="1541"/>
      <c r="J15" s="1627"/>
      <c r="K15" s="1535"/>
      <c r="L15" s="1543"/>
      <c r="M15" s="1535"/>
      <c r="O15" s="1526"/>
      <c r="P15" s="1526"/>
      <c r="Q15" s="1526"/>
      <c r="R15" s="1544"/>
      <c r="X15" s="1486"/>
      <c r="Y15" s="1486"/>
      <c r="AB15" s="1486"/>
      <c r="AC15" s="1484"/>
    </row>
    <row r="16" spans="1:29" ht="11.1" customHeight="1">
      <c r="A16" s="1465"/>
      <c r="D16" s="1482"/>
      <c r="E16" s="1545"/>
      <c r="F16" s="1545"/>
      <c r="G16" s="1541"/>
      <c r="I16" s="1486"/>
      <c r="J16" s="1538"/>
      <c r="K16" s="1626">
        <f>SUBTOTAL(9,K19:K89)</f>
        <v>405019.71</v>
      </c>
      <c r="L16" s="1546"/>
      <c r="M16" s="1626">
        <f>SUBTOTAL(9,M19:M89)</f>
        <v>57183.702483204586</v>
      </c>
      <c r="N16" s="1486"/>
      <c r="Q16" s="1486"/>
      <c r="U16" s="1478"/>
    </row>
    <row r="17" spans="1:29" ht="11.55" customHeight="1">
      <c r="A17" s="1465"/>
      <c r="B17" s="1547" t="s">
        <v>24</v>
      </c>
      <c r="C17" s="1548" t="s">
        <v>25</v>
      </c>
      <c r="D17" s="1637" t="s">
        <v>1061</v>
      </c>
      <c r="E17" s="1550" t="s">
        <v>26</v>
      </c>
      <c r="F17" s="1637" t="s">
        <v>1</v>
      </c>
      <c r="G17" s="1551" t="s">
        <v>2</v>
      </c>
      <c r="H17" s="2096" t="s">
        <v>29</v>
      </c>
      <c r="I17" s="2096"/>
      <c r="J17" s="2096"/>
      <c r="K17" s="2096" t="s">
        <v>30</v>
      </c>
      <c r="L17" s="2096"/>
      <c r="M17" s="2097"/>
      <c r="N17" s="2098" t="s">
        <v>31</v>
      </c>
      <c r="O17" s="2098"/>
      <c r="P17" s="2099"/>
      <c r="Q17" s="2099"/>
      <c r="R17" s="1551" t="s">
        <v>1062</v>
      </c>
      <c r="U17" s="1478"/>
    </row>
    <row r="18" spans="1:29" ht="11.1" customHeight="1">
      <c r="A18" s="1465"/>
      <c r="B18" s="1552" t="s">
        <v>1063</v>
      </c>
      <c r="C18" s="1553" t="s">
        <v>1064</v>
      </c>
      <c r="D18" s="1638" t="s">
        <v>1065</v>
      </c>
      <c r="E18" s="1555" t="s">
        <v>1066</v>
      </c>
      <c r="F18" s="1556" t="s">
        <v>1067</v>
      </c>
      <c r="G18" s="1557" t="s">
        <v>1068</v>
      </c>
      <c r="H18" s="1558" t="s">
        <v>1069</v>
      </c>
      <c r="I18" s="1558" t="s">
        <v>1070</v>
      </c>
      <c r="J18" s="1559" t="s">
        <v>34</v>
      </c>
      <c r="K18" s="1559" t="s">
        <v>1069</v>
      </c>
      <c r="L18" s="1558" t="s">
        <v>1070</v>
      </c>
      <c r="M18" s="1560" t="s">
        <v>34</v>
      </c>
      <c r="N18" s="1636" t="s">
        <v>1069</v>
      </c>
      <c r="O18" s="1636" t="s">
        <v>34</v>
      </c>
      <c r="P18" s="2100" t="s">
        <v>32</v>
      </c>
      <c r="Q18" s="2100"/>
      <c r="R18" s="1562" t="s">
        <v>1062</v>
      </c>
      <c r="U18" s="1478"/>
    </row>
    <row r="19" spans="1:29" ht="11.25" customHeight="1">
      <c r="B19" s="1563">
        <v>45961</v>
      </c>
      <c r="C19" s="1564"/>
      <c r="D19" s="1565"/>
      <c r="E19" s="1564"/>
      <c r="F19" s="1566"/>
      <c r="G19" s="1567"/>
      <c r="H19" s="1568"/>
      <c r="I19" s="1565"/>
      <c r="J19" s="1567"/>
      <c r="K19" s="1569"/>
      <c r="L19" s="1570"/>
      <c r="M19" s="1571"/>
      <c r="N19" s="1572">
        <v>22354.330000000307</v>
      </c>
      <c r="O19" s="1572">
        <v>3141.21</v>
      </c>
      <c r="P19" s="1573"/>
      <c r="Q19" s="1564"/>
      <c r="R19" s="1574"/>
      <c r="S19" s="1575">
        <v>3141.21</v>
      </c>
      <c r="U19" s="1478"/>
    </row>
    <row r="20" spans="1:29" s="1479" customFormat="1" ht="11.25" customHeight="1">
      <c r="A20" s="1480"/>
      <c r="B20" s="1576">
        <v>45974</v>
      </c>
      <c r="C20" s="1577" t="s">
        <v>1088</v>
      </c>
      <c r="D20" s="1578"/>
      <c r="E20" s="1579">
        <v>1</v>
      </c>
      <c r="F20" s="1580"/>
      <c r="G20" s="1581"/>
      <c r="H20" s="1582">
        <v>411415.27</v>
      </c>
      <c r="I20" s="1582"/>
      <c r="J20" s="1582">
        <v>58100.87</v>
      </c>
      <c r="K20" s="1583"/>
      <c r="L20" s="1324"/>
      <c r="M20" s="948"/>
      <c r="N20" s="1585">
        <f t="shared" ref="N20:N22" si="4">N19+H20-K20</f>
        <v>433769.60000000033</v>
      </c>
      <c r="O20" s="1585">
        <f t="shared" ref="O20:O22" si="5">O19+J20-M20</f>
        <v>61242.080000000002</v>
      </c>
      <c r="P20" s="1586"/>
      <c r="Q20" s="1587"/>
      <c r="R20" s="1588"/>
      <c r="S20" s="1589"/>
      <c r="T20" s="1478"/>
      <c r="U20" s="1478"/>
      <c r="V20" s="1478"/>
      <c r="W20" s="1478"/>
      <c r="X20" s="1478"/>
      <c r="Y20" s="1478"/>
      <c r="Z20" s="1478"/>
      <c r="AA20" s="1478"/>
      <c r="AB20" s="1478"/>
      <c r="AC20" s="1478"/>
    </row>
    <row r="21" spans="1:29" s="1479" customFormat="1" ht="11.25" customHeight="1">
      <c r="A21" s="1480"/>
      <c r="B21" s="1576">
        <v>45974</v>
      </c>
      <c r="C21" s="1577" t="s">
        <v>1088</v>
      </c>
      <c r="D21" s="1578"/>
      <c r="E21" s="1579">
        <v>1</v>
      </c>
      <c r="F21" s="1632" t="s">
        <v>107</v>
      </c>
      <c r="G21" s="1581"/>
      <c r="H21" s="1582"/>
      <c r="I21" s="1582"/>
      <c r="J21" s="1582"/>
      <c r="K21" s="1583"/>
      <c r="L21" s="1324"/>
      <c r="M21" s="1096">
        <v>25</v>
      </c>
      <c r="N21" s="1585">
        <f t="shared" si="4"/>
        <v>433769.60000000033</v>
      </c>
      <c r="O21" s="1585">
        <f t="shared" si="5"/>
        <v>61217.08</v>
      </c>
      <c r="P21" s="1586"/>
      <c r="Q21" s="1587"/>
      <c r="R21" s="1588"/>
      <c r="S21" s="1589"/>
      <c r="T21" s="1478"/>
      <c r="U21" s="1478"/>
      <c r="V21" s="1478"/>
      <c r="W21" s="1478"/>
      <c r="X21" s="1478"/>
      <c r="Y21" s="1478"/>
      <c r="Z21" s="1478"/>
      <c r="AA21" s="1478"/>
      <c r="AB21" s="1478"/>
      <c r="AC21" s="1478"/>
    </row>
    <row r="22" spans="1:29" s="1479" customFormat="1" ht="11.25" customHeight="1">
      <c r="A22" s="1480"/>
      <c r="B22" s="1576">
        <v>45975</v>
      </c>
      <c r="C22" s="1577" t="s">
        <v>1464</v>
      </c>
      <c r="D22" s="1578"/>
      <c r="E22" s="1579">
        <v>2</v>
      </c>
      <c r="F22" s="1580" t="s">
        <v>105</v>
      </c>
      <c r="G22" s="1581" t="s">
        <v>1122</v>
      </c>
      <c r="H22" s="1582"/>
      <c r="I22" s="1582"/>
      <c r="J22" s="1582"/>
      <c r="K22" s="1583">
        <f>L22*M22</f>
        <v>22354.420965000001</v>
      </c>
      <c r="L22" s="1643">
        <v>7.1165000000000003</v>
      </c>
      <c r="M22" s="948">
        <v>3141.21</v>
      </c>
      <c r="N22" s="1585">
        <f t="shared" si="4"/>
        <v>411415.17903500033</v>
      </c>
      <c r="O22" s="1585">
        <f t="shared" si="5"/>
        <v>58075.87</v>
      </c>
      <c r="P22" s="1591"/>
      <c r="Q22" s="1587"/>
      <c r="R22" s="1587"/>
      <c r="S22" s="1589"/>
      <c r="T22" s="1478"/>
      <c r="U22" s="1478"/>
      <c r="V22" s="1478"/>
      <c r="W22" s="1478"/>
      <c r="X22" s="1478"/>
      <c r="Y22" s="1478"/>
      <c r="Z22" s="1478"/>
      <c r="AA22" s="1478"/>
      <c r="AB22" s="1478"/>
      <c r="AC22" s="1478"/>
    </row>
    <row r="23" spans="1:29" s="1479" customFormat="1" ht="11.25" customHeight="1">
      <c r="A23" s="1480"/>
      <c r="B23" s="1576">
        <v>45975</v>
      </c>
      <c r="C23" s="1577" t="s">
        <v>1464</v>
      </c>
      <c r="D23" s="1578"/>
      <c r="E23" s="1579">
        <v>2</v>
      </c>
      <c r="F23" s="1580" t="s">
        <v>105</v>
      </c>
      <c r="G23" s="1581" t="s">
        <v>1122</v>
      </c>
      <c r="H23" s="1582"/>
      <c r="I23" s="1582"/>
      <c r="J23" s="1582"/>
      <c r="K23" s="1583">
        <f>25037-K22</f>
        <v>2682.5790349999988</v>
      </c>
      <c r="L23" s="1324">
        <f>'통장내역(환율표)'!$D$35</f>
        <v>7.0840999885150238</v>
      </c>
      <c r="M23" s="1096">
        <f t="shared" ref="M23:M86" si="6">K23/L23</f>
        <v>378.67605473512293</v>
      </c>
      <c r="N23" s="1585">
        <f t="shared" ref="N23" si="7">N22+H23-K23</f>
        <v>408732.60000000033</v>
      </c>
      <c r="O23" s="1585">
        <f t="shared" ref="O23" si="8">O22+J23-M23</f>
        <v>57697.19394526488</v>
      </c>
      <c r="P23" s="1591"/>
      <c r="Q23" s="1587"/>
      <c r="R23" s="1587"/>
      <c r="S23" s="1589">
        <f>58075.87-M23</f>
        <v>57697.19394526488</v>
      </c>
      <c r="T23" s="1478"/>
      <c r="U23" s="1478"/>
      <c r="V23" s="1478"/>
      <c r="W23" s="1478"/>
      <c r="X23" s="1478"/>
      <c r="Y23" s="1478"/>
      <c r="Z23" s="1478"/>
      <c r="AA23" s="1478"/>
      <c r="AB23" s="1478"/>
      <c r="AC23" s="1478"/>
    </row>
    <row r="24" spans="1:29" s="1479" customFormat="1" ht="11.25" customHeight="1">
      <c r="A24" s="1480"/>
      <c r="B24" s="1576">
        <v>45975</v>
      </c>
      <c r="C24" s="1577" t="s">
        <v>250</v>
      </c>
      <c r="D24" s="1578"/>
      <c r="E24" s="1579">
        <v>3</v>
      </c>
      <c r="F24" s="1580" t="s">
        <v>107</v>
      </c>
      <c r="G24" s="1581"/>
      <c r="H24" s="1582"/>
      <c r="I24" s="1582"/>
      <c r="J24" s="1582"/>
      <c r="K24" s="1583">
        <v>7.2</v>
      </c>
      <c r="L24" s="1324">
        <f>'통장내역(환율표)'!$D$35</f>
        <v>7.0840999885150238</v>
      </c>
      <c r="M24" s="1096">
        <f t="shared" si="6"/>
        <v>1.0163605837965128</v>
      </c>
      <c r="N24" s="1585">
        <f t="shared" ref="N24:N87" si="9">N23+H24-K24</f>
        <v>408725.40000000031</v>
      </c>
      <c r="O24" s="1585">
        <f t="shared" ref="O24:O87" si="10">O23+J24-M24</f>
        <v>57696.177584681085</v>
      </c>
      <c r="P24" s="1591"/>
      <c r="Q24" s="1587"/>
      <c r="R24" s="1587"/>
      <c r="S24" s="1589">
        <f t="shared" ref="S24:S88" si="11">S23-M24+J24</f>
        <v>57696.177584681085</v>
      </c>
      <c r="T24" s="1478"/>
      <c r="U24" s="1478"/>
      <c r="V24" s="1478"/>
      <c r="W24" s="1478"/>
      <c r="X24" s="1478"/>
      <c r="Y24" s="1478"/>
      <c r="Z24" s="1478"/>
      <c r="AA24" s="1478"/>
      <c r="AB24" s="1478"/>
      <c r="AC24" s="1478"/>
    </row>
    <row r="25" spans="1:29" s="1479" customFormat="1" ht="11.25" customHeight="1">
      <c r="A25" s="1480"/>
      <c r="B25" s="1576">
        <v>45975</v>
      </c>
      <c r="C25" s="1577" t="s">
        <v>1576</v>
      </c>
      <c r="D25" s="1578"/>
      <c r="E25" s="1579">
        <v>4</v>
      </c>
      <c r="F25" s="1580" t="s">
        <v>146</v>
      </c>
      <c r="G25" s="1581" t="s">
        <v>147</v>
      </c>
      <c r="H25" s="1582"/>
      <c r="I25" s="1582"/>
      <c r="J25" s="1582"/>
      <c r="K25" s="1583">
        <v>2400</v>
      </c>
      <c r="L25" s="1324">
        <f>'통장내역(환율표)'!$D$35</f>
        <v>7.0840999885150238</v>
      </c>
      <c r="M25" s="1096">
        <f t="shared" si="6"/>
        <v>338.78686126550429</v>
      </c>
      <c r="N25" s="1585">
        <f t="shared" si="9"/>
        <v>406325.40000000031</v>
      </c>
      <c r="O25" s="1585">
        <f t="shared" si="10"/>
        <v>57357.390723415578</v>
      </c>
      <c r="P25" s="1591"/>
      <c r="Q25" s="1587"/>
      <c r="R25" s="1587"/>
      <c r="S25" s="1589">
        <f t="shared" si="11"/>
        <v>57357.390723415578</v>
      </c>
      <c r="T25" s="1478"/>
      <c r="U25" s="1478"/>
      <c r="V25" s="1478"/>
      <c r="W25" s="1478"/>
      <c r="X25" s="1478"/>
      <c r="Y25" s="1478"/>
      <c r="Z25" s="1478"/>
      <c r="AA25" s="1478"/>
      <c r="AB25" s="1478"/>
      <c r="AC25" s="1478"/>
    </row>
    <row r="26" spans="1:29" s="1479" customFormat="1" ht="11.25" customHeight="1">
      <c r="A26" s="1480"/>
      <c r="B26" s="1576">
        <v>45975</v>
      </c>
      <c r="C26" s="1577" t="s">
        <v>250</v>
      </c>
      <c r="D26" s="1578"/>
      <c r="E26" s="1579">
        <v>5</v>
      </c>
      <c r="F26" s="1580" t="s">
        <v>107</v>
      </c>
      <c r="G26" s="1581"/>
      <c r="H26" s="1582"/>
      <c r="I26" s="1582"/>
      <c r="J26" s="1582"/>
      <c r="K26" s="1583">
        <v>3.6</v>
      </c>
      <c r="L26" s="1324">
        <f>'통장내역(환율표)'!$D$35</f>
        <v>7.0840999885150238</v>
      </c>
      <c r="M26" s="1096">
        <f t="shared" si="6"/>
        <v>0.50818029189825642</v>
      </c>
      <c r="N26" s="1585">
        <f t="shared" si="9"/>
        <v>406321.80000000034</v>
      </c>
      <c r="O26" s="1585">
        <f t="shared" si="10"/>
        <v>57356.882543123676</v>
      </c>
      <c r="P26" s="1591"/>
      <c r="Q26" s="1587"/>
      <c r="R26" s="1587"/>
      <c r="S26" s="1589">
        <f t="shared" si="11"/>
        <v>57356.882543123676</v>
      </c>
      <c r="T26" s="1478"/>
      <c r="U26" s="1478"/>
      <c r="V26" s="1478"/>
      <c r="W26" s="1478"/>
      <c r="X26" s="1478"/>
      <c r="Y26" s="1478"/>
      <c r="Z26" s="1478"/>
      <c r="AA26" s="1478"/>
      <c r="AB26" s="1478"/>
      <c r="AC26" s="1478"/>
    </row>
    <row r="27" spans="1:29" s="1479" customFormat="1" ht="11.25" customHeight="1">
      <c r="A27" s="1480"/>
      <c r="B27" s="1576">
        <v>45985</v>
      </c>
      <c r="C27" s="1577" t="s">
        <v>352</v>
      </c>
      <c r="D27" s="1578"/>
      <c r="E27" s="1579">
        <v>6</v>
      </c>
      <c r="F27" s="1580" t="s">
        <v>107</v>
      </c>
      <c r="G27" s="1581"/>
      <c r="H27" s="1582"/>
      <c r="I27" s="1590"/>
      <c r="J27" s="1582"/>
      <c r="K27" s="1583">
        <v>1010</v>
      </c>
      <c r="L27" s="1324">
        <f>'통장내역(환율표)'!$D$35</f>
        <v>7.0840999885150238</v>
      </c>
      <c r="M27" s="1096">
        <f t="shared" si="6"/>
        <v>142.57280411589974</v>
      </c>
      <c r="N27" s="1585">
        <f t="shared" si="9"/>
        <v>405311.80000000034</v>
      </c>
      <c r="O27" s="1585">
        <f t="shared" si="10"/>
        <v>57214.309739007775</v>
      </c>
      <c r="P27" s="1591"/>
      <c r="Q27" s="1587"/>
      <c r="R27" s="1587"/>
      <c r="S27" s="1589">
        <f t="shared" si="11"/>
        <v>57214.309739007775</v>
      </c>
      <c r="T27" s="1478"/>
      <c r="U27" s="1478"/>
      <c r="V27" s="1478"/>
      <c r="W27" s="1478"/>
      <c r="X27" s="1478"/>
      <c r="Y27" s="1478"/>
      <c r="Z27" s="1478"/>
      <c r="AA27" s="1478"/>
      <c r="AB27" s="1478"/>
      <c r="AC27" s="1478"/>
    </row>
    <row r="28" spans="1:29" s="1479" customFormat="1" ht="11.25" customHeight="1">
      <c r="A28" s="1480"/>
      <c r="B28" s="1576">
        <v>45985</v>
      </c>
      <c r="C28" s="1577" t="s">
        <v>250</v>
      </c>
      <c r="D28" s="1578"/>
      <c r="E28" s="1579">
        <v>7</v>
      </c>
      <c r="F28" s="1580" t="s">
        <v>107</v>
      </c>
      <c r="G28" s="1581"/>
      <c r="H28" s="1582"/>
      <c r="I28" s="1590"/>
      <c r="J28" s="1582"/>
      <c r="K28" s="1583">
        <v>3.6</v>
      </c>
      <c r="L28" s="1324">
        <f>'통장내역(환율표)'!$D$35</f>
        <v>7.0840999885150238</v>
      </c>
      <c r="M28" s="1096">
        <f t="shared" si="6"/>
        <v>0.50818029189825642</v>
      </c>
      <c r="N28" s="1585">
        <f t="shared" si="9"/>
        <v>405308.20000000036</v>
      </c>
      <c r="O28" s="1585">
        <f t="shared" si="10"/>
        <v>57213.801558715873</v>
      </c>
      <c r="P28" s="1591"/>
      <c r="Q28" s="1587"/>
      <c r="R28" s="1587"/>
      <c r="S28" s="1589">
        <f t="shared" si="11"/>
        <v>57213.801558715873</v>
      </c>
      <c r="T28" s="1478"/>
      <c r="U28" s="1478"/>
      <c r="V28" s="1478"/>
      <c r="W28" s="1478"/>
      <c r="X28" s="1478"/>
      <c r="Y28" s="1478"/>
      <c r="Z28" s="1478"/>
      <c r="AA28" s="1478"/>
      <c r="AB28" s="1478"/>
      <c r="AC28" s="1478"/>
    </row>
    <row r="29" spans="1:29" s="1479" customFormat="1" ht="11.25" customHeight="1">
      <c r="A29" s="1480"/>
      <c r="B29" s="1576">
        <v>45985</v>
      </c>
      <c r="C29" s="1593" t="s">
        <v>305</v>
      </c>
      <c r="D29" s="1578"/>
      <c r="E29" s="1579">
        <v>8</v>
      </c>
      <c r="F29" s="1580" t="s">
        <v>105</v>
      </c>
      <c r="G29" s="1581" t="s">
        <v>227</v>
      </c>
      <c r="H29" s="1582"/>
      <c r="I29" s="1590"/>
      <c r="J29" s="1582"/>
      <c r="K29" s="1583">
        <v>7000</v>
      </c>
      <c r="L29" s="1324">
        <f>'통장내역(환율표)'!$D$35</f>
        <v>7.0840999885150238</v>
      </c>
      <c r="M29" s="1096">
        <f t="shared" si="6"/>
        <v>988.12834535772095</v>
      </c>
      <c r="N29" s="1585">
        <f t="shared" si="9"/>
        <v>398308.20000000036</v>
      </c>
      <c r="O29" s="1585">
        <f t="shared" si="10"/>
        <v>56225.673213358154</v>
      </c>
      <c r="P29" s="1591"/>
      <c r="Q29" s="1587"/>
      <c r="R29" s="1587"/>
      <c r="S29" s="1589">
        <f t="shared" si="11"/>
        <v>56225.673213358154</v>
      </c>
      <c r="T29" s="1478"/>
      <c r="U29" s="1478"/>
      <c r="V29" s="1478"/>
      <c r="W29" s="1478"/>
      <c r="X29" s="1478"/>
      <c r="Y29" s="1478"/>
      <c r="Z29" s="1478"/>
      <c r="AA29" s="1478"/>
      <c r="AB29" s="1478"/>
      <c r="AC29" s="1478"/>
    </row>
    <row r="30" spans="1:29" s="1479" customFormat="1" ht="11.25" customHeight="1">
      <c r="A30" s="1480"/>
      <c r="B30" s="1576">
        <v>45985</v>
      </c>
      <c r="C30" s="1593" t="s">
        <v>1107</v>
      </c>
      <c r="D30" s="1578"/>
      <c r="E30" s="1579">
        <v>8</v>
      </c>
      <c r="F30" s="1580" t="s">
        <v>107</v>
      </c>
      <c r="G30" s="1581"/>
      <c r="H30" s="1582"/>
      <c r="I30" s="1590"/>
      <c r="J30" s="1582"/>
      <c r="K30" s="1583">
        <v>6000</v>
      </c>
      <c r="L30" s="1324">
        <f>'통장내역(환율표)'!$D$35</f>
        <v>7.0840999885150238</v>
      </c>
      <c r="M30" s="1096">
        <f t="shared" si="6"/>
        <v>846.96715316376071</v>
      </c>
      <c r="N30" s="1585">
        <f t="shared" si="9"/>
        <v>392308.20000000036</v>
      </c>
      <c r="O30" s="1585">
        <f t="shared" si="10"/>
        <v>55378.706060194396</v>
      </c>
      <c r="P30" s="1591"/>
      <c r="Q30" s="1587"/>
      <c r="R30" s="1587"/>
      <c r="S30" s="1589">
        <f t="shared" si="11"/>
        <v>55378.706060194396</v>
      </c>
      <c r="T30" s="1478"/>
      <c r="U30" s="1478"/>
      <c r="V30" s="1478"/>
      <c r="W30" s="1478"/>
      <c r="X30" s="1478"/>
      <c r="Y30" s="1478"/>
      <c r="Z30" s="1478"/>
      <c r="AA30" s="1478"/>
      <c r="AB30" s="1478"/>
      <c r="AC30" s="1478"/>
    </row>
    <row r="31" spans="1:29" s="1479" customFormat="1" ht="11.25" customHeight="1">
      <c r="A31" s="1480"/>
      <c r="B31" s="1576">
        <v>45985</v>
      </c>
      <c r="C31" s="1593" t="s">
        <v>1108</v>
      </c>
      <c r="D31" s="1578"/>
      <c r="E31" s="1579">
        <v>8</v>
      </c>
      <c r="F31" s="1580" t="s">
        <v>107</v>
      </c>
      <c r="G31" s="1581"/>
      <c r="H31" s="1582"/>
      <c r="I31" s="1590"/>
      <c r="J31" s="1582"/>
      <c r="K31" s="1583">
        <v>80</v>
      </c>
      <c r="L31" s="1324">
        <f>'통장내역(환율표)'!$D$35</f>
        <v>7.0840999885150238</v>
      </c>
      <c r="M31" s="1096">
        <f t="shared" si="6"/>
        <v>11.29289537551681</v>
      </c>
      <c r="N31" s="1585">
        <f t="shared" si="9"/>
        <v>392228.20000000036</v>
      </c>
      <c r="O31" s="1585">
        <f t="shared" si="10"/>
        <v>55367.413164818878</v>
      </c>
      <c r="P31" s="1591"/>
      <c r="Q31" s="1587"/>
      <c r="R31" s="1587"/>
      <c r="S31" s="1589">
        <f t="shared" si="11"/>
        <v>55367.413164818878</v>
      </c>
      <c r="T31" s="1478"/>
      <c r="U31" s="1478"/>
      <c r="V31" s="1478"/>
      <c r="W31" s="1478"/>
      <c r="X31" s="1478"/>
      <c r="Y31" s="1478"/>
      <c r="Z31" s="1478"/>
      <c r="AA31" s="1478"/>
      <c r="AB31" s="1478"/>
      <c r="AC31" s="1478"/>
    </row>
    <row r="32" spans="1:29" s="1479" customFormat="1" ht="11.25" customHeight="1">
      <c r="A32" s="1480"/>
      <c r="B32" s="1576">
        <v>45985</v>
      </c>
      <c r="C32" s="1593" t="s">
        <v>305</v>
      </c>
      <c r="D32" s="1578"/>
      <c r="E32" s="1579">
        <v>8</v>
      </c>
      <c r="F32" s="1580" t="s">
        <v>105</v>
      </c>
      <c r="G32" s="1581" t="s">
        <v>227</v>
      </c>
      <c r="H32" s="1582"/>
      <c r="I32" s="1590"/>
      <c r="J32" s="1582"/>
      <c r="K32" s="1583">
        <v>7000</v>
      </c>
      <c r="L32" s="1324">
        <f>'통장내역(환율표)'!$D$35</f>
        <v>7.0840999885150238</v>
      </c>
      <c r="M32" s="1096">
        <f t="shared" si="6"/>
        <v>988.12834535772095</v>
      </c>
      <c r="N32" s="1585">
        <f t="shared" si="9"/>
        <v>385228.20000000036</v>
      </c>
      <c r="O32" s="1585">
        <f t="shared" si="10"/>
        <v>54379.284819461158</v>
      </c>
      <c r="P32" s="1591"/>
      <c r="Q32" s="1587"/>
      <c r="R32" s="1587"/>
      <c r="S32" s="1589">
        <f t="shared" si="11"/>
        <v>54379.284819461158</v>
      </c>
      <c r="T32" s="1478"/>
      <c r="U32" s="1478"/>
      <c r="V32" s="1478"/>
      <c r="W32" s="1478"/>
      <c r="X32" s="1478"/>
      <c r="Y32" s="1478"/>
      <c r="Z32" s="1478"/>
      <c r="AA32" s="1478"/>
      <c r="AB32" s="1478"/>
      <c r="AC32" s="1478"/>
    </row>
    <row r="33" spans="1:29" s="1479" customFormat="1" ht="12" customHeight="1">
      <c r="A33" s="1480"/>
      <c r="B33" s="1576">
        <v>45985</v>
      </c>
      <c r="C33" s="1593" t="s">
        <v>347</v>
      </c>
      <c r="D33" s="1578"/>
      <c r="E33" s="1579">
        <v>8</v>
      </c>
      <c r="F33" s="1580" t="s">
        <v>107</v>
      </c>
      <c r="G33" s="1581"/>
      <c r="H33" s="1582"/>
      <c r="I33" s="1590"/>
      <c r="J33" s="1582"/>
      <c r="K33" s="1583">
        <v>6000</v>
      </c>
      <c r="L33" s="1324">
        <f>'통장내역(환율표)'!$D$35</f>
        <v>7.0840999885150238</v>
      </c>
      <c r="M33" s="1096">
        <f t="shared" si="6"/>
        <v>846.96715316376071</v>
      </c>
      <c r="N33" s="1585">
        <f t="shared" si="9"/>
        <v>379228.20000000036</v>
      </c>
      <c r="O33" s="1585">
        <f t="shared" si="10"/>
        <v>53532.3176662974</v>
      </c>
      <c r="P33" s="1591"/>
      <c r="Q33" s="1587"/>
      <c r="R33" s="1587"/>
      <c r="S33" s="1589">
        <f t="shared" si="11"/>
        <v>53532.3176662974</v>
      </c>
      <c r="T33" s="1478"/>
      <c r="U33" s="1478"/>
      <c r="V33" s="1478"/>
      <c r="W33" s="1478"/>
      <c r="X33" s="1478"/>
      <c r="Y33" s="1478"/>
      <c r="Z33" s="1478"/>
      <c r="AA33" s="1478"/>
      <c r="AB33" s="1478"/>
      <c r="AC33" s="1478"/>
    </row>
    <row r="34" spans="1:29" s="1479" customFormat="1" ht="12" customHeight="1">
      <c r="A34" s="1480"/>
      <c r="B34" s="1576">
        <v>45985</v>
      </c>
      <c r="C34" s="1593" t="s">
        <v>1108</v>
      </c>
      <c r="D34" s="1578"/>
      <c r="E34" s="1579">
        <v>8</v>
      </c>
      <c r="F34" s="1580" t="s">
        <v>107</v>
      </c>
      <c r="G34" s="1581"/>
      <c r="H34" s="1582"/>
      <c r="I34" s="1590"/>
      <c r="J34" s="1582"/>
      <c r="K34" s="1583">
        <v>240</v>
      </c>
      <c r="L34" s="1324">
        <f>'통장내역(환율표)'!$D$35</f>
        <v>7.0840999885150238</v>
      </c>
      <c r="M34" s="1096">
        <f t="shared" si="6"/>
        <v>33.878686126550427</v>
      </c>
      <c r="N34" s="1585">
        <f t="shared" si="9"/>
        <v>378988.20000000036</v>
      </c>
      <c r="O34" s="1585">
        <f t="shared" si="10"/>
        <v>53498.438980170853</v>
      </c>
      <c r="P34" s="1591"/>
      <c r="Q34" s="1587"/>
      <c r="R34" s="1587"/>
      <c r="S34" s="1589">
        <f t="shared" si="11"/>
        <v>53498.438980170853</v>
      </c>
      <c r="T34" s="1478"/>
      <c r="U34" s="1478"/>
      <c r="V34" s="1478"/>
      <c r="W34" s="1478"/>
      <c r="X34" s="1478"/>
      <c r="Y34" s="1478"/>
      <c r="Z34" s="1478"/>
      <c r="AA34" s="1478"/>
      <c r="AB34" s="1478"/>
      <c r="AC34" s="1478"/>
    </row>
    <row r="35" spans="1:29" s="1479" customFormat="1" ht="12" customHeight="1">
      <c r="A35" s="1480"/>
      <c r="B35" s="1576">
        <v>45985</v>
      </c>
      <c r="C35" s="1593" t="s">
        <v>305</v>
      </c>
      <c r="D35" s="1578"/>
      <c r="E35" s="1579">
        <v>8</v>
      </c>
      <c r="F35" s="1580" t="s">
        <v>105</v>
      </c>
      <c r="G35" s="1581" t="s">
        <v>227</v>
      </c>
      <c r="H35" s="1582"/>
      <c r="I35" s="1590"/>
      <c r="J35" s="1582"/>
      <c r="K35" s="1583">
        <v>6000</v>
      </c>
      <c r="L35" s="1324">
        <f>'통장내역(환율표)'!$D$35</f>
        <v>7.0840999885150238</v>
      </c>
      <c r="M35" s="1096">
        <f t="shared" si="6"/>
        <v>846.96715316376071</v>
      </c>
      <c r="N35" s="1585">
        <f t="shared" si="9"/>
        <v>372988.20000000036</v>
      </c>
      <c r="O35" s="1585">
        <f t="shared" si="10"/>
        <v>52651.471827007095</v>
      </c>
      <c r="P35" s="1591"/>
      <c r="Q35" s="1587"/>
      <c r="R35" s="1587"/>
      <c r="S35" s="1589">
        <f t="shared" si="11"/>
        <v>52651.471827007095</v>
      </c>
      <c r="T35" s="1478"/>
      <c r="U35" s="1478"/>
      <c r="V35" s="1478"/>
      <c r="W35" s="1478"/>
      <c r="X35" s="1478"/>
      <c r="Y35" s="1478"/>
      <c r="Z35" s="1478"/>
      <c r="AA35" s="1478"/>
      <c r="AB35" s="1478"/>
      <c r="AC35" s="1478"/>
    </row>
    <row r="36" spans="1:29" s="1479" customFormat="1" ht="12" customHeight="1">
      <c r="A36" s="1480"/>
      <c r="B36" s="1576">
        <v>45985</v>
      </c>
      <c r="C36" s="1593" t="s">
        <v>1107</v>
      </c>
      <c r="D36" s="1578"/>
      <c r="E36" s="1579">
        <v>8</v>
      </c>
      <c r="F36" s="1580" t="s">
        <v>107</v>
      </c>
      <c r="G36" s="1581"/>
      <c r="H36" s="1582"/>
      <c r="I36" s="1590"/>
      <c r="J36" s="1582"/>
      <c r="K36" s="1583">
        <v>6000</v>
      </c>
      <c r="L36" s="1324">
        <f>'통장내역(환율표)'!$D$35</f>
        <v>7.0840999885150238</v>
      </c>
      <c r="M36" s="1096">
        <f t="shared" si="6"/>
        <v>846.96715316376071</v>
      </c>
      <c r="N36" s="1585">
        <f t="shared" si="9"/>
        <v>366988.20000000036</v>
      </c>
      <c r="O36" s="1585">
        <f t="shared" si="10"/>
        <v>51804.504673843338</v>
      </c>
      <c r="P36" s="1591"/>
      <c r="Q36" s="1587"/>
      <c r="R36" s="1587"/>
      <c r="S36" s="1589">
        <f t="shared" si="11"/>
        <v>51804.504673843338</v>
      </c>
      <c r="T36" s="1478"/>
      <c r="U36" s="1478"/>
      <c r="V36" s="1478"/>
      <c r="W36" s="1478"/>
      <c r="X36" s="1478"/>
      <c r="Y36" s="1478"/>
      <c r="Z36" s="1478"/>
      <c r="AA36" s="1478"/>
      <c r="AB36" s="1478"/>
      <c r="AC36" s="1478"/>
    </row>
    <row r="37" spans="1:29" s="1479" customFormat="1" ht="12" customHeight="1">
      <c r="A37" s="1480"/>
      <c r="B37" s="1576">
        <v>45985</v>
      </c>
      <c r="C37" s="1593" t="s">
        <v>1108</v>
      </c>
      <c r="D37" s="1578"/>
      <c r="E37" s="1579">
        <v>8</v>
      </c>
      <c r="F37" s="1580" t="s">
        <v>107</v>
      </c>
      <c r="G37" s="1581"/>
      <c r="H37" s="1582"/>
      <c r="I37" s="1590"/>
      <c r="J37" s="1582"/>
      <c r="K37" s="1583">
        <v>520</v>
      </c>
      <c r="L37" s="1324">
        <f>'통장내역(환율표)'!$D$35</f>
        <v>7.0840999885150238</v>
      </c>
      <c r="M37" s="1096">
        <f t="shared" si="6"/>
        <v>73.403819940859265</v>
      </c>
      <c r="N37" s="1585">
        <f t="shared" si="9"/>
        <v>366468.20000000036</v>
      </c>
      <c r="O37" s="1585">
        <f t="shared" si="10"/>
        <v>51731.100853902477</v>
      </c>
      <c r="P37" s="1591"/>
      <c r="Q37" s="1587"/>
      <c r="R37" s="1587"/>
      <c r="S37" s="1589">
        <f t="shared" si="11"/>
        <v>51731.100853902477</v>
      </c>
      <c r="T37" s="1478"/>
      <c r="U37" s="1478"/>
      <c r="V37" s="1478"/>
      <c r="W37" s="1478"/>
      <c r="X37" s="1478"/>
      <c r="Y37" s="1478"/>
      <c r="Z37" s="1478"/>
      <c r="AA37" s="1478"/>
      <c r="AB37" s="1478"/>
      <c r="AC37" s="1478"/>
    </row>
    <row r="38" spans="1:29" s="1479" customFormat="1" ht="12" customHeight="1">
      <c r="A38" s="1480"/>
      <c r="B38" s="1576">
        <v>45985</v>
      </c>
      <c r="C38" s="1593" t="s">
        <v>250</v>
      </c>
      <c r="D38" s="1578"/>
      <c r="E38" s="1579">
        <v>9</v>
      </c>
      <c r="F38" s="1580" t="s">
        <v>107</v>
      </c>
      <c r="G38" s="1581"/>
      <c r="H38" s="1582"/>
      <c r="I38" s="1590"/>
      <c r="J38" s="1582"/>
      <c r="K38" s="1583">
        <v>7.2</v>
      </c>
      <c r="L38" s="1324">
        <f>'통장내역(환율표)'!$D$35</f>
        <v>7.0840999885150238</v>
      </c>
      <c r="M38" s="1096">
        <f t="shared" si="6"/>
        <v>1.0163605837965128</v>
      </c>
      <c r="N38" s="1585">
        <f t="shared" si="9"/>
        <v>366461.00000000035</v>
      </c>
      <c r="O38" s="1585">
        <f t="shared" si="10"/>
        <v>51730.084493318682</v>
      </c>
      <c r="P38" s="1591"/>
      <c r="Q38" s="1587"/>
      <c r="R38" s="1587"/>
      <c r="S38" s="1589">
        <f t="shared" si="11"/>
        <v>51730.084493318682</v>
      </c>
      <c r="T38" s="1478"/>
      <c r="U38" s="1478"/>
      <c r="V38" s="1478"/>
      <c r="W38" s="1478"/>
      <c r="X38" s="1478"/>
      <c r="Y38" s="1478"/>
      <c r="Z38" s="1478"/>
      <c r="AA38" s="1478"/>
      <c r="AB38" s="1478"/>
      <c r="AC38" s="1478"/>
    </row>
    <row r="39" spans="1:29" s="1479" customFormat="1" ht="12" customHeight="1">
      <c r="A39" s="1480"/>
      <c r="B39" s="1576">
        <v>45985</v>
      </c>
      <c r="C39" s="1577" t="s">
        <v>1461</v>
      </c>
      <c r="D39" s="1578" t="s">
        <v>188</v>
      </c>
      <c r="E39" s="1579">
        <v>10</v>
      </c>
      <c r="F39" s="1580" t="s">
        <v>116</v>
      </c>
      <c r="G39" s="1581" t="s">
        <v>140</v>
      </c>
      <c r="H39" s="1582"/>
      <c r="I39" s="1590"/>
      <c r="J39" s="1582"/>
      <c r="K39" s="1583">
        <v>617.6</v>
      </c>
      <c r="L39" s="1324">
        <f>'통장내역(환율표)'!$D$35</f>
        <v>7.0840999885150238</v>
      </c>
      <c r="M39" s="1096">
        <f t="shared" si="6"/>
        <v>87.181152298989772</v>
      </c>
      <c r="N39" s="1585">
        <f t="shared" si="9"/>
        <v>365843.40000000037</v>
      </c>
      <c r="O39" s="1585">
        <f t="shared" si="10"/>
        <v>51642.903341019693</v>
      </c>
      <c r="P39" s="1591"/>
      <c r="Q39" s="1587"/>
      <c r="R39" s="1587"/>
      <c r="S39" s="1589">
        <f t="shared" si="11"/>
        <v>51642.903341019693</v>
      </c>
      <c r="T39" s="1478"/>
      <c r="U39" s="1478"/>
      <c r="V39" s="1478"/>
      <c r="W39" s="1478"/>
      <c r="X39" s="1478"/>
      <c r="Y39" s="1478"/>
      <c r="Z39" s="1478"/>
      <c r="AA39" s="1478"/>
      <c r="AB39" s="1478"/>
      <c r="AC39" s="1478"/>
    </row>
    <row r="40" spans="1:29" s="1479" customFormat="1" ht="12" customHeight="1">
      <c r="A40" s="1480"/>
      <c r="B40" s="1576">
        <v>45985</v>
      </c>
      <c r="C40" s="1577" t="s">
        <v>125</v>
      </c>
      <c r="D40" s="1578" t="s">
        <v>188</v>
      </c>
      <c r="E40" s="1579">
        <v>11</v>
      </c>
      <c r="F40" s="1580" t="s">
        <v>125</v>
      </c>
      <c r="G40" s="1581" t="s">
        <v>145</v>
      </c>
      <c r="H40" s="1582"/>
      <c r="I40" s="1582"/>
      <c r="J40" s="1582"/>
      <c r="K40" s="1583">
        <v>5582.6</v>
      </c>
      <c r="L40" s="1324">
        <f>'통장내역(환율표)'!$D$35</f>
        <v>7.0840999885150238</v>
      </c>
      <c r="M40" s="1096">
        <f t="shared" si="6"/>
        <v>788.04647154200188</v>
      </c>
      <c r="N40" s="1585">
        <f t="shared" si="9"/>
        <v>360260.8000000004</v>
      </c>
      <c r="O40" s="1585">
        <f t="shared" si="10"/>
        <v>50854.856869477691</v>
      </c>
      <c r="P40" s="1591"/>
      <c r="Q40" s="1587"/>
      <c r="R40" s="1587"/>
      <c r="S40" s="1589">
        <f t="shared" si="11"/>
        <v>50854.856869477691</v>
      </c>
      <c r="T40" s="1478"/>
      <c r="U40" s="1478"/>
      <c r="V40" s="1478"/>
      <c r="W40" s="1478"/>
      <c r="X40" s="1478"/>
      <c r="Y40" s="1478"/>
      <c r="Z40" s="1478"/>
      <c r="AA40" s="1478"/>
      <c r="AB40" s="1478"/>
      <c r="AC40" s="1478"/>
    </row>
    <row r="41" spans="1:29" s="1479" customFormat="1" ht="12" customHeight="1">
      <c r="A41" s="1480"/>
      <c r="B41" s="1576">
        <v>45985</v>
      </c>
      <c r="C41" s="1577" t="s">
        <v>1403</v>
      </c>
      <c r="D41" s="1578" t="s">
        <v>188</v>
      </c>
      <c r="E41" s="1579">
        <v>12</v>
      </c>
      <c r="F41" s="1580" t="s">
        <v>146</v>
      </c>
      <c r="G41" s="1581" t="s">
        <v>147</v>
      </c>
      <c r="H41" s="1582"/>
      <c r="I41" s="1582"/>
      <c r="J41" s="1582"/>
      <c r="K41" s="1583">
        <v>14570.52</v>
      </c>
      <c r="L41" s="1324">
        <f>'통장내역(환율표)'!$D$35</f>
        <v>7.0840999885150238</v>
      </c>
      <c r="M41" s="1096">
        <f t="shared" si="6"/>
        <v>2056.7919740859402</v>
      </c>
      <c r="N41" s="1585">
        <f t="shared" si="9"/>
        <v>345690.28000000038</v>
      </c>
      <c r="O41" s="1585">
        <f t="shared" si="10"/>
        <v>48798.064895391748</v>
      </c>
      <c r="P41" s="1591"/>
      <c r="Q41" s="1587"/>
      <c r="R41" s="1587"/>
      <c r="S41" s="1589">
        <f t="shared" si="11"/>
        <v>48798.064895391748</v>
      </c>
      <c r="T41" s="1478"/>
      <c r="U41" s="1478"/>
      <c r="V41" s="1478"/>
      <c r="W41" s="1478"/>
      <c r="X41" s="1478"/>
      <c r="Y41" s="1478"/>
      <c r="Z41" s="1478"/>
      <c r="AA41" s="1478"/>
      <c r="AB41" s="1478"/>
      <c r="AC41" s="1478"/>
    </row>
    <row r="42" spans="1:29" s="1479" customFormat="1" ht="12" customHeight="1">
      <c r="A42" s="1480"/>
      <c r="B42" s="1576">
        <v>45985</v>
      </c>
      <c r="C42" s="1577" t="s">
        <v>1451</v>
      </c>
      <c r="D42" s="1578" t="s">
        <v>188</v>
      </c>
      <c r="E42" s="1579">
        <v>13</v>
      </c>
      <c r="F42" s="1580" t="s">
        <v>146</v>
      </c>
      <c r="G42" s="1581" t="s">
        <v>147</v>
      </c>
      <c r="H42" s="1582"/>
      <c r="I42" s="1582"/>
      <c r="J42" s="1582"/>
      <c r="K42" s="1583">
        <v>86.2</v>
      </c>
      <c r="L42" s="1324">
        <f>'통장내역(환율표)'!$D$35</f>
        <v>7.0840999885150238</v>
      </c>
      <c r="M42" s="1096">
        <f t="shared" si="6"/>
        <v>12.168094767119364</v>
      </c>
      <c r="N42" s="1585">
        <f t="shared" si="9"/>
        <v>345604.08000000037</v>
      </c>
      <c r="O42" s="1585">
        <f t="shared" si="10"/>
        <v>48785.896800624629</v>
      </c>
      <c r="P42" s="1591"/>
      <c r="Q42" s="1587"/>
      <c r="R42" s="1587"/>
      <c r="S42" s="1589">
        <f t="shared" si="11"/>
        <v>48785.896800624629</v>
      </c>
      <c r="T42" s="1478"/>
      <c r="U42" s="1478"/>
      <c r="V42" s="1478"/>
      <c r="W42" s="1478"/>
      <c r="X42" s="1478"/>
      <c r="Y42" s="1478"/>
      <c r="Z42" s="1478"/>
      <c r="AA42" s="1478"/>
      <c r="AB42" s="1478"/>
      <c r="AC42" s="1478"/>
    </row>
    <row r="43" spans="1:29" s="1479" customFormat="1" ht="12" customHeight="1">
      <c r="A43" s="1480"/>
      <c r="B43" s="1576">
        <v>45985</v>
      </c>
      <c r="C43" s="1577" t="s">
        <v>1623</v>
      </c>
      <c r="D43" s="1578" t="s">
        <v>188</v>
      </c>
      <c r="E43" s="1579">
        <v>14</v>
      </c>
      <c r="F43" s="1580" t="s">
        <v>107</v>
      </c>
      <c r="G43" s="1581" t="s">
        <v>12</v>
      </c>
      <c r="H43" s="1582"/>
      <c r="I43" s="1582"/>
      <c r="J43" s="1582"/>
      <c r="K43" s="1583">
        <v>197.9</v>
      </c>
      <c r="L43" s="1324">
        <f>'통장내역(환율표)'!$D$35</f>
        <v>7.0840999885150238</v>
      </c>
      <c r="M43" s="1096">
        <f t="shared" si="6"/>
        <v>27.935799935184711</v>
      </c>
      <c r="N43" s="1585">
        <f t="shared" si="9"/>
        <v>345406.18000000034</v>
      </c>
      <c r="O43" s="1585">
        <f t="shared" si="10"/>
        <v>48757.961000689444</v>
      </c>
      <c r="P43" s="1591"/>
      <c r="Q43" s="1587"/>
      <c r="R43" s="1587"/>
      <c r="S43" s="1589">
        <f t="shared" si="11"/>
        <v>48757.961000689444</v>
      </c>
      <c r="T43" s="1478"/>
      <c r="U43" s="1478"/>
      <c r="V43" s="1478"/>
      <c r="W43" s="1478"/>
      <c r="X43" s="1478"/>
      <c r="Y43" s="1478"/>
      <c r="Z43" s="1478"/>
      <c r="AA43" s="1478"/>
      <c r="AB43" s="1478"/>
      <c r="AC43" s="1478"/>
    </row>
    <row r="44" spans="1:29" s="1479" customFormat="1" ht="12" customHeight="1">
      <c r="A44" s="1480"/>
      <c r="B44" s="1576">
        <v>45985</v>
      </c>
      <c r="C44" s="1577" t="s">
        <v>1405</v>
      </c>
      <c r="D44" s="1578" t="s">
        <v>188</v>
      </c>
      <c r="E44" s="1579">
        <v>15</v>
      </c>
      <c r="F44" s="1580" t="s">
        <v>21</v>
      </c>
      <c r="G44" s="1581"/>
      <c r="H44" s="1582"/>
      <c r="I44" s="1582"/>
      <c r="J44" s="1582"/>
      <c r="K44" s="1583">
        <v>68.150000000000006</v>
      </c>
      <c r="L44" s="1324">
        <f>'통장내역(환율표)'!$D$35</f>
        <v>7.0840999885150238</v>
      </c>
      <c r="M44" s="1096">
        <f t="shared" si="6"/>
        <v>9.6201352480183839</v>
      </c>
      <c r="N44" s="1585">
        <f t="shared" si="9"/>
        <v>345338.03000000032</v>
      </c>
      <c r="O44" s="1585">
        <f t="shared" si="10"/>
        <v>48748.340865441423</v>
      </c>
      <c r="P44" s="1591"/>
      <c r="Q44" s="1587"/>
      <c r="R44" s="1587"/>
      <c r="S44" s="1589">
        <f t="shared" si="11"/>
        <v>48748.340865441423</v>
      </c>
      <c r="T44" s="1478"/>
      <c r="U44" s="1478"/>
      <c r="V44" s="1478"/>
      <c r="W44" s="1478"/>
      <c r="X44" s="1478"/>
      <c r="Y44" s="1478"/>
      <c r="Z44" s="1478"/>
      <c r="AA44" s="1478"/>
      <c r="AB44" s="1478"/>
      <c r="AC44" s="1478"/>
    </row>
    <row r="45" spans="1:29" s="1479" customFormat="1" ht="12" customHeight="1">
      <c r="A45" s="1480"/>
      <c r="B45" s="1576">
        <v>45985</v>
      </c>
      <c r="C45" s="1577" t="s">
        <v>250</v>
      </c>
      <c r="D45" s="1578" t="s">
        <v>188</v>
      </c>
      <c r="E45" s="1579">
        <v>16</v>
      </c>
      <c r="F45" s="1580" t="s">
        <v>107</v>
      </c>
      <c r="G45" s="1581"/>
      <c r="H45" s="1582"/>
      <c r="I45" s="1582"/>
      <c r="J45" s="1582"/>
      <c r="K45" s="1583">
        <v>7.2</v>
      </c>
      <c r="L45" s="1324">
        <f>'통장내역(환율표)'!$D$35</f>
        <v>7.0840999885150238</v>
      </c>
      <c r="M45" s="1096">
        <f t="shared" si="6"/>
        <v>1.0163605837965128</v>
      </c>
      <c r="N45" s="1585">
        <f t="shared" si="9"/>
        <v>345330.83000000031</v>
      </c>
      <c r="O45" s="1585">
        <f t="shared" si="10"/>
        <v>48747.324504857628</v>
      </c>
      <c r="P45" s="1591"/>
      <c r="Q45" s="1587"/>
      <c r="R45" s="1587"/>
      <c r="S45" s="1589">
        <f t="shared" si="11"/>
        <v>48747.324504857628</v>
      </c>
      <c r="T45" s="1478"/>
      <c r="U45" s="1478"/>
      <c r="V45" s="1478"/>
      <c r="W45" s="1478"/>
      <c r="X45" s="1478"/>
      <c r="Y45" s="1478"/>
      <c r="Z45" s="1478"/>
      <c r="AA45" s="1478"/>
      <c r="AB45" s="1478"/>
      <c r="AC45" s="1478"/>
    </row>
    <row r="46" spans="1:29" s="1479" customFormat="1" ht="12" customHeight="1">
      <c r="A46" s="1480"/>
      <c r="B46" s="1576">
        <v>45985</v>
      </c>
      <c r="C46" s="1577" t="s">
        <v>1451</v>
      </c>
      <c r="D46" s="1578" t="s">
        <v>1390</v>
      </c>
      <c r="E46" s="1579">
        <v>17</v>
      </c>
      <c r="F46" s="1580" t="s">
        <v>146</v>
      </c>
      <c r="G46" s="1581" t="s">
        <v>147</v>
      </c>
      <c r="H46" s="1594"/>
      <c r="I46" s="1595"/>
      <c r="J46" s="1595"/>
      <c r="K46" s="1583">
        <v>810.81</v>
      </c>
      <c r="L46" s="1324">
        <f>'통장내역(환율표)'!$D$35</f>
        <v>7.0840999885150238</v>
      </c>
      <c r="M46" s="1096">
        <f t="shared" si="6"/>
        <v>114.4549062427848</v>
      </c>
      <c r="N46" s="1585">
        <f t="shared" si="9"/>
        <v>344520.02000000031</v>
      </c>
      <c r="O46" s="1585">
        <f t="shared" si="10"/>
        <v>48632.869598614845</v>
      </c>
      <c r="P46" s="1591"/>
      <c r="Q46" s="1587"/>
      <c r="R46" s="1587"/>
      <c r="S46" s="1589">
        <f t="shared" si="11"/>
        <v>48632.869598614845</v>
      </c>
      <c r="T46" s="1478"/>
      <c r="U46" s="1478"/>
      <c r="V46" s="1478"/>
      <c r="W46" s="1478"/>
      <c r="X46" s="1478"/>
      <c r="Y46" s="1478"/>
      <c r="Z46" s="1478"/>
      <c r="AA46" s="1478"/>
      <c r="AB46" s="1478"/>
      <c r="AC46" s="1478"/>
    </row>
    <row r="47" spans="1:29" s="1479" customFormat="1" ht="12" customHeight="1">
      <c r="A47" s="1480"/>
      <c r="B47" s="1576">
        <v>45985</v>
      </c>
      <c r="C47" s="1577" t="s">
        <v>1403</v>
      </c>
      <c r="D47" s="1578" t="s">
        <v>1390</v>
      </c>
      <c r="E47" s="1579">
        <v>18</v>
      </c>
      <c r="F47" s="1580" t="s">
        <v>146</v>
      </c>
      <c r="G47" s="1581" t="s">
        <v>147</v>
      </c>
      <c r="H47" s="1594"/>
      <c r="I47" s="1595"/>
      <c r="J47" s="1595"/>
      <c r="K47" s="1583">
        <v>6197.12</v>
      </c>
      <c r="L47" s="1324">
        <f>'통장내역(환율표)'!$D$35</f>
        <v>7.0840999885150238</v>
      </c>
      <c r="M47" s="1096">
        <f t="shared" si="6"/>
        <v>874.79284736903412</v>
      </c>
      <c r="N47" s="1585">
        <f t="shared" si="9"/>
        <v>338322.90000000031</v>
      </c>
      <c r="O47" s="1585">
        <f t="shared" si="10"/>
        <v>47758.076751245811</v>
      </c>
      <c r="P47" s="1591"/>
      <c r="Q47" s="1587"/>
      <c r="R47" s="1587"/>
      <c r="S47" s="1589">
        <f t="shared" si="11"/>
        <v>47758.076751245811</v>
      </c>
      <c r="T47" s="1478"/>
      <c r="U47" s="1478"/>
      <c r="V47" s="1478"/>
      <c r="W47" s="1478"/>
      <c r="X47" s="1478"/>
      <c r="Y47" s="1478"/>
      <c r="Z47" s="1478"/>
      <c r="AA47" s="1478"/>
      <c r="AB47" s="1478"/>
      <c r="AC47" s="1478"/>
    </row>
    <row r="48" spans="1:29" s="1479" customFormat="1" ht="12" customHeight="1">
      <c r="A48" s="1480"/>
      <c r="B48" s="1576">
        <v>45985</v>
      </c>
      <c r="C48" s="1577" t="s">
        <v>11</v>
      </c>
      <c r="D48" s="1578" t="s">
        <v>1390</v>
      </c>
      <c r="E48" s="1579">
        <v>19</v>
      </c>
      <c r="F48" s="1580" t="s">
        <v>125</v>
      </c>
      <c r="G48" s="1581" t="s">
        <v>145</v>
      </c>
      <c r="H48" s="1594"/>
      <c r="I48" s="1595"/>
      <c r="J48" s="1595"/>
      <c r="K48" s="1583">
        <v>2110.86</v>
      </c>
      <c r="L48" s="1324">
        <f>'통장내역(환율표)'!$D$35</f>
        <v>7.0840999885150238</v>
      </c>
      <c r="M48" s="1096">
        <f t="shared" si="6"/>
        <v>297.97151415454272</v>
      </c>
      <c r="N48" s="1585">
        <f t="shared" si="9"/>
        <v>336212.04000000033</v>
      </c>
      <c r="O48" s="1585">
        <f t="shared" si="10"/>
        <v>47460.105237091266</v>
      </c>
      <c r="P48" s="1591"/>
      <c r="Q48" s="1587"/>
      <c r="R48" s="1587"/>
      <c r="S48" s="1589">
        <f t="shared" si="11"/>
        <v>47460.105237091266</v>
      </c>
      <c r="T48" s="1478"/>
      <c r="U48" s="1478"/>
      <c r="V48" s="1478"/>
      <c r="W48" s="1478"/>
      <c r="X48" s="1478"/>
      <c r="Y48" s="1478"/>
      <c r="Z48" s="1478"/>
      <c r="AA48" s="1478"/>
      <c r="AB48" s="1478"/>
      <c r="AC48" s="1478"/>
    </row>
    <row r="49" spans="1:29" s="1479" customFormat="1" ht="12" customHeight="1">
      <c r="A49" s="1480"/>
      <c r="B49" s="1576">
        <v>45985</v>
      </c>
      <c r="C49" s="1577" t="s">
        <v>1602</v>
      </c>
      <c r="D49" s="1578" t="s">
        <v>1390</v>
      </c>
      <c r="E49" s="1579">
        <v>20</v>
      </c>
      <c r="F49" s="1580" t="s">
        <v>107</v>
      </c>
      <c r="G49" s="1581" t="s">
        <v>12</v>
      </c>
      <c r="H49" s="1594"/>
      <c r="I49" s="1595"/>
      <c r="J49" s="1595"/>
      <c r="K49" s="1583">
        <v>328.5</v>
      </c>
      <c r="L49" s="1324">
        <f>'통장내역(환율표)'!$D$35</f>
        <v>7.0840999885150238</v>
      </c>
      <c r="M49" s="1096">
        <f t="shared" si="6"/>
        <v>46.3714516357159</v>
      </c>
      <c r="N49" s="1585">
        <f t="shared" si="9"/>
        <v>335883.54000000033</v>
      </c>
      <c r="O49" s="1585">
        <f t="shared" si="10"/>
        <v>47413.733785455552</v>
      </c>
      <c r="P49" s="1591"/>
      <c r="Q49" s="1587"/>
      <c r="R49" s="1587"/>
      <c r="S49" s="1589">
        <f t="shared" si="11"/>
        <v>47413.733785455552</v>
      </c>
      <c r="T49" s="1478"/>
      <c r="U49" s="1478"/>
      <c r="V49" s="1478"/>
      <c r="W49" s="1478"/>
      <c r="X49" s="1478"/>
      <c r="Y49" s="1478"/>
      <c r="Z49" s="1478"/>
      <c r="AA49" s="1478"/>
      <c r="AB49" s="1478"/>
      <c r="AC49" s="1478"/>
    </row>
    <row r="50" spans="1:29" s="1479" customFormat="1" ht="12" customHeight="1">
      <c r="A50" s="1480"/>
      <c r="B50" s="1576">
        <v>45985</v>
      </c>
      <c r="C50" s="1577" t="s">
        <v>1405</v>
      </c>
      <c r="D50" s="1578" t="s">
        <v>1390</v>
      </c>
      <c r="E50" s="1579">
        <v>21</v>
      </c>
      <c r="F50" s="1580" t="s">
        <v>107</v>
      </c>
      <c r="G50" s="1581"/>
      <c r="H50" s="1594"/>
      <c r="I50" s="1595"/>
      <c r="J50" s="1595"/>
      <c r="K50" s="1583">
        <v>1437.5</v>
      </c>
      <c r="L50" s="1324">
        <f>'통장내역(환율표)'!$D$35</f>
        <v>7.0840999885150238</v>
      </c>
      <c r="M50" s="1096">
        <f t="shared" si="6"/>
        <v>202.91921377881769</v>
      </c>
      <c r="N50" s="1585">
        <f t="shared" si="9"/>
        <v>334446.04000000033</v>
      </c>
      <c r="O50" s="1585">
        <f t="shared" si="10"/>
        <v>47210.814571676732</v>
      </c>
      <c r="Q50" s="1587"/>
      <c r="R50" s="1587"/>
      <c r="S50" s="1589">
        <f t="shared" si="11"/>
        <v>47210.814571676732</v>
      </c>
      <c r="T50" s="1478"/>
      <c r="U50" s="1478"/>
      <c r="V50" s="1478"/>
      <c r="W50" s="1478"/>
      <c r="X50" s="1478"/>
      <c r="Y50" s="1478"/>
      <c r="Z50" s="1478"/>
      <c r="AA50" s="1478"/>
      <c r="AB50" s="1478"/>
      <c r="AC50" s="1478"/>
    </row>
    <row r="51" spans="1:29" s="1479" customFormat="1" ht="12" customHeight="1">
      <c r="A51" s="1480"/>
      <c r="B51" s="1576">
        <v>45985</v>
      </c>
      <c r="C51" s="1577" t="s">
        <v>19</v>
      </c>
      <c r="D51" s="1578" t="s">
        <v>1390</v>
      </c>
      <c r="E51" s="1579">
        <v>22</v>
      </c>
      <c r="F51" s="1580" t="s">
        <v>116</v>
      </c>
      <c r="G51" s="1581" t="s">
        <v>140</v>
      </c>
      <c r="H51" s="1594"/>
      <c r="I51" s="1595"/>
      <c r="J51" s="1595"/>
      <c r="K51" s="1583">
        <v>399</v>
      </c>
      <c r="L51" s="1324">
        <f>'통장내역(환율표)'!$D$35</f>
        <v>7.0840999885150238</v>
      </c>
      <c r="M51" s="1096">
        <f t="shared" si="6"/>
        <v>56.323315685390092</v>
      </c>
      <c r="N51" s="1585">
        <f t="shared" si="9"/>
        <v>334047.04000000033</v>
      </c>
      <c r="O51" s="1585">
        <f t="shared" si="10"/>
        <v>47154.491255991343</v>
      </c>
      <c r="P51" s="1591"/>
      <c r="Q51" s="1587"/>
      <c r="R51" s="1587"/>
      <c r="S51" s="1589">
        <f t="shared" si="11"/>
        <v>47154.491255991343</v>
      </c>
      <c r="T51" s="1478"/>
      <c r="U51" s="1478"/>
      <c r="V51" s="1478"/>
      <c r="W51" s="1478"/>
      <c r="X51" s="1478"/>
      <c r="Y51" s="1478"/>
      <c r="Z51" s="1478"/>
      <c r="AA51" s="1478"/>
      <c r="AB51" s="1478"/>
      <c r="AC51" s="1478"/>
    </row>
    <row r="52" spans="1:29" s="1484" customFormat="1" ht="11.25" customHeight="1">
      <c r="A52" s="1480"/>
      <c r="B52" s="1576">
        <v>45985</v>
      </c>
      <c r="C52" s="1577" t="s">
        <v>250</v>
      </c>
      <c r="D52" s="1578" t="s">
        <v>1390</v>
      </c>
      <c r="E52" s="1579">
        <v>23</v>
      </c>
      <c r="F52" s="1580" t="s">
        <v>107</v>
      </c>
      <c r="G52" s="1581"/>
      <c r="H52" s="1582"/>
      <c r="I52" s="1582"/>
      <c r="J52" s="1582"/>
      <c r="K52" s="1583">
        <v>7.2</v>
      </c>
      <c r="L52" s="1324">
        <f>'통장내역(환율표)'!$D$35</f>
        <v>7.0840999885150238</v>
      </c>
      <c r="M52" s="1096">
        <f t="shared" si="6"/>
        <v>1.0163605837965128</v>
      </c>
      <c r="N52" s="1585">
        <f t="shared" si="9"/>
        <v>334039.84000000032</v>
      </c>
      <c r="O52" s="1585">
        <f t="shared" si="10"/>
        <v>47153.474895407548</v>
      </c>
      <c r="P52" s="1591"/>
      <c r="Q52" s="1587"/>
      <c r="R52" s="1587"/>
      <c r="S52" s="1589">
        <f t="shared" si="11"/>
        <v>47153.474895407548</v>
      </c>
      <c r="T52" s="1478"/>
      <c r="U52" s="1478"/>
      <c r="V52" s="1478"/>
      <c r="W52" s="1478"/>
      <c r="X52" s="1478"/>
      <c r="Y52" s="1478"/>
      <c r="Z52" s="1478"/>
      <c r="AA52" s="1478"/>
      <c r="AB52" s="1478"/>
      <c r="AC52" s="1478"/>
    </row>
    <row r="53" spans="1:29" s="1484" customFormat="1" ht="11.25" customHeight="1">
      <c r="A53" s="1480"/>
      <c r="B53" s="1576">
        <v>45985</v>
      </c>
      <c r="C53" s="1577" t="s">
        <v>1403</v>
      </c>
      <c r="D53" s="1578" t="s">
        <v>1591</v>
      </c>
      <c r="E53" s="1579">
        <v>24</v>
      </c>
      <c r="F53" s="1580" t="s">
        <v>146</v>
      </c>
      <c r="G53" s="1581" t="s">
        <v>147</v>
      </c>
      <c r="H53" s="1582"/>
      <c r="I53" s="1590"/>
      <c r="J53" s="1582"/>
      <c r="K53" s="1583">
        <v>7168.89</v>
      </c>
      <c r="L53" s="1324">
        <f>'통장내역(환율표)'!$D$35</f>
        <v>7.0840999885150238</v>
      </c>
      <c r="M53" s="1096">
        <f t="shared" si="6"/>
        <v>1011.9690591073588</v>
      </c>
      <c r="N53" s="1585">
        <f t="shared" si="9"/>
        <v>326870.9500000003</v>
      </c>
      <c r="O53" s="1585">
        <f t="shared" si="10"/>
        <v>46141.505836300188</v>
      </c>
      <c r="P53" s="1591"/>
      <c r="Q53" s="1587"/>
      <c r="R53" s="1587"/>
      <c r="S53" s="1589">
        <f t="shared" si="11"/>
        <v>46141.505836300188</v>
      </c>
      <c r="T53" s="1478"/>
      <c r="U53" s="1478"/>
      <c r="V53" s="1478"/>
      <c r="W53" s="1478"/>
      <c r="X53" s="1478"/>
      <c r="Y53" s="1478"/>
      <c r="Z53" s="1478"/>
      <c r="AA53" s="1478"/>
      <c r="AB53" s="1478"/>
      <c r="AC53" s="1478"/>
    </row>
    <row r="54" spans="1:29" s="1484" customFormat="1" ht="11.25" customHeight="1">
      <c r="A54" s="1480"/>
      <c r="B54" s="1576">
        <v>45985</v>
      </c>
      <c r="C54" s="1577" t="s">
        <v>1451</v>
      </c>
      <c r="D54" s="1578" t="s">
        <v>1591</v>
      </c>
      <c r="E54" s="1579">
        <v>25</v>
      </c>
      <c r="F54" s="1580" t="s">
        <v>146</v>
      </c>
      <c r="G54" s="1581" t="s">
        <v>147</v>
      </c>
      <c r="H54" s="1582"/>
      <c r="I54" s="1582"/>
      <c r="J54" s="1582"/>
      <c r="K54" s="1583">
        <v>489.59</v>
      </c>
      <c r="L54" s="1324">
        <f>'통장내역(환율표)'!$D$35</f>
        <v>7.0840999885150238</v>
      </c>
      <c r="M54" s="1096">
        <f t="shared" si="6"/>
        <v>69.111108086240932</v>
      </c>
      <c r="N54" s="1585">
        <f t="shared" si="9"/>
        <v>326381.36000000028</v>
      </c>
      <c r="O54" s="1585">
        <f t="shared" si="10"/>
        <v>46072.394728213949</v>
      </c>
      <c r="P54" s="1591"/>
      <c r="Q54" s="1587"/>
      <c r="R54" s="1587"/>
      <c r="S54" s="1589">
        <f t="shared" si="11"/>
        <v>46072.394728213949</v>
      </c>
      <c r="T54" s="1478"/>
      <c r="U54" s="1478"/>
      <c r="V54" s="1478"/>
      <c r="W54" s="1478"/>
      <c r="X54" s="1478"/>
      <c r="Y54" s="1478"/>
      <c r="Z54" s="1478"/>
      <c r="AA54" s="1478"/>
      <c r="AB54" s="1478"/>
      <c r="AC54" s="1478"/>
    </row>
    <row r="55" spans="1:29" s="1484" customFormat="1" ht="11.25" customHeight="1">
      <c r="A55" s="1480"/>
      <c r="B55" s="1576">
        <v>45985</v>
      </c>
      <c r="C55" s="1577" t="s">
        <v>11</v>
      </c>
      <c r="D55" s="1578" t="s">
        <v>1591</v>
      </c>
      <c r="E55" s="1579">
        <v>26</v>
      </c>
      <c r="F55" s="1580" t="s">
        <v>125</v>
      </c>
      <c r="G55" s="1581" t="s">
        <v>145</v>
      </c>
      <c r="H55" s="1582"/>
      <c r="I55" s="1582"/>
      <c r="J55" s="1582"/>
      <c r="K55" s="1583">
        <v>390.16</v>
      </c>
      <c r="L55" s="1324">
        <f>'통장내역(환율표)'!$D$35</f>
        <v>7.0840999885150238</v>
      </c>
      <c r="M55" s="1096">
        <f t="shared" si="6"/>
        <v>55.075450746395489</v>
      </c>
      <c r="N55" s="1585">
        <f t="shared" si="9"/>
        <v>325991.2000000003</v>
      </c>
      <c r="O55" s="1585">
        <f t="shared" si="10"/>
        <v>46017.319277467555</v>
      </c>
      <c r="P55" s="1591"/>
      <c r="Q55" s="1587"/>
      <c r="R55" s="1587"/>
      <c r="S55" s="1589">
        <f t="shared" si="11"/>
        <v>46017.319277467555</v>
      </c>
      <c r="T55" s="1478"/>
      <c r="U55" s="1478"/>
      <c r="V55" s="1478"/>
      <c r="W55" s="1478"/>
      <c r="X55" s="1478"/>
      <c r="Y55" s="1478"/>
      <c r="Z55" s="1478"/>
      <c r="AA55" s="1478"/>
      <c r="AB55" s="1478"/>
      <c r="AC55" s="1478"/>
    </row>
    <row r="56" spans="1:29" s="1484" customFormat="1" ht="11.25" customHeight="1">
      <c r="A56" s="1480"/>
      <c r="B56" s="1576">
        <v>45985</v>
      </c>
      <c r="C56" s="1577" t="s">
        <v>1602</v>
      </c>
      <c r="D56" s="1578" t="s">
        <v>1591</v>
      </c>
      <c r="E56" s="1579">
        <v>27</v>
      </c>
      <c r="F56" s="1580" t="s">
        <v>107</v>
      </c>
      <c r="G56" s="1581" t="s">
        <v>12</v>
      </c>
      <c r="H56" s="1582"/>
      <c r="I56" s="1582"/>
      <c r="J56" s="1582"/>
      <c r="K56" s="1583">
        <v>256.8</v>
      </c>
      <c r="L56" s="1324">
        <f>'통장내역(환율표)'!$D$35</f>
        <v>7.0840999885150238</v>
      </c>
      <c r="M56" s="1096">
        <f t="shared" si="6"/>
        <v>36.250194155408963</v>
      </c>
      <c r="N56" s="1585">
        <f t="shared" si="9"/>
        <v>325734.40000000031</v>
      </c>
      <c r="O56" s="1585">
        <f t="shared" si="10"/>
        <v>45981.069083312148</v>
      </c>
      <c r="P56" s="1591"/>
      <c r="Q56" s="1587"/>
      <c r="R56" s="1587"/>
      <c r="S56" s="1589">
        <f t="shared" si="11"/>
        <v>45981.069083312148</v>
      </c>
      <c r="T56" s="1478"/>
      <c r="U56" s="1478"/>
      <c r="V56" s="1478"/>
      <c r="W56" s="1478"/>
      <c r="X56" s="1478"/>
      <c r="Y56" s="1478"/>
      <c r="Z56" s="1478"/>
      <c r="AA56" s="1478"/>
      <c r="AB56" s="1478"/>
      <c r="AC56" s="1478"/>
    </row>
    <row r="57" spans="1:29" s="1484" customFormat="1" ht="11.25" customHeight="1">
      <c r="A57" s="1480"/>
      <c r="B57" s="1576">
        <v>45985</v>
      </c>
      <c r="C57" s="1577" t="s">
        <v>1405</v>
      </c>
      <c r="D57" s="1578" t="s">
        <v>1591</v>
      </c>
      <c r="E57" s="1579">
        <v>28</v>
      </c>
      <c r="F57" s="1580" t="s">
        <v>107</v>
      </c>
      <c r="G57" s="1581"/>
      <c r="H57" s="1582"/>
      <c r="I57" s="1582"/>
      <c r="J57" s="1582"/>
      <c r="K57" s="1583">
        <v>172.8</v>
      </c>
      <c r="L57" s="1324">
        <f>'통장내역(환율표)'!$D$35</f>
        <v>7.0840999885150238</v>
      </c>
      <c r="M57" s="1096">
        <f t="shared" si="6"/>
        <v>24.39265401111631</v>
      </c>
      <c r="N57" s="1585">
        <f t="shared" si="9"/>
        <v>325561.60000000033</v>
      </c>
      <c r="O57" s="1585">
        <f t="shared" si="10"/>
        <v>45956.676429301035</v>
      </c>
      <c r="P57" s="1591"/>
      <c r="Q57" s="1587"/>
      <c r="R57" s="1634"/>
      <c r="S57" s="1589">
        <f t="shared" si="11"/>
        <v>45956.676429301035</v>
      </c>
      <c r="T57" s="1478"/>
      <c r="U57" s="1478"/>
      <c r="V57" s="1478"/>
      <c r="W57" s="1478"/>
      <c r="X57" s="1478"/>
      <c r="Y57" s="1478"/>
      <c r="Z57" s="1478"/>
      <c r="AA57" s="1478"/>
      <c r="AB57" s="1478"/>
      <c r="AC57" s="1478"/>
    </row>
    <row r="58" spans="1:29" s="1484" customFormat="1" ht="11.25" customHeight="1">
      <c r="A58" s="1480"/>
      <c r="B58" s="1576">
        <v>45985</v>
      </c>
      <c r="C58" s="1577" t="s">
        <v>19</v>
      </c>
      <c r="D58" s="1578" t="s">
        <v>1591</v>
      </c>
      <c r="E58" s="1579">
        <v>29</v>
      </c>
      <c r="F58" s="1580" t="s">
        <v>116</v>
      </c>
      <c r="G58" s="1581" t="s">
        <v>140</v>
      </c>
      <c r="H58" s="1582"/>
      <c r="I58" s="1582"/>
      <c r="J58" s="1582"/>
      <c r="K58" s="1583">
        <v>200</v>
      </c>
      <c r="L58" s="1324">
        <f>'통장내역(환율표)'!$D$35</f>
        <v>7.0840999885150238</v>
      </c>
      <c r="M58" s="1096">
        <f t="shared" si="6"/>
        <v>28.232238438792024</v>
      </c>
      <c r="N58" s="1585">
        <f t="shared" si="9"/>
        <v>325361.60000000033</v>
      </c>
      <c r="O58" s="1585">
        <f t="shared" si="10"/>
        <v>45928.444190862239</v>
      </c>
      <c r="P58" s="1591"/>
      <c r="Q58" s="1587"/>
      <c r="R58" s="1587"/>
      <c r="S58" s="1589">
        <f t="shared" si="11"/>
        <v>45928.444190862239</v>
      </c>
      <c r="T58" s="1478"/>
      <c r="U58" s="1478"/>
      <c r="V58" s="1478"/>
      <c r="W58" s="1478"/>
      <c r="X58" s="1478"/>
      <c r="Y58" s="1478"/>
      <c r="Z58" s="1478"/>
      <c r="AA58" s="1478"/>
      <c r="AB58" s="1478"/>
      <c r="AC58" s="1478"/>
    </row>
    <row r="59" spans="1:29" s="1484" customFormat="1" ht="11.25" customHeight="1">
      <c r="A59" s="1480"/>
      <c r="B59" s="1576">
        <v>45985</v>
      </c>
      <c r="C59" s="1577" t="s">
        <v>250</v>
      </c>
      <c r="D59" s="1578" t="s">
        <v>1591</v>
      </c>
      <c r="E59" s="1579">
        <v>30</v>
      </c>
      <c r="F59" s="1580" t="s">
        <v>107</v>
      </c>
      <c r="G59" s="1581"/>
      <c r="H59" s="1582"/>
      <c r="I59" s="1582"/>
      <c r="J59" s="1582"/>
      <c r="K59" s="1583">
        <v>3.6</v>
      </c>
      <c r="L59" s="1324">
        <f>'통장내역(환율표)'!$D$35</f>
        <v>7.0840999885150238</v>
      </c>
      <c r="M59" s="1096">
        <f t="shared" si="6"/>
        <v>0.50818029189825642</v>
      </c>
      <c r="N59" s="1585">
        <f t="shared" si="9"/>
        <v>325358.00000000035</v>
      </c>
      <c r="O59" s="1585">
        <f t="shared" si="10"/>
        <v>45927.936010570338</v>
      </c>
      <c r="P59" s="1591"/>
      <c r="Q59" s="1587"/>
      <c r="R59" s="1587"/>
      <c r="S59" s="1589">
        <f t="shared" si="11"/>
        <v>45927.936010570338</v>
      </c>
      <c r="T59" s="1478"/>
      <c r="U59" s="1478"/>
      <c r="V59" s="1478"/>
      <c r="W59" s="1478"/>
      <c r="X59" s="1478"/>
      <c r="Y59" s="1478"/>
      <c r="Z59" s="1478"/>
      <c r="AA59" s="1478"/>
      <c r="AB59" s="1478"/>
      <c r="AC59" s="1478"/>
    </row>
    <row r="60" spans="1:29" s="1484" customFormat="1" ht="11.25" customHeight="1">
      <c r="A60" s="1480"/>
      <c r="B60" s="1576">
        <v>45985</v>
      </c>
      <c r="C60" s="1577" t="s">
        <v>1403</v>
      </c>
      <c r="D60" s="1578" t="s">
        <v>1394</v>
      </c>
      <c r="E60" s="1579">
        <v>31</v>
      </c>
      <c r="F60" s="1580" t="s">
        <v>146</v>
      </c>
      <c r="G60" s="1581" t="s">
        <v>147</v>
      </c>
      <c r="H60" s="1582"/>
      <c r="I60" s="1582"/>
      <c r="J60" s="1582"/>
      <c r="K60" s="1583">
        <v>4107.92</v>
      </c>
      <c r="L60" s="1324">
        <f>'통장내역(환율표)'!$D$35</f>
        <v>7.0840999885150238</v>
      </c>
      <c r="M60" s="1096">
        <f t="shared" si="6"/>
        <v>579.87888463741274</v>
      </c>
      <c r="N60" s="1585">
        <f t="shared" si="9"/>
        <v>321250.08000000037</v>
      </c>
      <c r="O60" s="1585">
        <f t="shared" si="10"/>
        <v>45348.057125932923</v>
      </c>
      <c r="P60" s="1591"/>
      <c r="Q60" s="1587"/>
      <c r="R60" s="1587"/>
      <c r="S60" s="1589">
        <f t="shared" si="11"/>
        <v>45348.057125932923</v>
      </c>
      <c r="T60" s="1478"/>
      <c r="U60" s="1478"/>
      <c r="V60" s="1478"/>
      <c r="W60" s="1478"/>
      <c r="X60" s="1478"/>
      <c r="Y60" s="1478"/>
      <c r="Z60" s="1478"/>
      <c r="AA60" s="1478"/>
      <c r="AB60" s="1478"/>
      <c r="AC60" s="1478"/>
    </row>
    <row r="61" spans="1:29" s="1484" customFormat="1" ht="11.25" customHeight="1">
      <c r="A61" s="1480"/>
      <c r="B61" s="1576">
        <v>45985</v>
      </c>
      <c r="C61" s="1577" t="s">
        <v>11</v>
      </c>
      <c r="D61" s="1578" t="s">
        <v>1394</v>
      </c>
      <c r="E61" s="1579">
        <v>32</v>
      </c>
      <c r="F61" s="1580" t="s">
        <v>125</v>
      </c>
      <c r="G61" s="1581" t="s">
        <v>145</v>
      </c>
      <c r="H61" s="1582"/>
      <c r="I61" s="1582"/>
      <c r="J61" s="1582"/>
      <c r="K61" s="1583">
        <v>74</v>
      </c>
      <c r="L61" s="1324">
        <f>'통장내역(환율표)'!$D$35</f>
        <v>7.0840999885150238</v>
      </c>
      <c r="M61" s="1096">
        <v>10.45</v>
      </c>
      <c r="N61" s="1585">
        <f t="shared" si="9"/>
        <v>321176.08000000037</v>
      </c>
      <c r="O61" s="1585">
        <f t="shared" si="10"/>
        <v>45337.607125932926</v>
      </c>
      <c r="P61" s="1591"/>
      <c r="Q61" s="1587"/>
      <c r="R61" s="1587"/>
      <c r="S61" s="1589">
        <f t="shared" si="11"/>
        <v>45337.607125932926</v>
      </c>
      <c r="T61" s="1478"/>
      <c r="U61" s="1478"/>
      <c r="V61" s="1478"/>
      <c r="W61" s="1478"/>
      <c r="X61" s="1478"/>
      <c r="Y61" s="1478"/>
      <c r="Z61" s="1478"/>
      <c r="AA61" s="1478"/>
      <c r="AB61" s="1478"/>
      <c r="AC61" s="1478"/>
    </row>
    <row r="62" spans="1:29" s="1484" customFormat="1" ht="11.25" customHeight="1">
      <c r="A62" s="1480"/>
      <c r="B62" s="1576">
        <v>45985</v>
      </c>
      <c r="C62" s="1577" t="s">
        <v>1451</v>
      </c>
      <c r="D62" s="1578" t="s">
        <v>1394</v>
      </c>
      <c r="E62" s="1579">
        <v>33</v>
      </c>
      <c r="F62" s="1580" t="s">
        <v>146</v>
      </c>
      <c r="G62" s="1581" t="s">
        <v>147</v>
      </c>
      <c r="H62" s="1582"/>
      <c r="I62" s="1582"/>
      <c r="J62" s="1582"/>
      <c r="K62" s="1583">
        <v>61.6</v>
      </c>
      <c r="L62" s="1324">
        <f>'통장내역(환율표)'!$D$35</f>
        <v>7.0840999885150238</v>
      </c>
      <c r="M62" s="1096">
        <f t="shared" si="6"/>
        <v>8.6955294391479434</v>
      </c>
      <c r="N62" s="1585">
        <f t="shared" si="9"/>
        <v>321114.48000000039</v>
      </c>
      <c r="O62" s="1585">
        <f t="shared" si="10"/>
        <v>45328.911596493781</v>
      </c>
      <c r="P62" s="1591"/>
      <c r="Q62" s="1587"/>
      <c r="R62" s="1587"/>
      <c r="S62" s="1589">
        <f t="shared" si="11"/>
        <v>45328.911596493781</v>
      </c>
      <c r="T62" s="1478"/>
      <c r="U62" s="1478"/>
      <c r="V62" s="1478"/>
      <c r="W62" s="1478"/>
      <c r="X62" s="1478"/>
      <c r="Y62" s="1478"/>
      <c r="Z62" s="1478"/>
      <c r="AA62" s="1478"/>
      <c r="AB62" s="1478"/>
      <c r="AC62" s="1478"/>
    </row>
    <row r="63" spans="1:29" s="1484" customFormat="1" ht="11.25" customHeight="1">
      <c r="A63" s="1480"/>
      <c r="B63" s="1576">
        <v>45985</v>
      </c>
      <c r="C63" s="1577" t="s">
        <v>19</v>
      </c>
      <c r="D63" s="1578" t="s">
        <v>1394</v>
      </c>
      <c r="E63" s="1579">
        <v>34</v>
      </c>
      <c r="F63" s="1580" t="s">
        <v>116</v>
      </c>
      <c r="G63" s="1581" t="s">
        <v>140</v>
      </c>
      <c r="H63" s="1582"/>
      <c r="I63" s="1582"/>
      <c r="J63" s="1582"/>
      <c r="K63" s="1583">
        <v>282.27999999999997</v>
      </c>
      <c r="L63" s="1324">
        <f>'통장내역(환율표)'!$D$35</f>
        <v>7.0840999885150238</v>
      </c>
      <c r="M63" s="1096">
        <f t="shared" si="6"/>
        <v>39.846981332511064</v>
      </c>
      <c r="N63" s="1585">
        <f t="shared" si="9"/>
        <v>320832.20000000036</v>
      </c>
      <c r="O63" s="1585">
        <f t="shared" si="10"/>
        <v>45289.064615161267</v>
      </c>
      <c r="P63" s="1591"/>
      <c r="Q63" s="1587"/>
      <c r="R63" s="1587"/>
      <c r="S63" s="1589">
        <f t="shared" si="11"/>
        <v>45289.064615161267</v>
      </c>
      <c r="T63" s="1478"/>
      <c r="U63" s="1478"/>
      <c r="V63" s="1478"/>
      <c r="W63" s="1478"/>
      <c r="X63" s="1478"/>
      <c r="Y63" s="1478"/>
      <c r="Z63" s="1478"/>
      <c r="AA63" s="1478"/>
      <c r="AB63" s="1478"/>
      <c r="AC63" s="1478"/>
    </row>
    <row r="64" spans="1:29" s="1484" customFormat="1" ht="11.25" customHeight="1">
      <c r="A64" s="1480"/>
      <c r="B64" s="1576">
        <v>45985</v>
      </c>
      <c r="C64" s="1639" t="s">
        <v>124</v>
      </c>
      <c r="D64" s="1578" t="s">
        <v>1394</v>
      </c>
      <c r="E64" s="1579">
        <v>35</v>
      </c>
      <c r="F64" s="1580" t="s">
        <v>107</v>
      </c>
      <c r="G64" s="1581"/>
      <c r="H64" s="1582"/>
      <c r="I64" s="1582"/>
      <c r="J64" s="1582"/>
      <c r="K64" s="1583">
        <v>885.16</v>
      </c>
      <c r="L64" s="1324">
        <f>'통장내역(환율표)'!$D$35</f>
        <v>7.0840999885150238</v>
      </c>
      <c r="M64" s="1096">
        <f t="shared" si="6"/>
        <v>124.95024088240574</v>
      </c>
      <c r="N64" s="1585">
        <f t="shared" si="9"/>
        <v>319947.04000000039</v>
      </c>
      <c r="O64" s="1585">
        <f t="shared" si="10"/>
        <v>45164.114374278863</v>
      </c>
      <c r="P64" s="1591"/>
      <c r="Q64" s="1587"/>
      <c r="R64" s="1587"/>
      <c r="S64" s="1589">
        <f t="shared" si="11"/>
        <v>45164.114374278863</v>
      </c>
      <c r="T64" s="1478"/>
      <c r="U64" s="1478"/>
      <c r="V64" s="1478"/>
      <c r="W64" s="1478"/>
      <c r="X64" s="1478"/>
      <c r="Y64" s="1478"/>
      <c r="Z64" s="1478"/>
      <c r="AA64" s="1478"/>
      <c r="AB64" s="1478"/>
      <c r="AC64" s="1478"/>
    </row>
    <row r="65" spans="1:29" s="1484" customFormat="1" ht="11.25" customHeight="1">
      <c r="A65" s="1480"/>
      <c r="B65" s="1576">
        <v>45985</v>
      </c>
      <c r="C65" s="1593" t="s">
        <v>250</v>
      </c>
      <c r="D65" s="1578" t="s">
        <v>1394</v>
      </c>
      <c r="E65" s="1579">
        <v>36</v>
      </c>
      <c r="F65" s="1580" t="s">
        <v>107</v>
      </c>
      <c r="G65" s="1581"/>
      <c r="H65" s="1582"/>
      <c r="I65" s="1582"/>
      <c r="J65" s="1582"/>
      <c r="K65" s="1583">
        <v>3.6</v>
      </c>
      <c r="L65" s="1324">
        <f>'통장내역(환율표)'!$D$35</f>
        <v>7.0840999885150238</v>
      </c>
      <c r="M65" s="1096">
        <f t="shared" si="6"/>
        <v>0.50818029189825642</v>
      </c>
      <c r="N65" s="1585">
        <f t="shared" si="9"/>
        <v>319943.44000000041</v>
      </c>
      <c r="O65" s="1585">
        <f t="shared" si="10"/>
        <v>45163.606193986961</v>
      </c>
      <c r="P65" s="1591"/>
      <c r="Q65" s="1587"/>
      <c r="R65" s="1587"/>
      <c r="S65" s="1589">
        <f t="shared" si="11"/>
        <v>45163.606193986961</v>
      </c>
      <c r="T65" s="1478"/>
      <c r="U65" s="1478"/>
      <c r="V65" s="1478"/>
      <c r="W65" s="1478"/>
      <c r="X65" s="1478"/>
      <c r="Y65" s="1478"/>
      <c r="Z65" s="1478"/>
      <c r="AA65" s="1478"/>
      <c r="AB65" s="1478"/>
      <c r="AC65" s="1478"/>
    </row>
    <row r="66" spans="1:29" s="1484" customFormat="1" ht="11.25" customHeight="1">
      <c r="A66" s="1480"/>
      <c r="B66" s="1576">
        <v>45985</v>
      </c>
      <c r="C66" s="1577" t="s">
        <v>1403</v>
      </c>
      <c r="D66" s="1578" t="s">
        <v>1391</v>
      </c>
      <c r="E66" s="1579">
        <v>37</v>
      </c>
      <c r="F66" s="1580" t="s">
        <v>146</v>
      </c>
      <c r="G66" s="1581" t="s">
        <v>147</v>
      </c>
      <c r="H66" s="1582"/>
      <c r="I66" s="1582"/>
      <c r="J66" s="1582"/>
      <c r="K66" s="1583">
        <v>4075.37</v>
      </c>
      <c r="L66" s="1324">
        <f>'통장내역(환율표)'!$D$35</f>
        <v>7.0840999885150238</v>
      </c>
      <c r="M66" s="1096">
        <f t="shared" si="6"/>
        <v>575.28408783149928</v>
      </c>
      <c r="N66" s="1585">
        <f t="shared" si="9"/>
        <v>315868.07000000041</v>
      </c>
      <c r="O66" s="1585">
        <f t="shared" si="10"/>
        <v>44588.322106155465</v>
      </c>
      <c r="P66" s="1591"/>
      <c r="Q66" s="1587"/>
      <c r="R66" s="1587"/>
      <c r="S66" s="1589">
        <f t="shared" si="11"/>
        <v>44588.322106155465</v>
      </c>
      <c r="T66" s="1478"/>
      <c r="U66" s="1478"/>
      <c r="V66" s="1478"/>
      <c r="W66" s="1478"/>
      <c r="X66" s="1478"/>
      <c r="Y66" s="1478"/>
      <c r="Z66" s="1478"/>
      <c r="AA66" s="1478"/>
      <c r="AB66" s="1478"/>
      <c r="AC66" s="1478"/>
    </row>
    <row r="67" spans="1:29" s="1484" customFormat="1" ht="11.25" customHeight="1">
      <c r="A67" s="1480"/>
      <c r="B67" s="1576">
        <v>45985</v>
      </c>
      <c r="C67" s="1577" t="s">
        <v>1451</v>
      </c>
      <c r="D67" s="1578" t="s">
        <v>1391</v>
      </c>
      <c r="E67" s="1579">
        <v>38</v>
      </c>
      <c r="F67" s="1580" t="s">
        <v>146</v>
      </c>
      <c r="G67" s="1581" t="s">
        <v>147</v>
      </c>
      <c r="H67" s="1582"/>
      <c r="I67" s="1582"/>
      <c r="J67" s="1582"/>
      <c r="K67" s="1583">
        <v>426.2</v>
      </c>
      <c r="L67" s="1324">
        <f>'통장내역(환율표)'!$D$35</f>
        <v>7.0840999885150238</v>
      </c>
      <c r="M67" s="1096">
        <f t="shared" si="6"/>
        <v>60.162900113065803</v>
      </c>
      <c r="N67" s="1585">
        <f t="shared" si="9"/>
        <v>315441.8700000004</v>
      </c>
      <c r="O67" s="1585">
        <f t="shared" si="10"/>
        <v>44528.159206042401</v>
      </c>
      <c r="P67" s="1591"/>
      <c r="Q67" s="1587"/>
      <c r="R67" s="1587"/>
      <c r="S67" s="1589">
        <f t="shared" si="11"/>
        <v>44528.159206042401</v>
      </c>
      <c r="T67" s="1478"/>
      <c r="U67" s="1478"/>
      <c r="V67" s="1478"/>
      <c r="W67" s="1478"/>
      <c r="X67" s="1478"/>
      <c r="Y67" s="1478"/>
      <c r="Z67" s="1478"/>
      <c r="AA67" s="1478"/>
      <c r="AB67" s="1478"/>
      <c r="AC67" s="1478"/>
    </row>
    <row r="68" spans="1:29" s="1484" customFormat="1" ht="11.25" customHeight="1">
      <c r="A68" s="1480"/>
      <c r="B68" s="1576">
        <v>45985</v>
      </c>
      <c r="C68" s="1577" t="s">
        <v>19</v>
      </c>
      <c r="D68" s="1578" t="s">
        <v>1391</v>
      </c>
      <c r="E68" s="1579">
        <v>39</v>
      </c>
      <c r="F68" s="1580" t="s">
        <v>116</v>
      </c>
      <c r="G68" s="1581" t="s">
        <v>140</v>
      </c>
      <c r="H68" s="1582"/>
      <c r="I68" s="1582"/>
      <c r="J68" s="1582"/>
      <c r="K68" s="1583">
        <v>498</v>
      </c>
      <c r="L68" s="1324">
        <f>'통장내역(환율표)'!$D$35</f>
        <v>7.0840999885150238</v>
      </c>
      <c r="M68" s="1096">
        <f t="shared" si="6"/>
        <v>70.298273712592149</v>
      </c>
      <c r="N68" s="1585">
        <f t="shared" si="9"/>
        <v>314943.8700000004</v>
      </c>
      <c r="O68" s="1585">
        <f t="shared" si="10"/>
        <v>44457.860932329808</v>
      </c>
      <c r="P68" s="1591"/>
      <c r="Q68" s="1587"/>
      <c r="R68" s="1587"/>
      <c r="S68" s="1589">
        <f t="shared" si="11"/>
        <v>44457.860932329808</v>
      </c>
      <c r="T68" s="1478"/>
      <c r="U68" s="1478"/>
      <c r="V68" s="1478"/>
      <c r="W68" s="1478"/>
      <c r="X68" s="1478"/>
      <c r="Y68" s="1478"/>
      <c r="Z68" s="1478"/>
      <c r="AA68" s="1478"/>
      <c r="AB68" s="1478"/>
      <c r="AC68" s="1478"/>
    </row>
    <row r="69" spans="1:29" s="1484" customFormat="1" ht="11.25" customHeight="1">
      <c r="A69" s="1480"/>
      <c r="B69" s="1576">
        <v>45985</v>
      </c>
      <c r="C69" s="1577" t="s">
        <v>11</v>
      </c>
      <c r="D69" s="1578" t="s">
        <v>1391</v>
      </c>
      <c r="E69" s="1579">
        <v>40</v>
      </c>
      <c r="F69" s="1580" t="s">
        <v>125</v>
      </c>
      <c r="G69" s="1581" t="s">
        <v>145</v>
      </c>
      <c r="H69" s="1582"/>
      <c r="I69" s="1582"/>
      <c r="J69" s="1582"/>
      <c r="K69" s="1583">
        <v>2604.69</v>
      </c>
      <c r="L69" s="1324">
        <f>'통장내역(환율표)'!$D$35</f>
        <v>7.0840999885150238</v>
      </c>
      <c r="M69" s="1096">
        <f t="shared" si="6"/>
        <v>367.68114569568598</v>
      </c>
      <c r="N69" s="1585">
        <f t="shared" si="9"/>
        <v>312339.1800000004</v>
      </c>
      <c r="O69" s="1585">
        <f t="shared" si="10"/>
        <v>44090.179786634122</v>
      </c>
      <c r="P69" s="1597"/>
      <c r="Q69" s="1587"/>
      <c r="R69" s="1587"/>
      <c r="S69" s="1589">
        <f t="shared" si="11"/>
        <v>44090.179786634122</v>
      </c>
      <c r="T69" s="1478"/>
      <c r="U69" s="1478"/>
      <c r="V69" s="1478"/>
      <c r="W69" s="1478"/>
      <c r="X69" s="1478"/>
      <c r="Y69" s="1478"/>
      <c r="Z69" s="1478"/>
      <c r="AA69" s="1478"/>
      <c r="AB69" s="1478"/>
      <c r="AC69" s="1478"/>
    </row>
    <row r="70" spans="1:29" s="1484" customFormat="1" ht="11.25" customHeight="1">
      <c r="A70" s="1480"/>
      <c r="B70" s="1576">
        <v>45985</v>
      </c>
      <c r="C70" s="1577" t="s">
        <v>250</v>
      </c>
      <c r="D70" s="1578" t="s">
        <v>1391</v>
      </c>
      <c r="E70" s="1579">
        <v>41</v>
      </c>
      <c r="F70" s="1580" t="s">
        <v>107</v>
      </c>
      <c r="G70" s="1581"/>
      <c r="H70" s="1582"/>
      <c r="I70" s="1582"/>
      <c r="J70" s="1582"/>
      <c r="K70" s="1583">
        <v>3.6</v>
      </c>
      <c r="L70" s="1324">
        <f>'통장내역(환율표)'!$D$35</f>
        <v>7.0840999885150238</v>
      </c>
      <c r="M70" s="1096">
        <f t="shared" si="6"/>
        <v>0.50818029189825642</v>
      </c>
      <c r="N70" s="1585">
        <f t="shared" si="9"/>
        <v>312335.58000000042</v>
      </c>
      <c r="O70" s="1585">
        <f t="shared" si="10"/>
        <v>44089.671606342221</v>
      </c>
      <c r="P70" s="1591"/>
      <c r="Q70" s="1587"/>
      <c r="R70" s="1587"/>
      <c r="S70" s="1589">
        <f t="shared" si="11"/>
        <v>44089.671606342221</v>
      </c>
      <c r="T70" s="1478"/>
      <c r="U70" s="1478"/>
      <c r="V70" s="1478"/>
      <c r="W70" s="1478"/>
      <c r="X70" s="1478"/>
      <c r="Y70" s="1478"/>
      <c r="Z70" s="1478"/>
      <c r="AA70" s="1478"/>
      <c r="AB70" s="1478"/>
      <c r="AC70" s="1478"/>
    </row>
    <row r="71" spans="1:29" s="1484" customFormat="1" ht="11.25" customHeight="1">
      <c r="A71" s="1480"/>
      <c r="B71" s="1576">
        <v>45985</v>
      </c>
      <c r="C71" s="1593" t="s">
        <v>11</v>
      </c>
      <c r="D71" s="1578" t="s">
        <v>1551</v>
      </c>
      <c r="E71" s="1579">
        <v>42</v>
      </c>
      <c r="F71" s="1580" t="s">
        <v>125</v>
      </c>
      <c r="G71" s="1581" t="s">
        <v>145</v>
      </c>
      <c r="H71" s="1582"/>
      <c r="I71" s="1590"/>
      <c r="J71" s="1582"/>
      <c r="K71" s="1583">
        <v>4279.7</v>
      </c>
      <c r="L71" s="1324">
        <f>'통장내역(환율표)'!$D$35</f>
        <v>7.0840999885150238</v>
      </c>
      <c r="M71" s="1096">
        <f t="shared" si="6"/>
        <v>604.12755423249109</v>
      </c>
      <c r="N71" s="1585">
        <f t="shared" si="9"/>
        <v>308055.88000000041</v>
      </c>
      <c r="O71" s="1585">
        <f t="shared" si="10"/>
        <v>43485.544052109733</v>
      </c>
      <c r="P71" s="1591"/>
      <c r="Q71" s="1587"/>
      <c r="R71" s="1587"/>
      <c r="S71" s="1589">
        <f t="shared" si="11"/>
        <v>43485.544052109733</v>
      </c>
      <c r="T71" s="1478"/>
      <c r="U71" s="1478"/>
      <c r="V71" s="1478"/>
      <c r="W71" s="1478"/>
      <c r="X71" s="1478"/>
      <c r="Y71" s="1478"/>
      <c r="Z71" s="1478"/>
      <c r="AA71" s="1478"/>
      <c r="AB71" s="1478"/>
      <c r="AC71" s="1478"/>
    </row>
    <row r="72" spans="1:29" s="1484" customFormat="1" ht="11.25" customHeight="1">
      <c r="A72" s="1480"/>
      <c r="B72" s="1576">
        <v>45985</v>
      </c>
      <c r="C72" s="1577" t="s">
        <v>1403</v>
      </c>
      <c r="D72" s="1578" t="s">
        <v>1551</v>
      </c>
      <c r="E72" s="1579">
        <v>43</v>
      </c>
      <c r="F72" s="1580" t="s">
        <v>146</v>
      </c>
      <c r="G72" s="1581" t="s">
        <v>147</v>
      </c>
      <c r="H72" s="1582"/>
      <c r="I72" s="1590"/>
      <c r="J72" s="1582"/>
      <c r="K72" s="1583">
        <v>5838.67</v>
      </c>
      <c r="L72" s="1324">
        <f>'통장내역(환율표)'!$D$35</f>
        <v>7.0840999885150238</v>
      </c>
      <c r="M72" s="1096">
        <f t="shared" si="6"/>
        <v>824.19361802710921</v>
      </c>
      <c r="N72" s="1585">
        <f t="shared" si="9"/>
        <v>302217.21000000043</v>
      </c>
      <c r="O72" s="1585">
        <f t="shared" si="10"/>
        <v>42661.350434082626</v>
      </c>
      <c r="P72" s="1591"/>
      <c r="Q72" s="1587"/>
      <c r="R72" s="1587"/>
      <c r="S72" s="1589">
        <f t="shared" si="11"/>
        <v>42661.350434082626</v>
      </c>
      <c r="T72" s="1478"/>
      <c r="U72" s="1478"/>
      <c r="V72" s="1478"/>
      <c r="W72" s="1478"/>
      <c r="X72" s="1478"/>
      <c r="Y72" s="1478"/>
      <c r="Z72" s="1478"/>
      <c r="AA72" s="1478"/>
      <c r="AB72" s="1478"/>
      <c r="AC72" s="1478"/>
    </row>
    <row r="73" spans="1:29" s="1484" customFormat="1" ht="11.25" customHeight="1">
      <c r="A73" s="1480"/>
      <c r="B73" s="1576">
        <v>45985</v>
      </c>
      <c r="C73" s="1593" t="s">
        <v>1406</v>
      </c>
      <c r="D73" s="1578" t="s">
        <v>1392</v>
      </c>
      <c r="E73" s="1579">
        <v>44</v>
      </c>
      <c r="F73" s="1580" t="s">
        <v>146</v>
      </c>
      <c r="G73" s="1581" t="s">
        <v>147</v>
      </c>
      <c r="H73" s="1582"/>
      <c r="I73" s="1582"/>
      <c r="J73" s="1582"/>
      <c r="K73" s="1583">
        <v>1997.8600000000001</v>
      </c>
      <c r="L73" s="1324">
        <f>'통장내역(환율표)'!$D$35</f>
        <v>7.0840999885150238</v>
      </c>
      <c r="M73" s="1096">
        <f t="shared" si="6"/>
        <v>282.02029943662518</v>
      </c>
      <c r="N73" s="1585">
        <f t="shared" si="9"/>
        <v>300219.35000000044</v>
      </c>
      <c r="O73" s="1585">
        <f t="shared" si="10"/>
        <v>42379.330134645999</v>
      </c>
      <c r="P73" s="1591"/>
      <c r="Q73" s="1587"/>
      <c r="R73" s="1587"/>
      <c r="S73" s="1589">
        <f t="shared" si="11"/>
        <v>42379.330134645999</v>
      </c>
      <c r="T73" s="1478"/>
      <c r="U73" s="1478"/>
      <c r="V73" s="1478"/>
      <c r="W73" s="1478"/>
      <c r="X73" s="1478"/>
      <c r="Y73" s="1478"/>
      <c r="Z73" s="1478"/>
      <c r="AA73" s="1478"/>
      <c r="AB73" s="1478"/>
      <c r="AC73" s="1478"/>
    </row>
    <row r="74" spans="1:29" s="1484" customFormat="1" ht="11.25" customHeight="1">
      <c r="A74" s="1480"/>
      <c r="B74" s="1576">
        <v>45985</v>
      </c>
      <c r="C74" s="1593" t="s">
        <v>1407</v>
      </c>
      <c r="D74" s="1578" t="s">
        <v>1392</v>
      </c>
      <c r="E74" s="1579">
        <v>45</v>
      </c>
      <c r="F74" s="1580" t="s">
        <v>146</v>
      </c>
      <c r="G74" s="1581" t="s">
        <v>147</v>
      </c>
      <c r="H74" s="1582"/>
      <c r="I74" s="1590"/>
      <c r="J74" s="1582"/>
      <c r="K74" s="1583">
        <v>226</v>
      </c>
      <c r="L74" s="1324">
        <f>'통장내역(환율표)'!$D$35</f>
        <v>7.0840999885150238</v>
      </c>
      <c r="M74" s="1096">
        <f t="shared" si="6"/>
        <v>31.902429435834989</v>
      </c>
      <c r="N74" s="1585">
        <f t="shared" si="9"/>
        <v>299993.35000000044</v>
      </c>
      <c r="O74" s="1585">
        <f t="shared" si="10"/>
        <v>42347.427705210168</v>
      </c>
      <c r="P74" s="1591"/>
      <c r="Q74" s="1587"/>
      <c r="R74" s="1587"/>
      <c r="S74" s="1589">
        <f t="shared" si="11"/>
        <v>42347.427705210168</v>
      </c>
      <c r="T74" s="1478"/>
      <c r="U74" s="1478"/>
      <c r="V74" s="1478"/>
      <c r="W74" s="1478"/>
      <c r="X74" s="1478"/>
      <c r="Y74" s="1478"/>
      <c r="Z74" s="1478"/>
      <c r="AA74" s="1478"/>
      <c r="AB74" s="1478"/>
      <c r="AC74" s="1478"/>
    </row>
    <row r="75" spans="1:29" s="1484" customFormat="1" ht="11.25" customHeight="1">
      <c r="A75" s="1480"/>
      <c r="B75" s="1576">
        <v>45985</v>
      </c>
      <c r="C75" s="1593" t="s">
        <v>1408</v>
      </c>
      <c r="D75" s="1578" t="s">
        <v>1392</v>
      </c>
      <c r="E75" s="1579">
        <v>46</v>
      </c>
      <c r="F75" s="1580" t="s">
        <v>146</v>
      </c>
      <c r="G75" s="1581" t="s">
        <v>147</v>
      </c>
      <c r="H75" s="1582"/>
      <c r="I75" s="1590"/>
      <c r="J75" s="1582"/>
      <c r="K75" s="1583">
        <v>281</v>
      </c>
      <c r="L75" s="1324">
        <f>'통장내역(환율표)'!$D$35</f>
        <v>7.0840999885150238</v>
      </c>
      <c r="M75" s="1096">
        <f t="shared" si="6"/>
        <v>39.666295006502793</v>
      </c>
      <c r="N75" s="1585">
        <f t="shared" si="9"/>
        <v>299712.35000000044</v>
      </c>
      <c r="O75" s="1585">
        <f t="shared" si="10"/>
        <v>42307.761410203668</v>
      </c>
      <c r="P75" s="1591"/>
      <c r="Q75" s="1587"/>
      <c r="R75" s="1587"/>
      <c r="S75" s="1589">
        <f t="shared" si="11"/>
        <v>42307.761410203668</v>
      </c>
      <c r="T75" s="1478"/>
      <c r="U75" s="1478"/>
      <c r="V75" s="1478"/>
      <c r="W75" s="1478"/>
      <c r="X75" s="1478"/>
      <c r="Y75" s="1478"/>
      <c r="Z75" s="1478"/>
      <c r="AA75" s="1478"/>
      <c r="AB75" s="1478"/>
      <c r="AC75" s="1478"/>
    </row>
    <row r="76" spans="1:29" s="1484" customFormat="1" ht="11.25" customHeight="1">
      <c r="A76" s="1480"/>
      <c r="B76" s="1576">
        <v>45985</v>
      </c>
      <c r="C76" s="1593" t="s">
        <v>250</v>
      </c>
      <c r="D76" s="1578" t="s">
        <v>1392</v>
      </c>
      <c r="E76" s="1579">
        <v>47</v>
      </c>
      <c r="F76" s="1580" t="s">
        <v>107</v>
      </c>
      <c r="G76" s="1581"/>
      <c r="H76" s="1582"/>
      <c r="I76" s="1590"/>
      <c r="J76" s="1582"/>
      <c r="K76" s="1583">
        <v>3.6</v>
      </c>
      <c r="L76" s="1324">
        <f>'통장내역(환율표)'!$D$35</f>
        <v>7.0840999885150238</v>
      </c>
      <c r="M76" s="1096">
        <f t="shared" si="6"/>
        <v>0.50818029189825642</v>
      </c>
      <c r="N76" s="1585">
        <f t="shared" si="9"/>
        <v>299708.75000000047</v>
      </c>
      <c r="O76" s="1585">
        <f t="shared" si="10"/>
        <v>42307.253229911767</v>
      </c>
      <c r="P76" s="1591"/>
      <c r="Q76" s="1587"/>
      <c r="R76" s="1587"/>
      <c r="S76" s="1589">
        <f t="shared" si="11"/>
        <v>42307.253229911767</v>
      </c>
      <c r="T76" s="1478"/>
      <c r="U76" s="1478"/>
      <c r="V76" s="1478"/>
      <c r="W76" s="1478"/>
      <c r="X76" s="1478"/>
      <c r="Y76" s="1478"/>
      <c r="Z76" s="1478"/>
      <c r="AA76" s="1478"/>
      <c r="AB76" s="1478"/>
      <c r="AC76" s="1478"/>
    </row>
    <row r="77" spans="1:29" s="1484" customFormat="1" ht="11.25" customHeight="1">
      <c r="A77" s="1480"/>
      <c r="B77" s="1576">
        <v>45985</v>
      </c>
      <c r="C77" s="1593" t="s">
        <v>1408</v>
      </c>
      <c r="D77" s="1578" t="s">
        <v>1393</v>
      </c>
      <c r="E77" s="1579">
        <v>48</v>
      </c>
      <c r="F77" s="1580" t="s">
        <v>146</v>
      </c>
      <c r="G77" s="1581" t="s">
        <v>147</v>
      </c>
      <c r="H77" s="1594"/>
      <c r="I77" s="1595"/>
      <c r="J77" s="1595"/>
      <c r="K77" s="1583">
        <v>552</v>
      </c>
      <c r="L77" s="1324">
        <f>'통장내역(환율표)'!$D$35</f>
        <v>7.0840999885150238</v>
      </c>
      <c r="M77" s="1096">
        <f t="shared" si="6"/>
        <v>77.92097809106599</v>
      </c>
      <c r="N77" s="1585">
        <f t="shared" si="9"/>
        <v>299156.75000000047</v>
      </c>
      <c r="O77" s="1585">
        <f t="shared" si="10"/>
        <v>42229.332251820699</v>
      </c>
      <c r="P77" s="1591"/>
      <c r="Q77" s="1587"/>
      <c r="R77" s="1587"/>
      <c r="S77" s="1589">
        <f t="shared" si="11"/>
        <v>42229.332251820699</v>
      </c>
      <c r="T77" s="1478"/>
      <c r="U77" s="1478"/>
      <c r="V77" s="1478"/>
      <c r="W77" s="1478"/>
      <c r="X77" s="1478"/>
      <c r="Y77" s="1478"/>
      <c r="Z77" s="1478"/>
      <c r="AA77" s="1478"/>
      <c r="AB77" s="1478"/>
      <c r="AC77" s="1478"/>
    </row>
    <row r="78" spans="1:29" s="1484" customFormat="1" ht="11.25" customHeight="1">
      <c r="A78" s="1480"/>
      <c r="B78" s="1576">
        <v>45985</v>
      </c>
      <c r="C78" s="1593" t="s">
        <v>1406</v>
      </c>
      <c r="D78" s="1578" t="s">
        <v>1393</v>
      </c>
      <c r="E78" s="1579">
        <v>49</v>
      </c>
      <c r="F78" s="1580" t="s">
        <v>146</v>
      </c>
      <c r="G78" s="1581" t="s">
        <v>147</v>
      </c>
      <c r="H78" s="1594"/>
      <c r="I78" s="1595"/>
      <c r="J78" s="1595"/>
      <c r="K78" s="1583">
        <v>2002.16</v>
      </c>
      <c r="L78" s="1324">
        <f>'통장내역(환율표)'!$D$35</f>
        <v>7.0840999885150238</v>
      </c>
      <c r="M78" s="1096">
        <f t="shared" si="6"/>
        <v>282.6272925630592</v>
      </c>
      <c r="N78" s="1585">
        <f t="shared" si="9"/>
        <v>297154.59000000049</v>
      </c>
      <c r="O78" s="1585">
        <f t="shared" si="10"/>
        <v>41946.704959257637</v>
      </c>
      <c r="P78" s="1591"/>
      <c r="Q78" s="1587"/>
      <c r="R78" s="1587"/>
      <c r="S78" s="1589">
        <f t="shared" si="11"/>
        <v>41946.704959257637</v>
      </c>
      <c r="T78" s="1478"/>
      <c r="U78" s="1478"/>
      <c r="V78" s="1478"/>
      <c r="W78" s="1478"/>
      <c r="X78" s="1478"/>
      <c r="Y78" s="1478"/>
      <c r="Z78" s="1478"/>
      <c r="AA78" s="1478"/>
      <c r="AB78" s="1478"/>
      <c r="AC78" s="1478"/>
    </row>
    <row r="79" spans="1:29" s="1484" customFormat="1" ht="11.25" customHeight="1">
      <c r="A79" s="1480"/>
      <c r="B79" s="1576">
        <v>45985</v>
      </c>
      <c r="C79" s="1593" t="s">
        <v>1407</v>
      </c>
      <c r="D79" s="1578" t="s">
        <v>1393</v>
      </c>
      <c r="E79" s="1579">
        <v>50</v>
      </c>
      <c r="F79" s="1580" t="s">
        <v>146</v>
      </c>
      <c r="G79" s="1581" t="s">
        <v>147</v>
      </c>
      <c r="H79" s="1594"/>
      <c r="I79" s="1595"/>
      <c r="J79" s="1595"/>
      <c r="K79" s="1583">
        <v>100</v>
      </c>
      <c r="L79" s="1324">
        <f>'통장내역(환율표)'!$D$35</f>
        <v>7.0840999885150238</v>
      </c>
      <c r="M79" s="1096">
        <f t="shared" si="6"/>
        <v>14.116119219396012</v>
      </c>
      <c r="N79" s="1585">
        <f t="shared" si="9"/>
        <v>297054.59000000049</v>
      </c>
      <c r="O79" s="1585">
        <f t="shared" si="10"/>
        <v>41932.588840038239</v>
      </c>
      <c r="P79" s="1591"/>
      <c r="Q79" s="1587"/>
      <c r="R79" s="1587"/>
      <c r="S79" s="1589">
        <f t="shared" si="11"/>
        <v>41932.588840038239</v>
      </c>
      <c r="T79" s="1478"/>
      <c r="U79" s="1478"/>
      <c r="V79" s="1478"/>
      <c r="W79" s="1478"/>
      <c r="X79" s="1478"/>
      <c r="Y79" s="1478"/>
      <c r="Z79" s="1478"/>
      <c r="AA79" s="1478"/>
      <c r="AB79" s="1478"/>
      <c r="AC79" s="1478"/>
    </row>
    <row r="80" spans="1:29" s="1484" customFormat="1" ht="11.25" customHeight="1">
      <c r="A80" s="1480"/>
      <c r="B80" s="1576">
        <v>45985</v>
      </c>
      <c r="C80" s="1593" t="s">
        <v>250</v>
      </c>
      <c r="D80" s="1578" t="s">
        <v>1393</v>
      </c>
      <c r="E80" s="1579">
        <v>51</v>
      </c>
      <c r="F80" s="1580" t="s">
        <v>107</v>
      </c>
      <c r="G80" s="1581"/>
      <c r="H80" s="1594"/>
      <c r="I80" s="1595"/>
      <c r="J80" s="1595"/>
      <c r="K80" s="1583">
        <v>3.6</v>
      </c>
      <c r="L80" s="1324">
        <f>'통장내역(환율표)'!$D$35</f>
        <v>7.0840999885150238</v>
      </c>
      <c r="M80" s="1096">
        <f t="shared" si="6"/>
        <v>0.50818029189825642</v>
      </c>
      <c r="N80" s="1585">
        <f t="shared" si="9"/>
        <v>297050.99000000051</v>
      </c>
      <c r="O80" s="1585">
        <f t="shared" si="10"/>
        <v>41932.080659746338</v>
      </c>
      <c r="P80" s="1591"/>
      <c r="Q80" s="1587"/>
      <c r="R80" s="1587"/>
      <c r="S80" s="1589">
        <f t="shared" si="11"/>
        <v>41932.080659746338</v>
      </c>
      <c r="T80" s="1478"/>
      <c r="U80" s="1478"/>
      <c r="V80" s="1478"/>
      <c r="W80" s="1478"/>
      <c r="X80" s="1478"/>
      <c r="Y80" s="1478"/>
      <c r="Z80" s="1478"/>
      <c r="AA80" s="1478"/>
      <c r="AB80" s="1478"/>
      <c r="AC80" s="1478"/>
    </row>
    <row r="81" spans="1:29" s="1484" customFormat="1" ht="11.25" customHeight="1">
      <c r="A81" s="1480"/>
      <c r="B81" s="1576">
        <v>45985</v>
      </c>
      <c r="C81" s="1593" t="s">
        <v>1406</v>
      </c>
      <c r="D81" s="1578" t="s">
        <v>1460</v>
      </c>
      <c r="E81" s="1579">
        <v>52</v>
      </c>
      <c r="F81" s="1580" t="s">
        <v>146</v>
      </c>
      <c r="G81" s="1581" t="s">
        <v>147</v>
      </c>
      <c r="H81" s="1594"/>
      <c r="I81" s="1595"/>
      <c r="J81" s="1595"/>
      <c r="K81" s="1583">
        <v>1958.08</v>
      </c>
      <c r="L81" s="1324">
        <f>'통장내역(환율표)'!$D$35</f>
        <v>7.0840999885150238</v>
      </c>
      <c r="M81" s="1096">
        <f t="shared" si="6"/>
        <v>276.40490721114946</v>
      </c>
      <c r="N81" s="1585">
        <f t="shared" si="9"/>
        <v>295092.9100000005</v>
      </c>
      <c r="O81" s="1585">
        <f t="shared" si="10"/>
        <v>41655.675752535186</v>
      </c>
      <c r="P81" s="1591"/>
      <c r="Q81" s="1587"/>
      <c r="R81" s="1587"/>
      <c r="S81" s="1589">
        <f t="shared" si="11"/>
        <v>41655.675752535186</v>
      </c>
      <c r="T81" s="1478"/>
      <c r="U81" s="1478"/>
      <c r="V81" s="1478"/>
      <c r="W81" s="1478"/>
      <c r="X81" s="1478"/>
      <c r="Y81" s="1478"/>
      <c r="Z81" s="1478"/>
      <c r="AA81" s="1478"/>
      <c r="AB81" s="1478"/>
      <c r="AC81" s="1478"/>
    </row>
    <row r="82" spans="1:29" s="1484" customFormat="1" ht="11.25" customHeight="1">
      <c r="A82" s="1480"/>
      <c r="B82" s="1576">
        <v>45985</v>
      </c>
      <c r="C82" s="1593" t="s">
        <v>1408</v>
      </c>
      <c r="D82" s="1578" t="s">
        <v>1460</v>
      </c>
      <c r="E82" s="1579">
        <v>53</v>
      </c>
      <c r="F82" s="1580" t="s">
        <v>146</v>
      </c>
      <c r="G82" s="1581" t="s">
        <v>147</v>
      </c>
      <c r="H82" s="1594"/>
      <c r="I82" s="1595"/>
      <c r="J82" s="1595"/>
      <c r="K82" s="1583">
        <v>549</v>
      </c>
      <c r="L82" s="1324">
        <f>'통장내역(환율표)'!$D$35</f>
        <v>7.0840999885150238</v>
      </c>
      <c r="M82" s="1096">
        <f t="shared" si="6"/>
        <v>77.497494514484103</v>
      </c>
      <c r="N82" s="1585">
        <f t="shared" si="9"/>
        <v>294543.9100000005</v>
      </c>
      <c r="O82" s="1585">
        <f t="shared" si="10"/>
        <v>41578.1782580207</v>
      </c>
      <c r="P82" s="1591"/>
      <c r="Q82" s="1587"/>
      <c r="R82" s="1587"/>
      <c r="S82" s="1589">
        <f t="shared" si="11"/>
        <v>41578.1782580207</v>
      </c>
      <c r="T82" s="1478"/>
      <c r="U82" s="1478"/>
      <c r="V82" s="1478"/>
      <c r="W82" s="1478"/>
      <c r="X82" s="1478"/>
      <c r="Y82" s="1478"/>
      <c r="Z82" s="1478"/>
      <c r="AA82" s="1478"/>
      <c r="AB82" s="1478"/>
      <c r="AC82" s="1478"/>
    </row>
    <row r="83" spans="1:29" s="1484" customFormat="1" ht="11.25" customHeight="1">
      <c r="A83" s="1480"/>
      <c r="B83" s="1576">
        <v>45985</v>
      </c>
      <c r="C83" s="1593" t="s">
        <v>1407</v>
      </c>
      <c r="D83" s="1578" t="s">
        <v>1460</v>
      </c>
      <c r="E83" s="1579">
        <v>54</v>
      </c>
      <c r="F83" s="1580" t="s">
        <v>146</v>
      </c>
      <c r="G83" s="1581" t="s">
        <v>147</v>
      </c>
      <c r="H83" s="1594"/>
      <c r="I83" s="1595"/>
      <c r="J83" s="1595"/>
      <c r="K83" s="1583">
        <v>113.5</v>
      </c>
      <c r="L83" s="1324">
        <f>'통장내역(환율표)'!$D$35</f>
        <v>7.0840999885150238</v>
      </c>
      <c r="M83" s="1096">
        <f t="shared" si="6"/>
        <v>16.021795314014476</v>
      </c>
      <c r="N83" s="1585">
        <f t="shared" si="9"/>
        <v>294430.4100000005</v>
      </c>
      <c r="O83" s="1585">
        <f t="shared" si="10"/>
        <v>41562.156462706684</v>
      </c>
      <c r="P83" s="1591"/>
      <c r="Q83" s="1587"/>
      <c r="R83" s="1587"/>
      <c r="S83" s="1589">
        <f t="shared" si="11"/>
        <v>41562.156462706684</v>
      </c>
      <c r="T83" s="1478"/>
      <c r="U83" s="1478"/>
      <c r="V83" s="1478"/>
      <c r="W83" s="1478"/>
      <c r="X83" s="1478"/>
      <c r="Y83" s="1478"/>
      <c r="Z83" s="1478"/>
      <c r="AA83" s="1478"/>
      <c r="AB83" s="1478"/>
      <c r="AC83" s="1478"/>
    </row>
    <row r="84" spans="1:29" s="1484" customFormat="1" ht="11.25" customHeight="1">
      <c r="A84" s="1480"/>
      <c r="B84" s="1576">
        <v>45985</v>
      </c>
      <c r="C84" s="1593" t="s">
        <v>250</v>
      </c>
      <c r="D84" s="1578" t="s">
        <v>1460</v>
      </c>
      <c r="E84" s="1579">
        <v>55</v>
      </c>
      <c r="F84" s="1580" t="s">
        <v>107</v>
      </c>
      <c r="G84" s="1581"/>
      <c r="H84" s="1582"/>
      <c r="I84" s="1590"/>
      <c r="J84" s="1582"/>
      <c r="K84" s="1583">
        <v>3.6</v>
      </c>
      <c r="L84" s="1324">
        <f>'통장내역(환율표)'!$D$35</f>
        <v>7.0840999885150238</v>
      </c>
      <c r="M84" s="1096">
        <f t="shared" si="6"/>
        <v>0.50818029189825642</v>
      </c>
      <c r="N84" s="1585">
        <f t="shared" si="9"/>
        <v>294426.81000000052</v>
      </c>
      <c r="O84" s="1585">
        <f t="shared" si="10"/>
        <v>41561.648282414782</v>
      </c>
      <c r="P84" s="1591"/>
      <c r="Q84" s="1587"/>
      <c r="R84" s="1587"/>
      <c r="S84" s="1589">
        <f t="shared" si="11"/>
        <v>41561.648282414782</v>
      </c>
      <c r="T84" s="1478"/>
      <c r="U84" s="1478"/>
      <c r="V84" s="1478"/>
      <c r="W84" s="1478"/>
      <c r="X84" s="1478"/>
      <c r="Y84" s="1478"/>
      <c r="Z84" s="1478"/>
      <c r="AA84" s="1478"/>
      <c r="AB84" s="1478"/>
      <c r="AC84" s="1478"/>
    </row>
    <row r="85" spans="1:29" s="1484" customFormat="1" ht="11.25" customHeight="1">
      <c r="A85" s="1480"/>
      <c r="B85" s="1576">
        <v>45985</v>
      </c>
      <c r="C85" s="1577" t="s">
        <v>1403</v>
      </c>
      <c r="D85" s="1578" t="s">
        <v>211</v>
      </c>
      <c r="E85" s="1579">
        <v>56</v>
      </c>
      <c r="F85" s="1580" t="s">
        <v>146</v>
      </c>
      <c r="G85" s="1581" t="s">
        <v>147</v>
      </c>
      <c r="H85" s="1582"/>
      <c r="I85" s="1590"/>
      <c r="J85" s="1582"/>
      <c r="K85" s="1583">
        <v>10028.19</v>
      </c>
      <c r="L85" s="1324">
        <f>'통장내역(환율표)'!$D$35</f>
        <v>7.0840999885150238</v>
      </c>
      <c r="M85" s="1096">
        <f t="shared" si="6"/>
        <v>1415.5912559475491</v>
      </c>
      <c r="N85" s="1585">
        <f t="shared" si="9"/>
        <v>284398.62000000052</v>
      </c>
      <c r="O85" s="1585">
        <f t="shared" si="10"/>
        <v>40146.057026467235</v>
      </c>
      <c r="P85" s="1591"/>
      <c r="Q85" s="1587"/>
      <c r="R85" s="1587"/>
      <c r="S85" s="1589">
        <f t="shared" si="11"/>
        <v>40146.057026467235</v>
      </c>
      <c r="T85" s="1478"/>
      <c r="U85" s="1478"/>
      <c r="V85" s="1478"/>
      <c r="W85" s="1478"/>
      <c r="X85" s="1478"/>
      <c r="Y85" s="1478"/>
      <c r="Z85" s="1478"/>
      <c r="AA85" s="1478"/>
      <c r="AB85" s="1478"/>
      <c r="AC85" s="1478"/>
    </row>
    <row r="86" spans="1:29" s="1484" customFormat="1" ht="11.25" customHeight="1">
      <c r="A86" s="1480"/>
      <c r="B86" s="1576">
        <v>45985</v>
      </c>
      <c r="C86" s="1593" t="s">
        <v>11</v>
      </c>
      <c r="D86" s="1578" t="s">
        <v>211</v>
      </c>
      <c r="E86" s="1579">
        <v>57</v>
      </c>
      <c r="F86" s="1580" t="s">
        <v>125</v>
      </c>
      <c r="G86" s="1581" t="s">
        <v>145</v>
      </c>
      <c r="H86" s="1582"/>
      <c r="I86" s="1590"/>
      <c r="J86" s="1582"/>
      <c r="K86" s="1583">
        <v>4414</v>
      </c>
      <c r="L86" s="1324">
        <f>'통장내역(환율표)'!$D$35</f>
        <v>7.0840999885150238</v>
      </c>
      <c r="M86" s="1096">
        <f t="shared" si="6"/>
        <v>623.08550234413997</v>
      </c>
      <c r="N86" s="1585">
        <f t="shared" si="9"/>
        <v>279984.62000000052</v>
      </c>
      <c r="O86" s="1585">
        <f t="shared" si="10"/>
        <v>39522.971524123095</v>
      </c>
      <c r="P86" s="1591"/>
      <c r="Q86" s="1587"/>
      <c r="R86" s="1587"/>
      <c r="S86" s="1589">
        <f t="shared" si="11"/>
        <v>39522.971524123095</v>
      </c>
      <c r="T86" s="1478"/>
      <c r="U86" s="1478"/>
      <c r="V86" s="1478"/>
      <c r="W86" s="1478"/>
      <c r="X86" s="1478"/>
      <c r="Y86" s="1478"/>
      <c r="Z86" s="1478"/>
      <c r="AA86" s="1478"/>
      <c r="AB86" s="1478"/>
      <c r="AC86" s="1478"/>
    </row>
    <row r="87" spans="1:29" s="1484" customFormat="1" ht="11.25" customHeight="1">
      <c r="A87" s="1480"/>
      <c r="B87" s="1576">
        <v>45985</v>
      </c>
      <c r="C87" s="1593" t="s">
        <v>250</v>
      </c>
      <c r="D87" s="1578" t="s">
        <v>211</v>
      </c>
      <c r="E87" s="1579">
        <v>58</v>
      </c>
      <c r="F87" s="1580" t="s">
        <v>107</v>
      </c>
      <c r="G87" s="1581"/>
      <c r="H87" s="1582"/>
      <c r="I87" s="1590"/>
      <c r="J87" s="1582"/>
      <c r="K87" s="1583">
        <v>7.2</v>
      </c>
      <c r="L87" s="1324">
        <f>'통장내역(환율표)'!$D$35</f>
        <v>7.0840999885150238</v>
      </c>
      <c r="M87" s="1096">
        <f t="shared" ref="M87:M89" si="12">K87/L87</f>
        <v>1.0163605837965128</v>
      </c>
      <c r="N87" s="1585">
        <f t="shared" si="9"/>
        <v>279977.42000000051</v>
      </c>
      <c r="O87" s="1585">
        <f t="shared" si="10"/>
        <v>39521.9551635393</v>
      </c>
      <c r="P87" s="1591"/>
      <c r="Q87" s="1587"/>
      <c r="R87" s="1587"/>
      <c r="S87" s="1589">
        <f t="shared" si="11"/>
        <v>39521.9551635393</v>
      </c>
      <c r="T87" s="1478"/>
      <c r="U87" s="1478"/>
      <c r="V87" s="1478"/>
      <c r="W87" s="1478"/>
      <c r="X87" s="1478"/>
      <c r="Y87" s="1478"/>
      <c r="Z87" s="1478"/>
      <c r="AA87" s="1478"/>
      <c r="AB87" s="1478"/>
      <c r="AC87" s="1478"/>
    </row>
    <row r="88" spans="1:29" s="1484" customFormat="1" ht="11.25" customHeight="1">
      <c r="A88" s="1480"/>
      <c r="B88" s="1576">
        <v>45985</v>
      </c>
      <c r="C88" s="1593" t="s">
        <v>1462</v>
      </c>
      <c r="D88" s="1578"/>
      <c r="E88" s="1579">
        <v>59</v>
      </c>
      <c r="F88" s="1580" t="s">
        <v>107</v>
      </c>
      <c r="G88" s="1581"/>
      <c r="H88" s="1582"/>
      <c r="I88" s="1590"/>
      <c r="J88" s="1582"/>
      <c r="K88" s="1583">
        <v>251215.53</v>
      </c>
      <c r="L88" s="1324">
        <f>'통장내역(환율표)'!$D$35</f>
        <v>7.0840999885150238</v>
      </c>
      <c r="M88" s="1096">
        <f t="shared" si="12"/>
        <v>35461.883712437557</v>
      </c>
      <c r="N88" s="1585">
        <f t="shared" ref="N88:N89" si="13">N87+H88-K88</f>
        <v>28761.890000000509</v>
      </c>
      <c r="O88" s="1585">
        <f t="shared" ref="O88:O89" si="14">O87+J88-M88</f>
        <v>4060.0714511017432</v>
      </c>
      <c r="P88" s="1591"/>
      <c r="Q88" s="1587"/>
      <c r="R88" s="1587"/>
      <c r="S88" s="1589">
        <f t="shared" si="11"/>
        <v>4060.0714511017432</v>
      </c>
      <c r="T88" s="1478"/>
      <c r="U88" s="1478"/>
      <c r="V88" s="1478"/>
      <c r="W88" s="1478"/>
      <c r="X88" s="1478"/>
      <c r="Y88" s="1478"/>
      <c r="Z88" s="1478"/>
      <c r="AA88" s="1478"/>
      <c r="AB88" s="1478"/>
      <c r="AC88" s="1478"/>
    </row>
    <row r="89" spans="1:29" s="1484" customFormat="1" ht="11.25" customHeight="1">
      <c r="A89" s="1480"/>
      <c r="B89" s="1576">
        <v>45985</v>
      </c>
      <c r="C89" s="1593" t="s">
        <v>250</v>
      </c>
      <c r="D89" s="1578"/>
      <c r="E89" s="1579">
        <v>60</v>
      </c>
      <c r="F89" s="1580" t="s">
        <v>107</v>
      </c>
      <c r="G89" s="1581"/>
      <c r="H89" s="1582"/>
      <c r="I89" s="1590"/>
      <c r="J89" s="1582"/>
      <c r="K89" s="1583">
        <v>12</v>
      </c>
      <c r="L89" s="1324">
        <f>'통장내역(환율표)'!$D$35</f>
        <v>7.0840999885150238</v>
      </c>
      <c r="M89" s="1096">
        <f t="shared" si="12"/>
        <v>1.6939343063275216</v>
      </c>
      <c r="N89" s="1585">
        <f t="shared" si="13"/>
        <v>28749.890000000509</v>
      </c>
      <c r="O89" s="1585">
        <f t="shared" si="14"/>
        <v>4058.3775167954154</v>
      </c>
      <c r="P89" s="1591"/>
      <c r="Q89" s="1587"/>
      <c r="R89" s="1587"/>
      <c r="S89" s="1589">
        <f t="shared" ref="S89" si="15">S88-M89+J89</f>
        <v>4058.3775167954154</v>
      </c>
      <c r="T89" s="1478"/>
      <c r="U89" s="1478"/>
      <c r="V89" s="1478"/>
      <c r="W89" s="1478"/>
      <c r="X89" s="1478"/>
      <c r="Y89" s="1478"/>
      <c r="Z89" s="1478"/>
      <c r="AA89" s="1478"/>
      <c r="AB89" s="1478"/>
      <c r="AC89" s="1478"/>
    </row>
    <row r="90" spans="1:29" ht="11.25" customHeight="1">
      <c r="J90" s="1478"/>
      <c r="K90" s="1612"/>
      <c r="M90" s="1612"/>
      <c r="N90" s="1612"/>
      <c r="O90" s="1612"/>
      <c r="S90" s="1484"/>
      <c r="U90" s="1478"/>
    </row>
    <row r="91" spans="1:29" ht="11.25" customHeight="1">
      <c r="J91" s="1478"/>
      <c r="K91" s="1612"/>
    </row>
    <row r="92" spans="1:29" ht="11.25" customHeight="1">
      <c r="J92" s="1478"/>
      <c r="K92" s="1612"/>
    </row>
    <row r="93" spans="1:29" ht="11.25" customHeight="1">
      <c r="K93" s="1633"/>
    </row>
    <row r="94" spans="1:29" ht="11.25" customHeight="1">
      <c r="K94" s="1633"/>
    </row>
    <row r="95" spans="1:29" ht="11.25" customHeight="1">
      <c r="K95" s="1633"/>
    </row>
    <row r="96" spans="1:29" ht="11.25" customHeight="1">
      <c r="K96" s="1633"/>
    </row>
    <row r="97" spans="11:11" ht="11.25" customHeight="1">
      <c r="K97" s="1633"/>
    </row>
    <row r="98" spans="11:11" ht="11.25" customHeight="1">
      <c r="K98" s="1633"/>
    </row>
    <row r="99" spans="11:11" ht="11.25" customHeight="1">
      <c r="K99" s="1633"/>
    </row>
    <row r="100" spans="11:11" ht="11.25" customHeight="1">
      <c r="K100" s="1633"/>
    </row>
    <row r="101" spans="11:11" ht="11.25" customHeight="1">
      <c r="K101" s="1633"/>
    </row>
    <row r="102" spans="11:11" ht="11.25" customHeight="1">
      <c r="K102" s="1633"/>
    </row>
    <row r="103" spans="11:11" ht="11.25" customHeight="1">
      <c r="K103" s="1633"/>
    </row>
    <row r="104" spans="11:11" ht="11.25" customHeight="1">
      <c r="K104" s="1633"/>
    </row>
    <row r="105" spans="11:11" ht="11.25" customHeight="1">
      <c r="K105" s="1633"/>
    </row>
  </sheetData>
  <autoFilter ref="B18:R89" xr:uid="{00000000-0009-0000-0000-000001000000}">
    <filterColumn colId="14" showButton="0"/>
    <sortState xmlns:xlrd2="http://schemas.microsoft.com/office/spreadsheetml/2017/richdata2" ref="B19:R89">
      <sortCondition sortBy="cellColor" ref="M18:M89" dxfId="6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2522-EED0-4160-A34A-8D8104A309D3}">
  <sheetPr>
    <tabColor rgb="FFFFC000"/>
  </sheetPr>
  <dimension ref="A1:AC95"/>
  <sheetViews>
    <sheetView showGridLines="0" topLeftCell="A25" zoomScale="85" zoomScaleNormal="85" workbookViewId="0">
      <selection activeCell="E13" sqref="E13"/>
    </sheetView>
  </sheetViews>
  <sheetFormatPr defaultColWidth="9" defaultRowHeight="11.25" customHeight="1"/>
  <cols>
    <col min="1" max="1" width="1.69921875" style="1480" customWidth="1"/>
    <col min="2" max="2" width="9.69921875" style="1539" customWidth="1"/>
    <col min="3" max="3" width="24" style="1482" customWidth="1"/>
    <col min="4" max="4" width="15.69921875" style="1478" customWidth="1"/>
    <col min="5" max="5" width="8.5" style="1478" customWidth="1"/>
    <col min="6" max="6" width="15.09765625" style="1478" customWidth="1"/>
    <col min="7" max="7" width="9.796875" style="1484" customWidth="1"/>
    <col min="8" max="8" width="9.69921875" style="1478" customWidth="1"/>
    <col min="9" max="9" width="9.796875" style="1478" customWidth="1"/>
    <col min="10" max="10" width="10.5" style="1484" customWidth="1"/>
    <col min="11" max="11" width="11" style="1537" customWidth="1"/>
    <col min="12" max="12" width="11.09765625" style="1478" customWidth="1"/>
    <col min="13" max="13" width="11.796875" style="1478" bestFit="1" customWidth="1"/>
    <col min="14" max="14" width="12.296875" style="1478" customWidth="1"/>
    <col min="15" max="15" width="13.19921875" style="1478" bestFit="1" customWidth="1"/>
    <col min="16" max="16" width="10.69921875" style="1478" customWidth="1"/>
    <col min="17" max="17" width="9.59765625" style="1478" customWidth="1"/>
    <col min="18" max="18" width="31.5" style="1484" customWidth="1"/>
    <col min="19" max="19" width="10.5" style="1491" bestFit="1" customWidth="1"/>
    <col min="20" max="20" width="9" style="1478"/>
    <col min="21" max="21" width="9" style="1479"/>
    <col min="22" max="16384" width="9" style="1478"/>
  </cols>
  <sheetData>
    <row r="1" spans="1:29" ht="1.5" customHeight="1">
      <c r="A1" s="1465"/>
      <c r="B1" s="1466"/>
      <c r="C1" s="1467"/>
      <c r="D1" s="1468"/>
      <c r="E1" s="1469"/>
      <c r="F1" s="1469"/>
      <c r="G1" s="1470"/>
      <c r="H1" s="1469"/>
      <c r="I1" s="1469"/>
      <c r="J1" s="1471"/>
      <c r="K1" s="1472"/>
      <c r="L1" s="1473"/>
      <c r="M1" s="1474"/>
      <c r="N1" s="1474"/>
      <c r="O1" s="1468"/>
      <c r="P1" s="1475"/>
      <c r="Q1" s="1475"/>
      <c r="R1" s="1476"/>
      <c r="S1" s="1477"/>
    </row>
    <row r="2" spans="1:29" ht="15" customHeight="1">
      <c r="B2" s="1481" t="s">
        <v>1631</v>
      </c>
      <c r="D2" s="1482"/>
      <c r="F2" s="1483"/>
      <c r="G2" s="1484" t="s">
        <v>1047</v>
      </c>
      <c r="H2" s="1485" t="s">
        <v>1398</v>
      </c>
      <c r="I2" s="1486"/>
      <c r="J2" s="1486"/>
      <c r="K2" s="1487"/>
      <c r="L2" s="1486"/>
      <c r="M2" s="1486"/>
      <c r="N2" s="1488"/>
      <c r="O2" s="1489"/>
      <c r="Q2" s="1490"/>
    </row>
    <row r="3" spans="1:29" s="1497" customFormat="1" ht="11.25" customHeight="1">
      <c r="A3" s="1492"/>
      <c r="B3" s="1663" t="s">
        <v>1632</v>
      </c>
      <c r="C3" s="1494"/>
      <c r="D3" s="1494"/>
      <c r="E3" s="1494"/>
      <c r="F3" s="1495">
        <v>1454</v>
      </c>
      <c r="G3" s="1664"/>
      <c r="H3" s="1663" t="s">
        <v>1633</v>
      </c>
      <c r="I3" s="1494"/>
      <c r="K3" s="1498"/>
      <c r="L3" s="1495">
        <v>1470.4</v>
      </c>
      <c r="M3" s="1493"/>
      <c r="N3" s="1493"/>
      <c r="O3" s="1493"/>
      <c r="P3" s="1493"/>
      <c r="Q3" s="1493"/>
      <c r="R3" s="1493"/>
      <c r="T3" s="1493"/>
      <c r="U3" s="1494"/>
      <c r="V3" s="1499"/>
      <c r="W3" s="1499"/>
      <c r="X3" s="1500">
        <v>1327.2</v>
      </c>
    </row>
    <row r="4" spans="1:29" ht="11.25" customHeight="1">
      <c r="A4" s="1465"/>
      <c r="B4" s="1668" t="s">
        <v>1</v>
      </c>
      <c r="C4" s="1669" t="s">
        <v>2</v>
      </c>
      <c r="D4" s="1670" t="s">
        <v>1049</v>
      </c>
      <c r="E4" s="1671" t="s">
        <v>1050</v>
      </c>
      <c r="F4" s="1672" t="s">
        <v>1051</v>
      </c>
      <c r="G4" s="1690"/>
      <c r="H4" s="1674" t="s">
        <v>1</v>
      </c>
      <c r="I4" s="1669" t="s">
        <v>2</v>
      </c>
      <c r="J4" s="1670" t="s">
        <v>1049</v>
      </c>
      <c r="K4" s="1671" t="s">
        <v>1050</v>
      </c>
      <c r="L4" s="1672" t="s">
        <v>1051</v>
      </c>
      <c r="M4" s="1493"/>
      <c r="N4" s="1493"/>
      <c r="O4" s="1493"/>
      <c r="P4" s="1493"/>
      <c r="Q4" s="1493"/>
      <c r="R4" s="1493"/>
      <c r="U4" s="1478"/>
    </row>
    <row r="5" spans="1:29" ht="11.25" customHeight="1">
      <c r="A5" s="1491">
        <v>51131050</v>
      </c>
      <c r="B5" s="1645" t="s">
        <v>1052</v>
      </c>
      <c r="C5" s="1646" t="s">
        <v>12</v>
      </c>
      <c r="D5" s="1647"/>
      <c r="E5" s="1648"/>
      <c r="F5" s="1649">
        <f>ROUND(E5*$F$3,0)</f>
        <v>0</v>
      </c>
      <c r="G5" s="1665">
        <v>51131050</v>
      </c>
      <c r="H5" s="1650" t="s">
        <v>11</v>
      </c>
      <c r="I5" s="1650" t="s">
        <v>12</v>
      </c>
      <c r="J5" s="1647">
        <v>32963.729999999996</v>
      </c>
      <c r="K5" s="1651">
        <v>4675.91</v>
      </c>
      <c r="L5" s="1652">
        <f>ROUND(K5*$L$3,0)</f>
        <v>6875458</v>
      </c>
      <c r="M5" s="1493"/>
      <c r="N5" s="1493"/>
      <c r="O5" s="1493"/>
      <c r="P5" s="1493"/>
      <c r="Q5" s="1493"/>
      <c r="R5" s="1493"/>
      <c r="S5" s="1517">
        <f>F5+L5+R5</f>
        <v>6875458</v>
      </c>
      <c r="U5" s="1478"/>
    </row>
    <row r="6" spans="1:29" ht="11.25" customHeight="1">
      <c r="A6" s="1491">
        <v>51061030</v>
      </c>
      <c r="B6" s="1645" t="s">
        <v>1053</v>
      </c>
      <c r="C6" s="1646" t="s">
        <v>1054</v>
      </c>
      <c r="D6" s="1647">
        <v>2400</v>
      </c>
      <c r="E6" s="1647">
        <v>338.79</v>
      </c>
      <c r="F6" s="1649">
        <f t="shared" ref="F6:F10" si="0">ROUND(E6*$F$3,0)</f>
        <v>492601</v>
      </c>
      <c r="G6" s="1665">
        <v>51061030</v>
      </c>
      <c r="H6" s="1650" t="s">
        <v>13</v>
      </c>
      <c r="I6" s="1650" t="s">
        <v>14</v>
      </c>
      <c r="J6" s="1647">
        <v>46458.070000000007</v>
      </c>
      <c r="K6" s="1651">
        <v>6590.08</v>
      </c>
      <c r="L6" s="1652">
        <f t="shared" ref="L6:L12" si="1">ROUND(K6*$L$3,0)</f>
        <v>9690054</v>
      </c>
      <c r="M6" s="1493"/>
      <c r="N6" s="1493"/>
      <c r="O6" s="1493"/>
      <c r="P6" s="1493"/>
      <c r="Q6" s="1493"/>
      <c r="R6" s="1493"/>
      <c r="S6" s="1517">
        <f t="shared" ref="S6:S8" si="2">F6+L6+R6</f>
        <v>10182655</v>
      </c>
      <c r="U6" s="1478"/>
      <c r="AB6" s="1486"/>
      <c r="AC6" s="1484"/>
    </row>
    <row r="7" spans="1:29" ht="11.25" customHeight="1">
      <c r="A7" s="1491">
        <v>51201020</v>
      </c>
      <c r="B7" s="1645" t="s">
        <v>15</v>
      </c>
      <c r="C7" s="1646" t="s">
        <v>180</v>
      </c>
      <c r="D7" s="1647">
        <v>25099</v>
      </c>
      <c r="E7" s="1647">
        <v>3543</v>
      </c>
      <c r="F7" s="1649">
        <f t="shared" si="0"/>
        <v>5151522</v>
      </c>
      <c r="G7" s="1665">
        <v>51201020</v>
      </c>
      <c r="H7" s="1650" t="s">
        <v>15</v>
      </c>
      <c r="I7" s="1650" t="s">
        <v>1055</v>
      </c>
      <c r="J7" s="1653"/>
      <c r="K7" s="1654"/>
      <c r="L7" s="1652">
        <f t="shared" si="1"/>
        <v>0</v>
      </c>
      <c r="M7" s="1493"/>
      <c r="N7" s="1493"/>
      <c r="O7" s="1493"/>
      <c r="P7" s="1493"/>
      <c r="Q7" s="1493"/>
      <c r="R7" s="1493"/>
      <c r="S7" s="1517">
        <f t="shared" si="2"/>
        <v>5151522</v>
      </c>
      <c r="U7" s="1478"/>
    </row>
    <row r="8" spans="1:29" ht="13.05" customHeight="1">
      <c r="A8" s="1491">
        <v>51201030</v>
      </c>
      <c r="B8" s="1645" t="s">
        <v>1056</v>
      </c>
      <c r="C8" s="1646" t="s">
        <v>17</v>
      </c>
      <c r="D8" s="1647"/>
      <c r="E8" s="1647"/>
      <c r="F8" s="1649">
        <f t="shared" si="0"/>
        <v>0</v>
      </c>
      <c r="G8" s="1665">
        <v>51201030</v>
      </c>
      <c r="H8" s="1650" t="s">
        <v>15</v>
      </c>
      <c r="I8" s="1646" t="s">
        <v>17</v>
      </c>
      <c r="J8" s="1653">
        <v>20000</v>
      </c>
      <c r="K8" s="1654">
        <v>2837</v>
      </c>
      <c r="L8" s="1652">
        <f t="shared" si="1"/>
        <v>4171525</v>
      </c>
      <c r="M8" s="1493"/>
      <c r="N8" s="1493"/>
      <c r="O8" s="1493"/>
      <c r="P8" s="1493"/>
      <c r="Q8" s="1493"/>
      <c r="R8" s="1493"/>
      <c r="S8" s="1517">
        <f t="shared" si="2"/>
        <v>4171525</v>
      </c>
      <c r="U8" s="1478"/>
    </row>
    <row r="9" spans="1:29" ht="11.25" customHeight="1">
      <c r="A9" s="1491">
        <v>51071700</v>
      </c>
      <c r="B9" s="1645" t="s">
        <v>19</v>
      </c>
      <c r="C9" s="1646" t="s">
        <v>20</v>
      </c>
      <c r="D9" s="1647"/>
      <c r="E9" s="1647"/>
      <c r="F9" s="1649">
        <f t="shared" si="0"/>
        <v>0</v>
      </c>
      <c r="G9" s="1665">
        <v>51071700</v>
      </c>
      <c r="H9" s="1650" t="s">
        <v>19</v>
      </c>
      <c r="I9" s="1646" t="s">
        <v>20</v>
      </c>
      <c r="J9" s="1653">
        <v>2621.1800000000003</v>
      </c>
      <c r="K9" s="1654">
        <v>371.81</v>
      </c>
      <c r="L9" s="1652">
        <f t="shared" si="1"/>
        <v>546709</v>
      </c>
      <c r="M9" s="1493"/>
      <c r="N9" s="1493"/>
      <c r="O9" s="1493"/>
      <c r="P9" s="1493"/>
      <c r="Q9" s="1493"/>
      <c r="R9" s="1493"/>
      <c r="S9" s="1517"/>
      <c r="U9" s="1478"/>
    </row>
    <row r="10" spans="1:29" ht="11.25" customHeight="1">
      <c r="A10" s="1491">
        <v>51321010</v>
      </c>
      <c r="B10" s="1645" t="s">
        <v>21</v>
      </c>
      <c r="C10" s="1646"/>
      <c r="D10" s="1647">
        <v>1294.9421201200316</v>
      </c>
      <c r="E10" s="1647">
        <v>182.8</v>
      </c>
      <c r="F10" s="1649">
        <f t="shared" si="0"/>
        <v>265791</v>
      </c>
      <c r="G10" s="1666">
        <v>51321010</v>
      </c>
      <c r="H10" s="1650" t="s">
        <v>21</v>
      </c>
      <c r="I10" s="1650"/>
      <c r="J10" s="1647">
        <v>295969.49</v>
      </c>
      <c r="K10" s="1651">
        <v>42008.27</v>
      </c>
      <c r="L10" s="1652">
        <f t="shared" si="1"/>
        <v>61768960</v>
      </c>
      <c r="M10" s="1493"/>
      <c r="N10" s="1493"/>
      <c r="O10" s="1493"/>
      <c r="P10" s="1493"/>
      <c r="Q10" s="1493"/>
      <c r="R10" s="1493"/>
      <c r="S10" s="1517"/>
      <c r="U10" s="1478"/>
      <c r="AB10" s="1486"/>
      <c r="AC10" s="1484"/>
    </row>
    <row r="11" spans="1:29" ht="11.25" customHeight="1">
      <c r="A11" s="1491">
        <v>51031020</v>
      </c>
      <c r="B11" s="1655" t="s">
        <v>1057</v>
      </c>
      <c r="C11" s="1656" t="s">
        <v>1058</v>
      </c>
      <c r="D11" s="1655"/>
      <c r="E11" s="1655"/>
      <c r="F11" s="1657"/>
      <c r="G11" s="1667"/>
      <c r="H11" s="1655" t="s">
        <v>1057</v>
      </c>
      <c r="I11" s="1655" t="s">
        <v>1279</v>
      </c>
      <c r="J11" s="1658"/>
      <c r="K11" s="1659"/>
      <c r="L11" s="1657">
        <f t="shared" si="1"/>
        <v>0</v>
      </c>
      <c r="M11" s="1493"/>
      <c r="N11" s="1493"/>
      <c r="O11" s="1493"/>
      <c r="P11" s="1493"/>
      <c r="Q11" s="1526"/>
      <c r="R11" s="1493"/>
      <c r="S11" s="1517"/>
      <c r="U11" s="1478"/>
      <c r="AB11" s="1486"/>
      <c r="AC11" s="1484"/>
    </row>
    <row r="12" spans="1:29" ht="11.25" customHeight="1">
      <c r="A12" s="1491">
        <v>52981010</v>
      </c>
      <c r="B12" s="1650" t="s">
        <v>1626</v>
      </c>
      <c r="C12" s="1646" t="s">
        <v>1060</v>
      </c>
      <c r="D12" s="1647">
        <v>43.99</v>
      </c>
      <c r="E12" s="1647">
        <v>6.21</v>
      </c>
      <c r="F12" s="1649">
        <v>9029</v>
      </c>
      <c r="G12" s="1667">
        <v>52981010</v>
      </c>
      <c r="H12" s="1650" t="s">
        <v>1626</v>
      </c>
      <c r="I12" s="1650" t="s">
        <v>1060</v>
      </c>
      <c r="J12" s="1660"/>
      <c r="K12" s="1647"/>
      <c r="L12" s="1652">
        <f t="shared" si="1"/>
        <v>0</v>
      </c>
      <c r="M12" s="1493"/>
      <c r="N12" s="1493"/>
      <c r="O12" s="1493"/>
      <c r="P12" s="1493"/>
      <c r="Q12" s="1526"/>
      <c r="R12" s="1493"/>
      <c r="S12" s="1517"/>
      <c r="U12" s="1478"/>
      <c r="AB12" s="1486"/>
      <c r="AC12" s="1484"/>
    </row>
    <row r="13" spans="1:29" s="1484" customFormat="1" ht="8.5500000000000007" customHeight="1">
      <c r="A13" s="1528"/>
      <c r="B13" s="1661" t="s">
        <v>22</v>
      </c>
      <c r="C13" s="1662"/>
      <c r="D13" s="1675">
        <f>SUM(D5:D11)</f>
        <v>28793.942120120031</v>
      </c>
      <c r="E13" s="1675">
        <f>SUM(E5:E11)</f>
        <v>4064.59</v>
      </c>
      <c r="F13" s="1676">
        <f>SUM(F5:F11)</f>
        <v>5909914</v>
      </c>
      <c r="G13" s="1667"/>
      <c r="H13" s="1678" t="s">
        <v>22</v>
      </c>
      <c r="I13" s="1679"/>
      <c r="J13" s="1675">
        <f>SUM(J5:J11)-J12</f>
        <v>398012.47</v>
      </c>
      <c r="K13" s="1671">
        <f>SUM(K5:K11)-K12</f>
        <v>56483.069999999992</v>
      </c>
      <c r="L13" s="1680">
        <f>SUM(L5:L11)-L12</f>
        <v>83052706</v>
      </c>
      <c r="M13" s="1644"/>
      <c r="N13" s="1497"/>
      <c r="O13" s="1497"/>
      <c r="P13" s="1497"/>
      <c r="R13" s="1497"/>
      <c r="S13" s="1517"/>
      <c r="U13" s="1535"/>
      <c r="X13" s="1526" t="e">
        <f>F13+#REF!</f>
        <v>#REF!</v>
      </c>
      <c r="Y13" s="1536"/>
      <c r="Z13" s="1537"/>
      <c r="AB13" s="1538"/>
    </row>
    <row r="14" spans="1:29" ht="8.5500000000000007" customHeight="1">
      <c r="A14" s="1465"/>
      <c r="D14" s="1540">
        <f>D13-D12</f>
        <v>28749.95212012003</v>
      </c>
      <c r="E14" s="1540">
        <f>E13-E12</f>
        <v>4058.38</v>
      </c>
      <c r="F14" s="1540">
        <f>F13-F12</f>
        <v>5900885</v>
      </c>
      <c r="G14" s="1541"/>
      <c r="J14" s="1542">
        <f>J13+D13+P13</f>
        <v>426806.41212012002</v>
      </c>
      <c r="K14" s="1542">
        <f t="shared" ref="K14:L14" si="3">K13+E13+Q13</f>
        <v>60547.659999999989</v>
      </c>
      <c r="L14" s="1542">
        <f t="shared" si="3"/>
        <v>88962620</v>
      </c>
      <c r="M14" s="1497"/>
      <c r="N14" s="1497"/>
      <c r="O14" s="1497"/>
      <c r="P14" s="1497"/>
      <c r="Q14" s="1526"/>
      <c r="R14" s="1493"/>
      <c r="X14" s="1486"/>
      <c r="Y14" s="1486"/>
      <c r="AB14" s="1486"/>
      <c r="AC14" s="1484"/>
    </row>
    <row r="15" spans="1:29" ht="11.1" customHeight="1">
      <c r="A15" s="1465"/>
      <c r="D15" s="1540"/>
      <c r="E15" s="1540"/>
      <c r="F15" s="1540"/>
      <c r="G15" s="1541"/>
      <c r="J15" s="1627"/>
      <c r="K15" s="1535"/>
      <c r="L15" s="1543"/>
      <c r="M15" s="1535"/>
      <c r="O15" s="1526"/>
      <c r="P15" s="1526"/>
      <c r="Q15" s="1526"/>
      <c r="R15" s="1544"/>
      <c r="X15" s="1486"/>
      <c r="Y15" s="1486"/>
      <c r="AB15" s="1486"/>
      <c r="AC15" s="1484"/>
    </row>
    <row r="16" spans="1:29" ht="11.1" customHeight="1">
      <c r="A16" s="1465"/>
      <c r="D16" s="1482"/>
      <c r="E16" s="1545"/>
      <c r="F16" s="1545"/>
      <c r="G16" s="1541"/>
      <c r="I16" s="1486"/>
      <c r="J16" s="1538"/>
      <c r="K16" s="1626">
        <f>SUBTOTAL(9,K19:K93)</f>
        <v>426806.41000000003</v>
      </c>
      <c r="L16" s="1546"/>
      <c r="M16" s="1626">
        <f>SUBTOTAL(9,M19:M93)</f>
        <v>60547.658536705501</v>
      </c>
      <c r="N16" s="1486"/>
      <c r="Q16" s="1486"/>
      <c r="U16" s="1478"/>
    </row>
    <row r="17" spans="1:29" ht="11.55" customHeight="1">
      <c r="A17" s="1465"/>
      <c r="B17" s="1547" t="s">
        <v>24</v>
      </c>
      <c r="C17" s="1548" t="s">
        <v>25</v>
      </c>
      <c r="D17" s="1692" t="s">
        <v>1061</v>
      </c>
      <c r="E17" s="1550" t="s">
        <v>26</v>
      </c>
      <c r="F17" s="1692" t="s">
        <v>1</v>
      </c>
      <c r="G17" s="1551" t="s">
        <v>2</v>
      </c>
      <c r="H17" s="2096" t="s">
        <v>29</v>
      </c>
      <c r="I17" s="2096"/>
      <c r="J17" s="2096"/>
      <c r="K17" s="2096" t="s">
        <v>30</v>
      </c>
      <c r="L17" s="2096"/>
      <c r="M17" s="2097"/>
      <c r="N17" s="2098" t="s">
        <v>31</v>
      </c>
      <c r="O17" s="2098"/>
      <c r="P17" s="2099"/>
      <c r="Q17" s="2099"/>
      <c r="R17" s="1551" t="s">
        <v>1062</v>
      </c>
      <c r="U17" s="1478"/>
    </row>
    <row r="18" spans="1:29" ht="11.1" customHeight="1">
      <c r="A18" s="1465"/>
      <c r="B18" s="1552" t="s">
        <v>1063</v>
      </c>
      <c r="C18" s="1553" t="s">
        <v>1064</v>
      </c>
      <c r="D18" s="1693" t="s">
        <v>1065</v>
      </c>
      <c r="E18" s="1555" t="s">
        <v>1066</v>
      </c>
      <c r="F18" s="1556" t="s">
        <v>1067</v>
      </c>
      <c r="G18" s="1557" t="s">
        <v>1068</v>
      </c>
      <c r="H18" s="1558" t="s">
        <v>1069</v>
      </c>
      <c r="I18" s="1558" t="s">
        <v>1070</v>
      </c>
      <c r="J18" s="1559" t="s">
        <v>34</v>
      </c>
      <c r="K18" s="1559" t="s">
        <v>1069</v>
      </c>
      <c r="L18" s="1558" t="s">
        <v>1070</v>
      </c>
      <c r="M18" s="1560" t="s">
        <v>34</v>
      </c>
      <c r="N18" s="1691" t="s">
        <v>1069</v>
      </c>
      <c r="O18" s="1691" t="s">
        <v>34</v>
      </c>
      <c r="P18" s="2100" t="s">
        <v>32</v>
      </c>
      <c r="Q18" s="2100"/>
      <c r="R18" s="1562" t="s">
        <v>1062</v>
      </c>
      <c r="U18" s="1478"/>
    </row>
    <row r="19" spans="1:29" ht="11.25" customHeight="1">
      <c r="B19" s="1563">
        <v>45991</v>
      </c>
      <c r="C19" s="1564"/>
      <c r="D19" s="1565"/>
      <c r="E19" s="1564"/>
      <c r="F19" s="1566"/>
      <c r="G19" s="1567"/>
      <c r="H19" s="1568"/>
      <c r="I19" s="1565"/>
      <c r="J19" s="1567"/>
      <c r="K19" s="1569"/>
      <c r="L19" s="1570"/>
      <c r="M19" s="1571"/>
      <c r="N19" s="1572">
        <v>28749.890000000509</v>
      </c>
      <c r="O19" s="1572">
        <v>4058.3775167954154</v>
      </c>
      <c r="P19" s="1573"/>
      <c r="Q19" s="1564"/>
      <c r="R19" s="1574"/>
      <c r="S19" s="1575">
        <v>4058.3775167954154</v>
      </c>
      <c r="U19" s="1478"/>
    </row>
    <row r="20" spans="1:29" s="1479" customFormat="1" ht="11.25" customHeight="1">
      <c r="A20" s="1480"/>
      <c r="B20" s="1576">
        <v>46002</v>
      </c>
      <c r="C20" s="1577" t="s">
        <v>1088</v>
      </c>
      <c r="D20" s="1578"/>
      <c r="E20" s="1579">
        <v>1</v>
      </c>
      <c r="F20" s="1580"/>
      <c r="G20" s="1581"/>
      <c r="H20" s="1582">
        <v>428211.47</v>
      </c>
      <c r="I20" s="1582"/>
      <c r="J20" s="1582">
        <v>60766.8</v>
      </c>
      <c r="K20" s="1583"/>
      <c r="L20" s="1324">
        <f>'[5]통장내역(환율표)'!$D$35</f>
        <v>7.0840999885150238</v>
      </c>
      <c r="M20" s="1096">
        <f>K20/L20</f>
        <v>0</v>
      </c>
      <c r="N20" s="1585">
        <f>N19+H20-K20</f>
        <v>456961.36000000045</v>
      </c>
      <c r="O20" s="1585">
        <f>O19+J20-M20</f>
        <v>64825.177516795418</v>
      </c>
      <c r="P20" s="1586"/>
      <c r="Q20" s="1587"/>
      <c r="R20" s="1588"/>
      <c r="S20" s="1589"/>
      <c r="T20" s="1478"/>
      <c r="U20" s="1478"/>
      <c r="V20" s="1478"/>
      <c r="W20" s="1478"/>
      <c r="X20" s="1478"/>
      <c r="Y20" s="1478"/>
      <c r="Z20" s="1478"/>
      <c r="AA20" s="1478"/>
      <c r="AB20" s="1478"/>
      <c r="AC20" s="1478"/>
    </row>
    <row r="21" spans="1:29" s="1479" customFormat="1" ht="11.25" customHeight="1">
      <c r="A21" s="1480"/>
      <c r="B21" s="1576">
        <v>46002</v>
      </c>
      <c r="C21" s="1577" t="s">
        <v>1088</v>
      </c>
      <c r="D21" s="1578"/>
      <c r="E21" s="1579"/>
      <c r="F21" s="1580" t="s">
        <v>107</v>
      </c>
      <c r="G21" s="1581"/>
      <c r="H21" s="1582"/>
      <c r="I21" s="1582"/>
      <c r="J21" s="1582"/>
      <c r="K21" s="1583"/>
      <c r="L21" s="1324"/>
      <c r="M21" s="1681">
        <v>25</v>
      </c>
      <c r="N21" s="1585">
        <f>N20+H21-K21</f>
        <v>456961.36000000045</v>
      </c>
      <c r="O21" s="1585">
        <f>O20+J21-M21</f>
        <v>64800.177516795418</v>
      </c>
      <c r="P21" s="1586"/>
      <c r="Q21" s="1587"/>
      <c r="R21" s="1588"/>
      <c r="T21" s="1478"/>
      <c r="U21" s="1478"/>
      <c r="V21" s="1478"/>
      <c r="W21" s="1478"/>
      <c r="X21" s="1478"/>
      <c r="Y21" s="1478"/>
      <c r="Z21" s="1478"/>
      <c r="AA21" s="1478"/>
      <c r="AB21" s="1478"/>
      <c r="AC21" s="1478"/>
    </row>
    <row r="22" spans="1:29" s="1479" customFormat="1" ht="11.25" customHeight="1">
      <c r="A22" s="1480"/>
      <c r="B22" s="1576">
        <v>46006</v>
      </c>
      <c r="C22" s="1577" t="s">
        <v>1464</v>
      </c>
      <c r="D22" s="1578"/>
      <c r="E22" s="1579">
        <v>2</v>
      </c>
      <c r="F22" s="1580" t="s">
        <v>105</v>
      </c>
      <c r="G22" s="1581" t="s">
        <v>1122</v>
      </c>
      <c r="H22" s="1582"/>
      <c r="I22" s="1582"/>
      <c r="J22" s="1582"/>
      <c r="K22" s="1583">
        <v>25099</v>
      </c>
      <c r="L22" s="1324">
        <f>'[5]통장내역(환율표)'!$D$35</f>
        <v>7.0840999885150238</v>
      </c>
      <c r="M22" s="1096">
        <f>K22/L22</f>
        <v>3543.0047628762054</v>
      </c>
      <c r="N22" s="1585">
        <f>N21+H22-K22</f>
        <v>431862.36000000045</v>
      </c>
      <c r="O22" s="1585">
        <f>O21+J22-M22</f>
        <v>61257.172753919214</v>
      </c>
      <c r="P22" s="1586"/>
      <c r="Q22" s="1587"/>
      <c r="R22" s="1588"/>
      <c r="S22" s="1589">
        <f>S19-M22+J22</f>
        <v>515.37275391921003</v>
      </c>
      <c r="T22" s="1478"/>
      <c r="U22" s="1478"/>
      <c r="V22" s="1478"/>
      <c r="W22" s="1478"/>
      <c r="X22" s="1478"/>
      <c r="Y22" s="1478"/>
      <c r="Z22" s="1478"/>
      <c r="AA22" s="1478"/>
      <c r="AB22" s="1478"/>
      <c r="AC22" s="1478"/>
    </row>
    <row r="23" spans="1:29" s="1479" customFormat="1" ht="11.25" customHeight="1">
      <c r="A23" s="1480"/>
      <c r="B23" s="1576">
        <v>46006</v>
      </c>
      <c r="C23" s="1577" t="s">
        <v>250</v>
      </c>
      <c r="D23" s="1578"/>
      <c r="E23" s="1579">
        <v>3</v>
      </c>
      <c r="F23" s="1580" t="s">
        <v>107</v>
      </c>
      <c r="G23" s="1581"/>
      <c r="H23" s="1582"/>
      <c r="I23" s="1582"/>
      <c r="J23" s="1582"/>
      <c r="K23" s="1583">
        <v>7.2</v>
      </c>
      <c r="L23" s="1324">
        <f>'[5]통장내역(환율표)'!$D$35</f>
        <v>7.0840999885150238</v>
      </c>
      <c r="M23" s="1096">
        <f>K23/L23</f>
        <v>1.0163605837965128</v>
      </c>
      <c r="N23" s="1585">
        <f t="shared" ref="N23:N86" si="4">N22+H23-K23</f>
        <v>431855.16000000044</v>
      </c>
      <c r="O23" s="1585">
        <f t="shared" ref="O23:O86" si="5">O22+J23-M23</f>
        <v>61256.156393335419</v>
      </c>
      <c r="P23" s="1591"/>
      <c r="Q23" s="1587"/>
      <c r="R23" s="1587"/>
      <c r="S23" s="1589">
        <f t="shared" ref="S23:S28" si="6">S22-M23+J23</f>
        <v>514.35639333541349</v>
      </c>
      <c r="T23" s="1478"/>
      <c r="U23" s="1478"/>
      <c r="V23" s="1478"/>
      <c r="W23" s="1478"/>
      <c r="X23" s="1478"/>
      <c r="Y23" s="1478"/>
      <c r="Z23" s="1478"/>
      <c r="AA23" s="1478"/>
      <c r="AB23" s="1478"/>
      <c r="AC23" s="1478"/>
    </row>
    <row r="24" spans="1:29" s="1479" customFormat="1" ht="11.25" customHeight="1">
      <c r="A24" s="1480"/>
      <c r="B24" s="1576">
        <v>46006</v>
      </c>
      <c r="C24" s="1577" t="s">
        <v>1576</v>
      </c>
      <c r="D24" s="1578"/>
      <c r="E24" s="1579">
        <v>4</v>
      </c>
      <c r="F24" s="1580" t="s">
        <v>146</v>
      </c>
      <c r="G24" s="1581" t="s">
        <v>147</v>
      </c>
      <c r="H24" s="1582"/>
      <c r="I24" s="1582"/>
      <c r="J24" s="1582"/>
      <c r="K24" s="1583">
        <v>2400</v>
      </c>
      <c r="L24" s="1324">
        <f>'[5]통장내역(환율표)'!$D$35</f>
        <v>7.0840999885150238</v>
      </c>
      <c r="M24" s="1096">
        <f>K24/L24</f>
        <v>338.78686126550429</v>
      </c>
      <c r="N24" s="1585">
        <f t="shared" si="4"/>
        <v>429455.16000000044</v>
      </c>
      <c r="O24" s="1585">
        <f t="shared" si="5"/>
        <v>60917.369532069912</v>
      </c>
      <c r="P24" s="1591"/>
      <c r="Q24" s="1587"/>
      <c r="R24" s="1587"/>
      <c r="S24" s="1589">
        <f t="shared" si="6"/>
        <v>175.5695320699092</v>
      </c>
      <c r="T24" s="1478"/>
      <c r="U24" s="1478"/>
      <c r="V24" s="1478"/>
      <c r="W24" s="1478"/>
      <c r="X24" s="1478"/>
      <c r="Y24" s="1478"/>
      <c r="Z24" s="1478"/>
      <c r="AA24" s="1478"/>
      <c r="AB24" s="1478"/>
      <c r="AC24" s="1478"/>
    </row>
    <row r="25" spans="1:29" s="1479" customFormat="1" ht="11.25" customHeight="1">
      <c r="A25" s="1480"/>
      <c r="B25" s="1576">
        <v>46006</v>
      </c>
      <c r="C25" s="1577" t="s">
        <v>250</v>
      </c>
      <c r="D25" s="1578"/>
      <c r="E25" s="1579">
        <v>5</v>
      </c>
      <c r="F25" s="1580" t="s">
        <v>107</v>
      </c>
      <c r="G25" s="1581"/>
      <c r="H25" s="1582"/>
      <c r="I25" s="1582"/>
      <c r="J25" s="1582"/>
      <c r="K25" s="1583">
        <v>3.6</v>
      </c>
      <c r="L25" s="1324">
        <f>'[5]통장내역(환율표)'!$D$35</f>
        <v>7.0840999885150238</v>
      </c>
      <c r="M25" s="1096">
        <f>K25/L25</f>
        <v>0.50818029189825642</v>
      </c>
      <c r="N25" s="1585">
        <f t="shared" si="4"/>
        <v>429451.56000000046</v>
      </c>
      <c r="O25" s="1585">
        <f t="shared" si="5"/>
        <v>60916.86135177801</v>
      </c>
      <c r="P25" s="1591"/>
      <c r="Q25" s="1587"/>
      <c r="R25" s="1587"/>
      <c r="S25" s="1589">
        <f t="shared" si="6"/>
        <v>175.06135177801093</v>
      </c>
      <c r="T25" s="1478"/>
      <c r="U25" s="1478"/>
      <c r="V25" s="1478"/>
      <c r="W25" s="1478"/>
      <c r="X25" s="1478"/>
      <c r="Y25" s="1478"/>
      <c r="Z25" s="1478"/>
      <c r="AA25" s="1478"/>
      <c r="AB25" s="1478"/>
      <c r="AC25" s="1478"/>
    </row>
    <row r="26" spans="1:29" s="1479" customFormat="1" ht="11.25" customHeight="1">
      <c r="A26" s="1480"/>
      <c r="B26" s="1576">
        <v>46012</v>
      </c>
      <c r="C26" s="1592" t="s">
        <v>877</v>
      </c>
      <c r="D26" s="1578"/>
      <c r="E26" s="1579">
        <v>6</v>
      </c>
      <c r="F26" s="1580"/>
      <c r="G26" s="1581"/>
      <c r="H26" s="1582">
        <v>43.99</v>
      </c>
      <c r="I26" s="1324">
        <f>'[5]통장내역(환율표)'!$D$35</f>
        <v>7.0840999885150238</v>
      </c>
      <c r="J26" s="1582">
        <f>H26/I26</f>
        <v>6.209680844612306</v>
      </c>
      <c r="K26" s="1583"/>
      <c r="L26" s="1324">
        <f>'[5]통장내역(환율표)'!$D$35</f>
        <v>7.0840999885150238</v>
      </c>
      <c r="M26" s="1096">
        <f>K26/L26</f>
        <v>0</v>
      </c>
      <c r="N26" s="1585">
        <f t="shared" si="4"/>
        <v>429495.55000000045</v>
      </c>
      <c r="O26" s="1585">
        <f t="shared" si="5"/>
        <v>60923.071032622625</v>
      </c>
      <c r="P26" s="1591"/>
      <c r="Q26" s="1587"/>
      <c r="R26" s="1587"/>
      <c r="S26" s="1589">
        <f t="shared" si="6"/>
        <v>181.27103262262324</v>
      </c>
      <c r="T26" s="1478"/>
      <c r="U26" s="1478"/>
      <c r="V26" s="1478"/>
      <c r="W26" s="1478"/>
      <c r="X26" s="1478"/>
      <c r="Y26" s="1478"/>
      <c r="Z26" s="1478"/>
      <c r="AA26" s="1478"/>
      <c r="AB26" s="1478"/>
      <c r="AC26" s="1478"/>
    </row>
    <row r="27" spans="1:29" s="1479" customFormat="1" ht="11.25" customHeight="1">
      <c r="A27" s="1480"/>
      <c r="B27" s="1576">
        <v>46013</v>
      </c>
      <c r="C27" s="1577" t="s">
        <v>352</v>
      </c>
      <c r="D27" s="1578"/>
      <c r="E27" s="1579">
        <v>7</v>
      </c>
      <c r="F27" s="1580" t="s">
        <v>107</v>
      </c>
      <c r="G27" s="1581"/>
      <c r="H27" s="1582"/>
      <c r="I27" s="1590"/>
      <c r="J27" s="1582"/>
      <c r="K27" s="1583">
        <f>L27*M27</f>
        <v>1010.0000000000001</v>
      </c>
      <c r="L27" s="1324">
        <f>'[5]통장내역(환율표)'!$D$35</f>
        <v>7.0840999885150238</v>
      </c>
      <c r="M27" s="1096">
        <v>142.57280411589974</v>
      </c>
      <c r="N27" s="1585">
        <f t="shared" si="4"/>
        <v>428485.55000000045</v>
      </c>
      <c r="O27" s="1585">
        <f t="shared" si="5"/>
        <v>60780.498228506724</v>
      </c>
      <c r="P27" s="1591"/>
      <c r="Q27" s="1587"/>
      <c r="R27" s="1587"/>
      <c r="S27" s="1589">
        <f t="shared" si="6"/>
        <v>38.698228506723495</v>
      </c>
      <c r="T27" s="1478"/>
      <c r="U27" s="1478"/>
      <c r="V27" s="1478"/>
      <c r="W27" s="1478"/>
      <c r="X27" s="1478"/>
      <c r="Y27" s="1478"/>
      <c r="Z27" s="1478"/>
      <c r="AA27" s="1478"/>
      <c r="AB27" s="1478"/>
      <c r="AC27" s="1478"/>
    </row>
    <row r="28" spans="1:29" s="1479" customFormat="1" ht="11.25" customHeight="1">
      <c r="A28" s="1480"/>
      <c r="B28" s="1613">
        <v>46013</v>
      </c>
      <c r="C28" s="1684" t="s">
        <v>1628</v>
      </c>
      <c r="D28" s="1615"/>
      <c r="E28" s="1616">
        <v>8</v>
      </c>
      <c r="F28" s="1617" t="s">
        <v>107</v>
      </c>
      <c r="G28" s="1618"/>
      <c r="H28" s="1619"/>
      <c r="I28" s="1683"/>
      <c r="J28" s="1619"/>
      <c r="K28" s="1620">
        <f>L28*M28</f>
        <v>274.14212012003168</v>
      </c>
      <c r="L28" s="1621">
        <f>'[5]통장내역(환율표)'!$D$35</f>
        <v>7.0840999885150238</v>
      </c>
      <c r="M28" s="1096">
        <v>38.698228506723495</v>
      </c>
      <c r="N28" s="1622">
        <f t="shared" si="4"/>
        <v>428211.4078798804</v>
      </c>
      <c r="O28" s="1622">
        <f t="shared" si="5"/>
        <v>60741.8</v>
      </c>
      <c r="P28" s="1623"/>
      <c r="Q28" s="1624"/>
      <c r="R28" s="1624"/>
      <c r="S28" s="1589">
        <f t="shared" si="6"/>
        <v>0</v>
      </c>
      <c r="T28" s="1478"/>
      <c r="U28" s="1478"/>
      <c r="V28" s="1478"/>
      <c r="W28" s="1478"/>
      <c r="X28" s="1478"/>
      <c r="Y28" s="1478"/>
      <c r="Z28" s="1478"/>
      <c r="AA28" s="1478"/>
      <c r="AB28" s="1478"/>
      <c r="AC28" s="1478"/>
    </row>
    <row r="29" spans="1:29" s="1479" customFormat="1" ht="11.25" customHeight="1">
      <c r="A29" s="1480"/>
      <c r="B29" s="1613">
        <v>46013</v>
      </c>
      <c r="C29" s="1684" t="s">
        <v>1628</v>
      </c>
      <c r="D29" s="1615"/>
      <c r="E29" s="1616">
        <v>8</v>
      </c>
      <c r="F29" s="1617" t="s">
        <v>107</v>
      </c>
      <c r="G29" s="1618"/>
      <c r="H29" s="1619"/>
      <c r="I29" s="1683"/>
      <c r="J29" s="1619"/>
      <c r="K29" s="1620">
        <f>7070-K28</f>
        <v>6795.8578798799681</v>
      </c>
      <c r="L29" s="1621">
        <f>'[5]통장내역(환율표)'!$D$41</f>
        <v>7.0497000418163429</v>
      </c>
      <c r="M29" s="1681">
        <f t="shared" ref="M29:M92" si="7">K29/L29</f>
        <v>963.99248756249597</v>
      </c>
      <c r="N29" s="1622">
        <f t="shared" si="4"/>
        <v>421415.55000000045</v>
      </c>
      <c r="O29" s="1622">
        <f t="shared" si="5"/>
        <v>59777.80751243751</v>
      </c>
      <c r="P29" s="1623"/>
      <c r="Q29" s="1624"/>
      <c r="R29" s="1624"/>
      <c r="S29" s="1589">
        <f>60741.8-M29</f>
        <v>59777.80751243751</v>
      </c>
      <c r="T29" s="1478"/>
      <c r="U29" s="1478"/>
      <c r="V29" s="1478"/>
      <c r="W29" s="1478"/>
      <c r="X29" s="1478"/>
      <c r="Y29" s="1478"/>
      <c r="Z29" s="1478"/>
      <c r="AA29" s="1478"/>
      <c r="AB29" s="1478"/>
      <c r="AC29" s="1478"/>
    </row>
    <row r="30" spans="1:29" s="1479" customFormat="1" ht="11.25" customHeight="1">
      <c r="A30" s="1480"/>
      <c r="B30" s="1576">
        <v>46013</v>
      </c>
      <c r="C30" s="1577" t="s">
        <v>250</v>
      </c>
      <c r="D30" s="1578"/>
      <c r="E30" s="1579">
        <v>9</v>
      </c>
      <c r="F30" s="1580" t="s">
        <v>107</v>
      </c>
      <c r="G30" s="1581"/>
      <c r="H30" s="1582"/>
      <c r="I30" s="1590"/>
      <c r="J30" s="1582"/>
      <c r="K30" s="1583">
        <v>3.6</v>
      </c>
      <c r="L30" s="1324">
        <f>'[5]통장내역(환율표)'!$D$41</f>
        <v>7.0497000418163429</v>
      </c>
      <c r="M30" s="1681">
        <f t="shared" si="7"/>
        <v>0.51066002505724573</v>
      </c>
      <c r="N30" s="1585">
        <f t="shared" si="4"/>
        <v>421411.95000000048</v>
      </c>
      <c r="O30" s="1585">
        <f t="shared" si="5"/>
        <v>59777.296852412452</v>
      </c>
      <c r="P30" s="1591"/>
      <c r="Q30" s="1587"/>
      <c r="R30" s="1587"/>
      <c r="S30" s="1589">
        <f>S29-M30+J30</f>
        <v>59777.296852412452</v>
      </c>
      <c r="T30" s="1478"/>
      <c r="U30" s="1478"/>
      <c r="V30" s="1478"/>
      <c r="W30" s="1478"/>
      <c r="X30" s="1478"/>
      <c r="Y30" s="1478"/>
      <c r="Z30" s="1478"/>
      <c r="AA30" s="1478"/>
      <c r="AB30" s="1478"/>
      <c r="AC30" s="1478"/>
    </row>
    <row r="31" spans="1:29" s="1479" customFormat="1" ht="11.25" customHeight="1">
      <c r="A31" s="1480"/>
      <c r="B31" s="1576">
        <v>46013</v>
      </c>
      <c r="C31" s="1593" t="s">
        <v>305</v>
      </c>
      <c r="D31" s="1578"/>
      <c r="E31" s="1579">
        <v>10</v>
      </c>
      <c r="F31" s="1580" t="s">
        <v>105</v>
      </c>
      <c r="G31" s="1581" t="s">
        <v>227</v>
      </c>
      <c r="H31" s="1582"/>
      <c r="I31" s="1590"/>
      <c r="J31" s="1582"/>
      <c r="K31" s="1583">
        <v>7000</v>
      </c>
      <c r="L31" s="1324">
        <f>'[5]통장내역(환율표)'!$D$41</f>
        <v>7.0497000418163429</v>
      </c>
      <c r="M31" s="1681">
        <f t="shared" si="7"/>
        <v>992.95004872242225</v>
      </c>
      <c r="N31" s="1585">
        <f t="shared" si="4"/>
        <v>414411.95000000048</v>
      </c>
      <c r="O31" s="1585">
        <f t="shared" si="5"/>
        <v>58784.34680369003</v>
      </c>
      <c r="P31" s="1591"/>
      <c r="Q31" s="1587"/>
      <c r="R31" s="1587"/>
      <c r="S31" s="1589">
        <f t="shared" ref="S31:S93" si="8">S30-M31+J31</f>
        <v>58784.34680369003</v>
      </c>
      <c r="T31" s="1478"/>
      <c r="U31" s="1478"/>
      <c r="V31" s="1478"/>
      <c r="W31" s="1478"/>
      <c r="X31" s="1478"/>
      <c r="Y31" s="1478"/>
      <c r="Z31" s="1478"/>
      <c r="AA31" s="1478"/>
      <c r="AB31" s="1478"/>
      <c r="AC31" s="1478"/>
    </row>
    <row r="32" spans="1:29" s="1479" customFormat="1" ht="11.25" customHeight="1">
      <c r="A32" s="1480"/>
      <c r="B32" s="1576">
        <v>46013</v>
      </c>
      <c r="C32" s="1593" t="s">
        <v>1107</v>
      </c>
      <c r="D32" s="1578"/>
      <c r="E32" s="1579">
        <v>10</v>
      </c>
      <c r="F32" s="1580" t="s">
        <v>107</v>
      </c>
      <c r="G32" s="1581"/>
      <c r="H32" s="1582"/>
      <c r="I32" s="1590"/>
      <c r="J32" s="1582"/>
      <c r="K32" s="1583">
        <v>6000</v>
      </c>
      <c r="L32" s="1324">
        <f>'[5]통장내역(환율표)'!$D$41</f>
        <v>7.0497000418163429</v>
      </c>
      <c r="M32" s="1681">
        <f t="shared" si="7"/>
        <v>851.10004176207622</v>
      </c>
      <c r="N32" s="1585">
        <f t="shared" si="4"/>
        <v>408411.95000000048</v>
      </c>
      <c r="O32" s="1585">
        <f t="shared" si="5"/>
        <v>57933.246761927956</v>
      </c>
      <c r="P32" s="1591"/>
      <c r="Q32" s="1587"/>
      <c r="R32" s="1587"/>
      <c r="S32" s="1589">
        <f t="shared" si="8"/>
        <v>57933.246761927956</v>
      </c>
      <c r="T32" s="1478"/>
      <c r="U32" s="1478"/>
      <c r="V32" s="1478"/>
      <c r="W32" s="1478"/>
      <c r="X32" s="1478"/>
      <c r="Y32" s="1478"/>
      <c r="Z32" s="1478"/>
      <c r="AA32" s="1478"/>
      <c r="AB32" s="1478"/>
      <c r="AC32" s="1478"/>
    </row>
    <row r="33" spans="1:29" s="1479" customFormat="1" ht="11.25" customHeight="1">
      <c r="A33" s="1480"/>
      <c r="B33" s="1576">
        <v>46013</v>
      </c>
      <c r="C33" s="1593" t="s">
        <v>1108</v>
      </c>
      <c r="D33" s="1578"/>
      <c r="E33" s="1579">
        <v>10</v>
      </c>
      <c r="F33" s="1580" t="s">
        <v>107</v>
      </c>
      <c r="G33" s="1581"/>
      <c r="H33" s="1582"/>
      <c r="I33" s="1590"/>
      <c r="J33" s="1582"/>
      <c r="K33" s="1583">
        <v>360</v>
      </c>
      <c r="L33" s="1324">
        <f>'[5]통장내역(환율표)'!$D$41</f>
        <v>7.0497000418163429</v>
      </c>
      <c r="M33" s="1681">
        <f t="shared" si="7"/>
        <v>51.066002505724576</v>
      </c>
      <c r="N33" s="1585">
        <f t="shared" si="4"/>
        <v>408051.95000000048</v>
      </c>
      <c r="O33" s="1585">
        <f t="shared" si="5"/>
        <v>57882.180759422234</v>
      </c>
      <c r="P33" s="1591"/>
      <c r="Q33" s="1587"/>
      <c r="R33" s="1587"/>
      <c r="S33" s="1589">
        <f t="shared" si="8"/>
        <v>57882.180759422234</v>
      </c>
      <c r="T33" s="1478"/>
      <c r="U33" s="1478"/>
      <c r="V33" s="1478"/>
      <c r="W33" s="1478"/>
      <c r="X33" s="1478"/>
      <c r="Y33" s="1478"/>
      <c r="Z33" s="1478"/>
      <c r="AA33" s="1478"/>
      <c r="AB33" s="1478"/>
      <c r="AC33" s="1478"/>
    </row>
    <row r="34" spans="1:29" s="1479" customFormat="1" ht="11.25" customHeight="1">
      <c r="A34" s="1480"/>
      <c r="B34" s="1576">
        <v>46013</v>
      </c>
      <c r="C34" s="1593" t="s">
        <v>305</v>
      </c>
      <c r="D34" s="1578"/>
      <c r="E34" s="1579">
        <v>10</v>
      </c>
      <c r="F34" s="1580" t="s">
        <v>105</v>
      </c>
      <c r="G34" s="1581" t="s">
        <v>227</v>
      </c>
      <c r="H34" s="1582"/>
      <c r="I34" s="1590"/>
      <c r="J34" s="1582"/>
      <c r="K34" s="1583">
        <v>7000</v>
      </c>
      <c r="L34" s="1324">
        <f>'[5]통장내역(환율표)'!$D$41</f>
        <v>7.0497000418163429</v>
      </c>
      <c r="M34" s="1681">
        <f t="shared" si="7"/>
        <v>992.95004872242225</v>
      </c>
      <c r="N34" s="1585">
        <f t="shared" si="4"/>
        <v>401051.95000000048</v>
      </c>
      <c r="O34" s="1585">
        <f t="shared" si="5"/>
        <v>56889.230710699812</v>
      </c>
      <c r="P34" s="1591"/>
      <c r="Q34" s="1587"/>
      <c r="R34" s="1587"/>
      <c r="S34" s="1589">
        <f t="shared" si="8"/>
        <v>56889.230710699812</v>
      </c>
      <c r="T34" s="1478"/>
      <c r="U34" s="1478"/>
      <c r="V34" s="1478"/>
      <c r="W34" s="1478"/>
      <c r="X34" s="1478"/>
      <c r="Y34" s="1478"/>
      <c r="Z34" s="1478"/>
      <c r="AA34" s="1478"/>
      <c r="AB34" s="1478"/>
      <c r="AC34" s="1478"/>
    </row>
    <row r="35" spans="1:29" s="1479" customFormat="1" ht="12" customHeight="1">
      <c r="A35" s="1480"/>
      <c r="B35" s="1576">
        <v>46013</v>
      </c>
      <c r="C35" s="1593" t="s">
        <v>347</v>
      </c>
      <c r="D35" s="1578"/>
      <c r="E35" s="1579">
        <v>10</v>
      </c>
      <c r="F35" s="1580" t="s">
        <v>107</v>
      </c>
      <c r="G35" s="1581"/>
      <c r="H35" s="1582"/>
      <c r="I35" s="1590"/>
      <c r="J35" s="1582"/>
      <c r="K35" s="1583">
        <v>6000</v>
      </c>
      <c r="L35" s="1324">
        <f>'[5]통장내역(환율표)'!$D$41</f>
        <v>7.0497000418163429</v>
      </c>
      <c r="M35" s="1681">
        <f t="shared" si="7"/>
        <v>851.10004176207622</v>
      </c>
      <c r="N35" s="1585">
        <f t="shared" si="4"/>
        <v>395051.95000000048</v>
      </c>
      <c r="O35" s="1585">
        <f t="shared" si="5"/>
        <v>56038.130668937738</v>
      </c>
      <c r="P35" s="1591"/>
      <c r="Q35" s="1587"/>
      <c r="R35" s="1587"/>
      <c r="S35" s="1589">
        <f t="shared" si="8"/>
        <v>56038.130668937738</v>
      </c>
      <c r="T35" s="1478"/>
      <c r="U35" s="1478"/>
      <c r="V35" s="1478"/>
      <c r="W35" s="1478"/>
      <c r="X35" s="1478"/>
      <c r="Y35" s="1478"/>
      <c r="Z35" s="1478"/>
      <c r="AA35" s="1478"/>
      <c r="AB35" s="1478"/>
      <c r="AC35" s="1478"/>
    </row>
    <row r="36" spans="1:29" s="1479" customFormat="1" ht="12" customHeight="1">
      <c r="A36" s="1480"/>
      <c r="B36" s="1576">
        <v>46013</v>
      </c>
      <c r="C36" s="1593" t="s">
        <v>1108</v>
      </c>
      <c r="D36" s="1578"/>
      <c r="E36" s="1579">
        <v>10</v>
      </c>
      <c r="F36" s="1580" t="s">
        <v>107</v>
      </c>
      <c r="G36" s="1581"/>
      <c r="H36" s="1582"/>
      <c r="I36" s="1590"/>
      <c r="J36" s="1582"/>
      <c r="K36" s="1583">
        <v>660</v>
      </c>
      <c r="L36" s="1324">
        <f>'[5]통장내역(환율표)'!$D$41</f>
        <v>7.0497000418163429</v>
      </c>
      <c r="M36" s="1681">
        <f t="shared" si="7"/>
        <v>93.621004593828388</v>
      </c>
      <c r="N36" s="1585">
        <f t="shared" si="4"/>
        <v>394391.95000000048</v>
      </c>
      <c r="O36" s="1585">
        <f t="shared" si="5"/>
        <v>55944.50966434391</v>
      </c>
      <c r="P36" s="1591"/>
      <c r="Q36" s="1587"/>
      <c r="R36" s="1587"/>
      <c r="S36" s="1589">
        <f t="shared" si="8"/>
        <v>55944.50966434391</v>
      </c>
      <c r="T36" s="1478"/>
      <c r="U36" s="1478"/>
      <c r="V36" s="1478"/>
      <c r="W36" s="1478"/>
      <c r="X36" s="1478"/>
      <c r="Y36" s="1478"/>
      <c r="Z36" s="1478"/>
      <c r="AA36" s="1478"/>
      <c r="AB36" s="1478"/>
      <c r="AC36" s="1478"/>
    </row>
    <row r="37" spans="1:29" s="1479" customFormat="1" ht="12" customHeight="1">
      <c r="A37" s="1480"/>
      <c r="B37" s="1576">
        <v>46013</v>
      </c>
      <c r="C37" s="1593" t="s">
        <v>305</v>
      </c>
      <c r="D37" s="1578"/>
      <c r="E37" s="1579">
        <v>10</v>
      </c>
      <c r="F37" s="1580" t="s">
        <v>105</v>
      </c>
      <c r="G37" s="1581" t="s">
        <v>227</v>
      </c>
      <c r="H37" s="1582"/>
      <c r="I37" s="1590"/>
      <c r="J37" s="1582"/>
      <c r="K37" s="1583">
        <v>6000</v>
      </c>
      <c r="L37" s="1324">
        <f>'[5]통장내역(환율표)'!$D$41</f>
        <v>7.0497000418163429</v>
      </c>
      <c r="M37" s="1681">
        <f t="shared" si="7"/>
        <v>851.10004176207622</v>
      </c>
      <c r="N37" s="1585">
        <f t="shared" si="4"/>
        <v>388391.95000000048</v>
      </c>
      <c r="O37" s="1585">
        <f t="shared" si="5"/>
        <v>55093.409622581836</v>
      </c>
      <c r="P37" s="1591"/>
      <c r="Q37" s="1587"/>
      <c r="R37" s="1587"/>
      <c r="S37" s="1589">
        <f t="shared" si="8"/>
        <v>55093.409622581836</v>
      </c>
      <c r="T37" s="1478"/>
      <c r="U37" s="1478"/>
      <c r="V37" s="1478"/>
      <c r="W37" s="1478"/>
      <c r="X37" s="1478"/>
      <c r="Y37" s="1478"/>
      <c r="Z37" s="1478"/>
      <c r="AA37" s="1478"/>
      <c r="AB37" s="1478"/>
      <c r="AC37" s="1478"/>
    </row>
    <row r="38" spans="1:29" s="1479" customFormat="1" ht="12" customHeight="1">
      <c r="A38" s="1480"/>
      <c r="B38" s="1576">
        <v>46013</v>
      </c>
      <c r="C38" s="1593" t="s">
        <v>1107</v>
      </c>
      <c r="D38" s="1578"/>
      <c r="E38" s="1579">
        <v>10</v>
      </c>
      <c r="F38" s="1580" t="s">
        <v>107</v>
      </c>
      <c r="G38" s="1581"/>
      <c r="H38" s="1582"/>
      <c r="I38" s="1590"/>
      <c r="J38" s="1582"/>
      <c r="K38" s="1583">
        <v>6000</v>
      </c>
      <c r="L38" s="1324">
        <f>'[5]통장내역(환율표)'!$D$41</f>
        <v>7.0497000418163429</v>
      </c>
      <c r="M38" s="1681">
        <f t="shared" si="7"/>
        <v>851.10004176207622</v>
      </c>
      <c r="N38" s="1585">
        <f t="shared" si="4"/>
        <v>382391.95000000048</v>
      </c>
      <c r="O38" s="1585">
        <f t="shared" si="5"/>
        <v>54242.309580819761</v>
      </c>
      <c r="P38" s="1591"/>
      <c r="Q38" s="1587"/>
      <c r="R38" s="1587"/>
      <c r="S38" s="1589">
        <f t="shared" si="8"/>
        <v>54242.309580819761</v>
      </c>
      <c r="T38" s="1478"/>
      <c r="U38" s="1478"/>
      <c r="V38" s="1478"/>
      <c r="W38" s="1478"/>
      <c r="X38" s="1478"/>
      <c r="Y38" s="1478"/>
      <c r="Z38" s="1478"/>
      <c r="AA38" s="1478"/>
      <c r="AB38" s="1478"/>
      <c r="AC38" s="1478"/>
    </row>
    <row r="39" spans="1:29" s="1479" customFormat="1" ht="12" customHeight="1">
      <c r="A39" s="1480"/>
      <c r="B39" s="1576">
        <v>46013</v>
      </c>
      <c r="C39" s="1593" t="s">
        <v>1108</v>
      </c>
      <c r="D39" s="1578"/>
      <c r="E39" s="1579">
        <v>10</v>
      </c>
      <c r="F39" s="1580" t="s">
        <v>107</v>
      </c>
      <c r="G39" s="1581"/>
      <c r="H39" s="1582"/>
      <c r="I39" s="1590"/>
      <c r="J39" s="1582"/>
      <c r="K39" s="1583">
        <v>120</v>
      </c>
      <c r="L39" s="1324">
        <f>'[5]통장내역(환율표)'!$D$41</f>
        <v>7.0497000418163429</v>
      </c>
      <c r="M39" s="1681">
        <f t="shared" si="7"/>
        <v>17.022000835241524</v>
      </c>
      <c r="N39" s="1585">
        <f t="shared" si="4"/>
        <v>382271.95000000048</v>
      </c>
      <c r="O39" s="1585">
        <f t="shared" si="5"/>
        <v>54225.287579984521</v>
      </c>
      <c r="P39" s="1591"/>
      <c r="Q39" s="1587"/>
      <c r="R39" s="1587"/>
      <c r="S39" s="1589">
        <f t="shared" si="8"/>
        <v>54225.287579984521</v>
      </c>
      <c r="T39" s="1478"/>
      <c r="U39" s="1478"/>
      <c r="V39" s="1478"/>
      <c r="W39" s="1478"/>
      <c r="X39" s="1478"/>
      <c r="Y39" s="1478"/>
      <c r="Z39" s="1478"/>
      <c r="AA39" s="1478"/>
      <c r="AB39" s="1478"/>
      <c r="AC39" s="1478"/>
    </row>
    <row r="40" spans="1:29" s="1479" customFormat="1" ht="12" customHeight="1">
      <c r="A40" s="1480"/>
      <c r="B40" s="1576">
        <v>46013</v>
      </c>
      <c r="C40" s="1593" t="s">
        <v>250</v>
      </c>
      <c r="D40" s="1578"/>
      <c r="E40" s="1579">
        <v>11</v>
      </c>
      <c r="F40" s="1580" t="s">
        <v>107</v>
      </c>
      <c r="G40" s="1581"/>
      <c r="H40" s="1582"/>
      <c r="I40" s="1590"/>
      <c r="J40" s="1582"/>
      <c r="K40" s="1583">
        <v>7.2</v>
      </c>
      <c r="L40" s="1324">
        <f>'[5]통장내역(환율표)'!$D$41</f>
        <v>7.0497000418163429</v>
      </c>
      <c r="M40" s="1681">
        <f t="shared" si="7"/>
        <v>1.0213200501144915</v>
      </c>
      <c r="N40" s="1585">
        <f t="shared" si="4"/>
        <v>382264.75000000047</v>
      </c>
      <c r="O40" s="1585">
        <f t="shared" si="5"/>
        <v>54224.266259934404</v>
      </c>
      <c r="P40" s="1591"/>
      <c r="Q40" s="1587"/>
      <c r="R40" s="1587"/>
      <c r="S40" s="1589">
        <f t="shared" si="8"/>
        <v>54224.266259934404</v>
      </c>
      <c r="T40" s="1478"/>
      <c r="U40" s="1478"/>
      <c r="V40" s="1478"/>
      <c r="W40" s="1478"/>
      <c r="X40" s="1478"/>
      <c r="Y40" s="1478"/>
      <c r="Z40" s="1478"/>
      <c r="AA40" s="1478"/>
      <c r="AB40" s="1478"/>
      <c r="AC40" s="1478"/>
    </row>
    <row r="41" spans="1:29" s="1479" customFormat="1" ht="12" customHeight="1">
      <c r="A41" s="1480"/>
      <c r="B41" s="1576">
        <v>46013</v>
      </c>
      <c r="C41" s="1577" t="s">
        <v>1461</v>
      </c>
      <c r="D41" s="1578" t="s">
        <v>188</v>
      </c>
      <c r="E41" s="1579">
        <v>12</v>
      </c>
      <c r="F41" s="1580" t="s">
        <v>116</v>
      </c>
      <c r="G41" s="1581" t="s">
        <v>140</v>
      </c>
      <c r="H41" s="1582"/>
      <c r="I41" s="1590"/>
      <c r="J41" s="1582"/>
      <c r="K41" s="1583">
        <v>417.4</v>
      </c>
      <c r="L41" s="1324">
        <f>'[5]통장내역(환율표)'!$D$41</f>
        <v>7.0497000418163429</v>
      </c>
      <c r="M41" s="1681">
        <f t="shared" si="7"/>
        <v>59.208192905248431</v>
      </c>
      <c r="N41" s="1585">
        <f t="shared" si="4"/>
        <v>381847.35000000044</v>
      </c>
      <c r="O41" s="1585">
        <f t="shared" si="5"/>
        <v>54165.058067029153</v>
      </c>
      <c r="P41" s="1591"/>
      <c r="Q41" s="1587"/>
      <c r="R41" s="1587"/>
      <c r="S41" s="1589">
        <f t="shared" si="8"/>
        <v>54165.058067029153</v>
      </c>
      <c r="T41" s="1478"/>
      <c r="U41" s="1478"/>
      <c r="V41" s="1478"/>
      <c r="W41" s="1478"/>
      <c r="X41" s="1478"/>
      <c r="Y41" s="1478"/>
      <c r="Z41" s="1478"/>
      <c r="AA41" s="1478"/>
      <c r="AB41" s="1478"/>
      <c r="AC41" s="1478"/>
    </row>
    <row r="42" spans="1:29" s="1479" customFormat="1" ht="12" customHeight="1">
      <c r="A42" s="1480"/>
      <c r="B42" s="1576">
        <v>46013</v>
      </c>
      <c r="C42" s="1577" t="s">
        <v>125</v>
      </c>
      <c r="D42" s="1578" t="s">
        <v>188</v>
      </c>
      <c r="E42" s="1579">
        <v>13</v>
      </c>
      <c r="F42" s="1580" t="s">
        <v>125</v>
      </c>
      <c r="G42" s="1581" t="s">
        <v>145</v>
      </c>
      <c r="H42" s="1582"/>
      <c r="I42" s="1582"/>
      <c r="J42" s="1582"/>
      <c r="K42" s="1583">
        <v>2995</v>
      </c>
      <c r="L42" s="1324">
        <f>'[5]통장내역(환율표)'!$D$41</f>
        <v>7.0497000418163429</v>
      </c>
      <c r="M42" s="1681">
        <f t="shared" si="7"/>
        <v>424.84077084623641</v>
      </c>
      <c r="N42" s="1585">
        <f t="shared" si="4"/>
        <v>378852.35000000044</v>
      </c>
      <c r="O42" s="1585">
        <f t="shared" si="5"/>
        <v>53740.21729618292</v>
      </c>
      <c r="P42" s="1591"/>
      <c r="Q42" s="1587"/>
      <c r="R42" s="1587"/>
      <c r="S42" s="1589">
        <f t="shared" si="8"/>
        <v>53740.21729618292</v>
      </c>
      <c r="T42" s="1478"/>
      <c r="U42" s="1478"/>
      <c r="V42" s="1478"/>
      <c r="W42" s="1478"/>
      <c r="X42" s="1478"/>
      <c r="Y42" s="1478"/>
      <c r="Z42" s="1478"/>
      <c r="AA42" s="1478"/>
      <c r="AB42" s="1478"/>
      <c r="AC42" s="1478"/>
    </row>
    <row r="43" spans="1:29" s="1479" customFormat="1" ht="12" customHeight="1">
      <c r="A43" s="1480"/>
      <c r="B43" s="1576">
        <v>46013</v>
      </c>
      <c r="C43" s="1577" t="s">
        <v>1403</v>
      </c>
      <c r="D43" s="1578" t="s">
        <v>188</v>
      </c>
      <c r="E43" s="1579">
        <v>14</v>
      </c>
      <c r="F43" s="1580" t="s">
        <v>146</v>
      </c>
      <c r="G43" s="1581" t="s">
        <v>147</v>
      </c>
      <c r="H43" s="1582"/>
      <c r="I43" s="1582"/>
      <c r="J43" s="1582"/>
      <c r="K43" s="1583">
        <v>7685.9199999999992</v>
      </c>
      <c r="L43" s="1324">
        <f>'[5]통장내역(환율표)'!$D$41</f>
        <v>7.0497000418163429</v>
      </c>
      <c r="M43" s="1681">
        <f t="shared" si="7"/>
        <v>1090.2478054966627</v>
      </c>
      <c r="N43" s="1585">
        <f t="shared" si="4"/>
        <v>371166.43000000046</v>
      </c>
      <c r="O43" s="1585">
        <f t="shared" si="5"/>
        <v>52649.969490686257</v>
      </c>
      <c r="P43" s="1591"/>
      <c r="Q43" s="1587"/>
      <c r="R43" s="1587"/>
      <c r="S43" s="1589">
        <f t="shared" si="8"/>
        <v>52649.969490686257</v>
      </c>
      <c r="T43" s="1478"/>
      <c r="U43" s="1478"/>
      <c r="V43" s="1478"/>
      <c r="W43" s="1478"/>
      <c r="X43" s="1478"/>
      <c r="Y43" s="1478"/>
      <c r="Z43" s="1478"/>
      <c r="AA43" s="1478"/>
      <c r="AB43" s="1478"/>
      <c r="AC43" s="1478"/>
    </row>
    <row r="44" spans="1:29" s="1479" customFormat="1" ht="12" customHeight="1">
      <c r="A44" s="1480"/>
      <c r="B44" s="1576">
        <v>46013</v>
      </c>
      <c r="C44" s="1577" t="s">
        <v>1451</v>
      </c>
      <c r="D44" s="1578" t="s">
        <v>188</v>
      </c>
      <c r="E44" s="1579">
        <v>15</v>
      </c>
      <c r="F44" s="1580" t="s">
        <v>146</v>
      </c>
      <c r="G44" s="1581" t="s">
        <v>147</v>
      </c>
      <c r="H44" s="1582"/>
      <c r="I44" s="1582"/>
      <c r="J44" s="1582"/>
      <c r="K44" s="1583">
        <v>185.77</v>
      </c>
      <c r="L44" s="1324">
        <f>'[5]통장내역(환율표)'!$D$41</f>
        <v>7.0497000418163429</v>
      </c>
      <c r="M44" s="1681">
        <f t="shared" si="7"/>
        <v>26.351475793023486</v>
      </c>
      <c r="N44" s="1585">
        <f t="shared" si="4"/>
        <v>370980.66000000044</v>
      </c>
      <c r="O44" s="1585">
        <f t="shared" si="5"/>
        <v>52623.618014893233</v>
      </c>
      <c r="P44" s="1591"/>
      <c r="Q44" s="1587"/>
      <c r="R44" s="1587"/>
      <c r="S44" s="1589">
        <f t="shared" si="8"/>
        <v>52623.618014893233</v>
      </c>
      <c r="T44" s="1478"/>
      <c r="U44" s="1478"/>
      <c r="V44" s="1478"/>
      <c r="W44" s="1478"/>
      <c r="X44" s="1478"/>
      <c r="Y44" s="1478"/>
      <c r="Z44" s="1478"/>
      <c r="AA44" s="1478"/>
      <c r="AB44" s="1478"/>
      <c r="AC44" s="1478"/>
    </row>
    <row r="45" spans="1:29" s="1479" customFormat="1" ht="12" customHeight="1">
      <c r="A45" s="1480"/>
      <c r="B45" s="1576">
        <v>46013</v>
      </c>
      <c r="C45" s="1577" t="s">
        <v>1623</v>
      </c>
      <c r="D45" s="1578" t="s">
        <v>188</v>
      </c>
      <c r="E45" s="1579">
        <v>16</v>
      </c>
      <c r="F45" s="1580" t="s">
        <v>107</v>
      </c>
      <c r="G45" s="1581" t="s">
        <v>12</v>
      </c>
      <c r="H45" s="1582"/>
      <c r="I45" s="1582"/>
      <c r="J45" s="1582"/>
      <c r="K45" s="1583">
        <v>743</v>
      </c>
      <c r="L45" s="1324">
        <f>'[5]통장내역(환율표)'!$D$41</f>
        <v>7.0497000418163429</v>
      </c>
      <c r="M45" s="1681">
        <f t="shared" si="7"/>
        <v>105.39455517153711</v>
      </c>
      <c r="N45" s="1585">
        <f t="shared" si="4"/>
        <v>370237.66000000044</v>
      </c>
      <c r="O45" s="1585">
        <f t="shared" si="5"/>
        <v>52518.223459721696</v>
      </c>
      <c r="P45" s="1591"/>
      <c r="Q45" s="1587"/>
      <c r="R45" s="1591" t="s">
        <v>1630</v>
      </c>
      <c r="S45" s="1589">
        <f t="shared" si="8"/>
        <v>52518.223459721696</v>
      </c>
      <c r="T45" s="1478"/>
      <c r="U45" s="1478"/>
      <c r="V45" s="1478"/>
      <c r="W45" s="1478"/>
      <c r="X45" s="1478"/>
      <c r="Y45" s="1478"/>
      <c r="Z45" s="1478"/>
      <c r="AA45" s="1478"/>
      <c r="AB45" s="1478"/>
      <c r="AC45" s="1478"/>
    </row>
    <row r="46" spans="1:29" s="1479" customFormat="1" ht="12" customHeight="1">
      <c r="A46" s="1480"/>
      <c r="B46" s="1576">
        <v>46013</v>
      </c>
      <c r="C46" s="1577" t="s">
        <v>250</v>
      </c>
      <c r="D46" s="1578" t="s">
        <v>188</v>
      </c>
      <c r="E46" s="1579">
        <v>17</v>
      </c>
      <c r="F46" s="1580" t="s">
        <v>107</v>
      </c>
      <c r="G46" s="1581"/>
      <c r="H46" s="1582"/>
      <c r="I46" s="1582"/>
      <c r="J46" s="1582"/>
      <c r="K46" s="1583">
        <v>7.2</v>
      </c>
      <c r="L46" s="1324">
        <f>'[5]통장내역(환율표)'!$D$41</f>
        <v>7.0497000418163429</v>
      </c>
      <c r="M46" s="1681">
        <f t="shared" si="7"/>
        <v>1.0213200501144915</v>
      </c>
      <c r="N46" s="1585">
        <f t="shared" si="4"/>
        <v>370230.46000000043</v>
      </c>
      <c r="O46" s="1585">
        <f t="shared" si="5"/>
        <v>52517.202139671579</v>
      </c>
      <c r="P46" s="1591"/>
      <c r="Q46" s="1587"/>
      <c r="R46" s="1587"/>
      <c r="S46" s="1589">
        <f t="shared" si="8"/>
        <v>52517.202139671579</v>
      </c>
      <c r="T46" s="1478"/>
      <c r="U46" s="1478"/>
      <c r="V46" s="1478"/>
      <c r="W46" s="1478"/>
      <c r="X46" s="1478"/>
      <c r="Y46" s="1478"/>
      <c r="Z46" s="1478"/>
      <c r="AA46" s="1478"/>
      <c r="AB46" s="1478"/>
      <c r="AC46" s="1478"/>
    </row>
    <row r="47" spans="1:29" s="1479" customFormat="1" ht="12" customHeight="1">
      <c r="A47" s="1480"/>
      <c r="B47" s="1576">
        <v>46013</v>
      </c>
      <c r="C47" s="1577" t="s">
        <v>1451</v>
      </c>
      <c r="D47" s="1578" t="s">
        <v>1390</v>
      </c>
      <c r="E47" s="1579">
        <v>18</v>
      </c>
      <c r="F47" s="1580" t="s">
        <v>146</v>
      </c>
      <c r="G47" s="1581" t="s">
        <v>147</v>
      </c>
      <c r="H47" s="1594"/>
      <c r="I47" s="1595"/>
      <c r="J47" s="1595"/>
      <c r="K47" s="1583">
        <v>737.58</v>
      </c>
      <c r="L47" s="1324">
        <f>'[5]통장내역(환율표)'!$D$41</f>
        <v>7.0497000418163429</v>
      </c>
      <c r="M47" s="1681">
        <f t="shared" si="7"/>
        <v>104.62572813381203</v>
      </c>
      <c r="N47" s="1585">
        <f t="shared" si="4"/>
        <v>369492.88000000041</v>
      </c>
      <c r="O47" s="1585">
        <f t="shared" si="5"/>
        <v>52412.576411537768</v>
      </c>
      <c r="P47" s="1591"/>
      <c r="Q47" s="1587"/>
      <c r="R47" s="1587"/>
      <c r="S47" s="1589">
        <f t="shared" si="8"/>
        <v>52412.576411537768</v>
      </c>
      <c r="T47" s="1478"/>
      <c r="U47" s="1478"/>
      <c r="V47" s="1478"/>
      <c r="W47" s="1478"/>
      <c r="X47" s="1478"/>
      <c r="Y47" s="1478"/>
      <c r="Z47" s="1478"/>
      <c r="AA47" s="1478"/>
      <c r="AB47" s="1478"/>
      <c r="AC47" s="1478"/>
    </row>
    <row r="48" spans="1:29" s="1479" customFormat="1" ht="12" customHeight="1">
      <c r="A48" s="1480"/>
      <c r="B48" s="1576">
        <v>46013</v>
      </c>
      <c r="C48" s="1577" t="s">
        <v>1403</v>
      </c>
      <c r="D48" s="1578" t="s">
        <v>1390</v>
      </c>
      <c r="E48" s="1579">
        <v>19</v>
      </c>
      <c r="F48" s="1580" t="s">
        <v>146</v>
      </c>
      <c r="G48" s="1581" t="s">
        <v>147</v>
      </c>
      <c r="H48" s="1594"/>
      <c r="I48" s="1595"/>
      <c r="J48" s="1595"/>
      <c r="K48" s="1583">
        <v>7668.46</v>
      </c>
      <c r="L48" s="1324">
        <f>'[5]통장내역(환율표)'!$D$41</f>
        <v>7.0497000418163429</v>
      </c>
      <c r="M48" s="1681">
        <f t="shared" si="7"/>
        <v>1087.7711043751351</v>
      </c>
      <c r="N48" s="1585">
        <f t="shared" si="4"/>
        <v>361824.42000000039</v>
      </c>
      <c r="O48" s="1585">
        <f t="shared" si="5"/>
        <v>51324.805307162635</v>
      </c>
      <c r="P48" s="1591"/>
      <c r="Q48" s="1587"/>
      <c r="R48" s="1587"/>
      <c r="S48" s="1589">
        <f t="shared" si="8"/>
        <v>51324.805307162635</v>
      </c>
      <c r="T48" s="1478"/>
      <c r="U48" s="1478"/>
      <c r="V48" s="1478"/>
      <c r="W48" s="1478"/>
      <c r="X48" s="1478"/>
      <c r="Y48" s="1478"/>
      <c r="Z48" s="1478"/>
      <c r="AA48" s="1478"/>
      <c r="AB48" s="1478"/>
      <c r="AC48" s="1478"/>
    </row>
    <row r="49" spans="1:29" s="1479" customFormat="1" ht="12" customHeight="1">
      <c r="A49" s="1480"/>
      <c r="B49" s="1576">
        <v>46013</v>
      </c>
      <c r="C49" s="1577" t="s">
        <v>11</v>
      </c>
      <c r="D49" s="1578" t="s">
        <v>1390</v>
      </c>
      <c r="E49" s="1579">
        <v>20</v>
      </c>
      <c r="F49" s="1580" t="s">
        <v>125</v>
      </c>
      <c r="G49" s="1581" t="s">
        <v>145</v>
      </c>
      <c r="H49" s="1594"/>
      <c r="I49" s="1595"/>
      <c r="J49" s="1595"/>
      <c r="K49" s="1583">
        <v>1095.08</v>
      </c>
      <c r="L49" s="1324">
        <f>'[5]통장내역(환율표)'!$D$41</f>
        <v>7.0497000418163429</v>
      </c>
      <c r="M49" s="1681">
        <f t="shared" si="7"/>
        <v>155.33710562213574</v>
      </c>
      <c r="N49" s="1585">
        <f t="shared" si="4"/>
        <v>360729.34000000037</v>
      </c>
      <c r="O49" s="1585">
        <f t="shared" si="5"/>
        <v>51169.468201540498</v>
      </c>
      <c r="P49" s="1591"/>
      <c r="Q49" s="1587"/>
      <c r="R49" s="1587"/>
      <c r="S49" s="1589">
        <f t="shared" si="8"/>
        <v>51169.468201540498</v>
      </c>
      <c r="T49" s="1478"/>
      <c r="U49" s="1478"/>
      <c r="V49" s="1478"/>
      <c r="W49" s="1478"/>
      <c r="X49" s="1478"/>
      <c r="Y49" s="1478"/>
      <c r="Z49" s="1478"/>
      <c r="AA49" s="1478"/>
      <c r="AB49" s="1478"/>
      <c r="AC49" s="1478"/>
    </row>
    <row r="50" spans="1:29" s="1479" customFormat="1" ht="12" customHeight="1">
      <c r="A50" s="1480"/>
      <c r="B50" s="1576">
        <v>46013</v>
      </c>
      <c r="C50" s="1577" t="s">
        <v>1602</v>
      </c>
      <c r="D50" s="1578" t="s">
        <v>1390</v>
      </c>
      <c r="E50" s="1579">
        <v>21</v>
      </c>
      <c r="F50" s="1580" t="s">
        <v>107</v>
      </c>
      <c r="G50" s="1581" t="s">
        <v>12</v>
      </c>
      <c r="H50" s="1594"/>
      <c r="I50" s="1595"/>
      <c r="J50" s="1595"/>
      <c r="K50" s="1583">
        <v>68</v>
      </c>
      <c r="L50" s="1324">
        <f>'[5]통장내역(환율표)'!$D$41</f>
        <v>7.0497000418163429</v>
      </c>
      <c r="M50" s="1681">
        <f t="shared" si="7"/>
        <v>9.645800473303531</v>
      </c>
      <c r="N50" s="1585">
        <f t="shared" si="4"/>
        <v>360661.34000000037</v>
      </c>
      <c r="O50" s="1585">
        <f t="shared" si="5"/>
        <v>51159.822401067191</v>
      </c>
      <c r="P50" s="1591"/>
      <c r="Q50" s="1587"/>
      <c r="R50" s="1587"/>
      <c r="S50" s="1589">
        <f t="shared" si="8"/>
        <v>51159.822401067191</v>
      </c>
      <c r="T50" s="1478"/>
      <c r="U50" s="1478"/>
      <c r="V50" s="1478"/>
      <c r="W50" s="1478"/>
      <c r="X50" s="1478"/>
      <c r="Y50" s="1478"/>
      <c r="Z50" s="1478"/>
      <c r="AA50" s="1478"/>
      <c r="AB50" s="1478"/>
      <c r="AC50" s="1478"/>
    </row>
    <row r="51" spans="1:29" s="1479" customFormat="1" ht="12" customHeight="1">
      <c r="A51" s="1480"/>
      <c r="B51" s="1576">
        <v>46013</v>
      </c>
      <c r="C51" s="1577" t="s">
        <v>1405</v>
      </c>
      <c r="D51" s="1578" t="s">
        <v>1390</v>
      </c>
      <c r="E51" s="1579">
        <v>22</v>
      </c>
      <c r="F51" s="1580" t="s">
        <v>107</v>
      </c>
      <c r="G51" s="1581"/>
      <c r="H51" s="1594"/>
      <c r="I51" s="1595"/>
      <c r="J51" s="1595"/>
      <c r="K51" s="1583">
        <v>12</v>
      </c>
      <c r="L51" s="1324">
        <f>'[5]통장내역(환율표)'!$D$41</f>
        <v>7.0497000418163429</v>
      </c>
      <c r="M51" s="1681">
        <f t="shared" si="7"/>
        <v>1.7022000835241524</v>
      </c>
      <c r="N51" s="1585">
        <f t="shared" si="4"/>
        <v>360649.34000000037</v>
      </c>
      <c r="O51" s="1585">
        <f t="shared" si="5"/>
        <v>51158.120200983663</v>
      </c>
      <c r="P51" s="1591"/>
      <c r="Q51" s="1587"/>
      <c r="R51" s="1587"/>
      <c r="S51" s="1589">
        <f t="shared" si="8"/>
        <v>51158.120200983663</v>
      </c>
      <c r="T51" s="1478"/>
      <c r="U51" s="1478"/>
      <c r="V51" s="1478"/>
      <c r="W51" s="1478"/>
      <c r="X51" s="1478"/>
      <c r="Y51" s="1478"/>
      <c r="Z51" s="1478"/>
      <c r="AA51" s="1478"/>
      <c r="AB51" s="1478"/>
      <c r="AC51" s="1478"/>
    </row>
    <row r="52" spans="1:29" s="1479" customFormat="1" ht="12" customHeight="1">
      <c r="A52" s="1480"/>
      <c r="B52" s="1576">
        <v>46013</v>
      </c>
      <c r="C52" s="1577" t="s">
        <v>19</v>
      </c>
      <c r="D52" s="1578" t="s">
        <v>1390</v>
      </c>
      <c r="E52" s="1579">
        <v>23</v>
      </c>
      <c r="F52" s="1580" t="s">
        <v>116</v>
      </c>
      <c r="G52" s="1581" t="s">
        <v>140</v>
      </c>
      <c r="H52" s="1594"/>
      <c r="I52" s="1595"/>
      <c r="J52" s="1595"/>
      <c r="K52" s="1583">
        <v>398</v>
      </c>
      <c r="L52" s="1324">
        <f>'[5]통장내역(환율표)'!$D$41</f>
        <v>7.0497000418163429</v>
      </c>
      <c r="M52" s="1681">
        <f t="shared" si="7"/>
        <v>56.456302770217725</v>
      </c>
      <c r="N52" s="1585">
        <f t="shared" si="4"/>
        <v>360251.34000000037</v>
      </c>
      <c r="O52" s="1585">
        <f t="shared" si="5"/>
        <v>51101.663898213446</v>
      </c>
      <c r="Q52" s="1587"/>
      <c r="R52" s="1587"/>
      <c r="S52" s="1589">
        <f t="shared" si="8"/>
        <v>51101.663898213446</v>
      </c>
      <c r="T52" s="1478"/>
      <c r="U52" s="1478"/>
      <c r="V52" s="1478"/>
      <c r="W52" s="1478"/>
      <c r="X52" s="1478"/>
      <c r="Y52" s="1478"/>
      <c r="Z52" s="1478"/>
      <c r="AA52" s="1478"/>
      <c r="AB52" s="1478"/>
      <c r="AC52" s="1478"/>
    </row>
    <row r="53" spans="1:29" s="1479" customFormat="1" ht="12" customHeight="1">
      <c r="A53" s="1480"/>
      <c r="B53" s="1576">
        <v>46013</v>
      </c>
      <c r="C53" s="1577" t="s">
        <v>250</v>
      </c>
      <c r="D53" s="1578" t="s">
        <v>1390</v>
      </c>
      <c r="E53" s="1579">
        <v>24</v>
      </c>
      <c r="F53" s="1580" t="s">
        <v>107</v>
      </c>
      <c r="G53" s="1581"/>
      <c r="H53" s="1582"/>
      <c r="I53" s="1582"/>
      <c r="J53" s="1582"/>
      <c r="K53" s="1583">
        <v>3.6</v>
      </c>
      <c r="L53" s="1324">
        <f>'[5]통장내역(환율표)'!$D$41</f>
        <v>7.0497000418163429</v>
      </c>
      <c r="M53" s="1681">
        <f t="shared" si="7"/>
        <v>0.51066002505724573</v>
      </c>
      <c r="N53" s="1585">
        <f t="shared" si="4"/>
        <v>360247.7400000004</v>
      </c>
      <c r="O53" s="1585">
        <f t="shared" si="5"/>
        <v>51101.153238188388</v>
      </c>
      <c r="P53" s="1591"/>
      <c r="Q53" s="1587"/>
      <c r="R53" s="1587"/>
      <c r="S53" s="1589">
        <f t="shared" si="8"/>
        <v>51101.153238188388</v>
      </c>
      <c r="T53" s="1478"/>
      <c r="U53" s="1478"/>
      <c r="V53" s="1478"/>
      <c r="W53" s="1478"/>
      <c r="X53" s="1478"/>
      <c r="Y53" s="1478"/>
      <c r="Z53" s="1478"/>
      <c r="AA53" s="1478"/>
      <c r="AB53" s="1478"/>
      <c r="AC53" s="1478"/>
    </row>
    <row r="54" spans="1:29" s="1484" customFormat="1" ht="11.25" customHeight="1">
      <c r="A54" s="1480"/>
      <c r="B54" s="1576">
        <v>46013</v>
      </c>
      <c r="C54" s="1577" t="s">
        <v>1451</v>
      </c>
      <c r="D54" s="1578" t="s">
        <v>1591</v>
      </c>
      <c r="E54" s="1579">
        <v>25</v>
      </c>
      <c r="F54" s="1580" t="s">
        <v>146</v>
      </c>
      <c r="G54" s="1581" t="s">
        <v>147</v>
      </c>
      <c r="H54" s="1582"/>
      <c r="I54" s="1582"/>
      <c r="J54" s="1582"/>
      <c r="K54" s="1583">
        <v>263.06</v>
      </c>
      <c r="L54" s="1324">
        <f>'[5]통장내역(환율표)'!$D$41</f>
        <v>7.0497000418163429</v>
      </c>
      <c r="M54" s="1681">
        <f t="shared" si="7"/>
        <v>37.31506283098863</v>
      </c>
      <c r="N54" s="1585">
        <f t="shared" si="4"/>
        <v>359984.6800000004</v>
      </c>
      <c r="O54" s="1585">
        <f t="shared" si="5"/>
        <v>51063.838175357399</v>
      </c>
      <c r="P54" s="1591"/>
      <c r="Q54" s="1587"/>
      <c r="R54" s="1587"/>
      <c r="S54" s="1589">
        <f t="shared" si="8"/>
        <v>51063.838175357399</v>
      </c>
      <c r="T54" s="1478"/>
      <c r="U54" s="1478"/>
      <c r="V54" s="1478"/>
      <c r="W54" s="1478"/>
      <c r="X54" s="1478"/>
      <c r="Y54" s="1478"/>
      <c r="Z54" s="1478"/>
      <c r="AA54" s="1478"/>
      <c r="AB54" s="1478"/>
      <c r="AC54" s="1478"/>
    </row>
    <row r="55" spans="1:29" s="1484" customFormat="1" ht="11.25" customHeight="1">
      <c r="A55" s="1480"/>
      <c r="B55" s="1576">
        <v>46013</v>
      </c>
      <c r="C55" s="1577" t="s">
        <v>11</v>
      </c>
      <c r="D55" s="1578" t="s">
        <v>1591</v>
      </c>
      <c r="E55" s="1579">
        <v>26</v>
      </c>
      <c r="F55" s="1580" t="s">
        <v>125</v>
      </c>
      <c r="G55" s="1581" t="s">
        <v>145</v>
      </c>
      <c r="H55" s="1582"/>
      <c r="I55" s="1582"/>
      <c r="J55" s="1582"/>
      <c r="K55" s="1583">
        <v>232.1</v>
      </c>
      <c r="L55" s="1324">
        <f>'[5]통장내역(환율표)'!$D$41</f>
        <v>7.0497000418163429</v>
      </c>
      <c r="M55" s="1681">
        <f t="shared" si="7"/>
        <v>32.923386615496312</v>
      </c>
      <c r="N55" s="1585">
        <f t="shared" si="4"/>
        <v>359752.58000000042</v>
      </c>
      <c r="O55" s="1585">
        <f t="shared" si="5"/>
        <v>51030.914788741902</v>
      </c>
      <c r="P55" s="1591"/>
      <c r="Q55" s="1587"/>
      <c r="R55" s="1587"/>
      <c r="S55" s="1589">
        <f t="shared" si="8"/>
        <v>51030.914788741902</v>
      </c>
      <c r="T55" s="1478"/>
      <c r="U55" s="1478"/>
      <c r="V55" s="1478"/>
      <c r="W55" s="1478"/>
      <c r="X55" s="1478"/>
      <c r="Y55" s="1478"/>
      <c r="Z55" s="1478"/>
      <c r="AA55" s="1478"/>
      <c r="AB55" s="1478"/>
      <c r="AC55" s="1478"/>
    </row>
    <row r="56" spans="1:29" s="1484" customFormat="1" ht="11.25" customHeight="1">
      <c r="A56" s="1480"/>
      <c r="B56" s="1576">
        <v>46013</v>
      </c>
      <c r="C56" s="1577" t="s">
        <v>1405</v>
      </c>
      <c r="D56" s="1578" t="s">
        <v>1591</v>
      </c>
      <c r="E56" s="1579">
        <v>27</v>
      </c>
      <c r="F56" s="1580" t="s">
        <v>107</v>
      </c>
      <c r="G56" s="1581"/>
      <c r="H56" s="1582"/>
      <c r="I56" s="1582"/>
      <c r="J56" s="1582"/>
      <c r="K56" s="1583">
        <v>416.22</v>
      </c>
      <c r="L56" s="1324">
        <f>'[5]통장내역(환율표)'!$D$41</f>
        <v>7.0497000418163429</v>
      </c>
      <c r="M56" s="1681">
        <f t="shared" si="7"/>
        <v>59.040809897035231</v>
      </c>
      <c r="N56" s="1585">
        <f t="shared" si="4"/>
        <v>359336.36000000045</v>
      </c>
      <c r="O56" s="1585">
        <f t="shared" si="5"/>
        <v>50971.873978844866</v>
      </c>
      <c r="P56" s="1591"/>
      <c r="Q56" s="1587"/>
      <c r="R56" s="1587"/>
      <c r="S56" s="1589">
        <f t="shared" si="8"/>
        <v>50971.873978844866</v>
      </c>
      <c r="T56" s="1478"/>
      <c r="U56" s="1478"/>
      <c r="V56" s="1478"/>
      <c r="W56" s="1478"/>
      <c r="X56" s="1478"/>
      <c r="Y56" s="1478"/>
      <c r="Z56" s="1478"/>
      <c r="AA56" s="1478"/>
      <c r="AB56" s="1478"/>
      <c r="AC56" s="1478"/>
    </row>
    <row r="57" spans="1:29" s="1484" customFormat="1" ht="11.25" customHeight="1">
      <c r="A57" s="1480"/>
      <c r="B57" s="1576">
        <v>46013</v>
      </c>
      <c r="C57" s="1577" t="s">
        <v>19</v>
      </c>
      <c r="D57" s="1578" t="s">
        <v>1591</v>
      </c>
      <c r="E57" s="1579">
        <v>28</v>
      </c>
      <c r="F57" s="1580" t="s">
        <v>116</v>
      </c>
      <c r="G57" s="1581" t="s">
        <v>140</v>
      </c>
      <c r="H57" s="1582"/>
      <c r="I57" s="1582"/>
      <c r="J57" s="1582"/>
      <c r="K57" s="1583">
        <v>300</v>
      </c>
      <c r="L57" s="1324">
        <f>'[5]통장내역(환율표)'!$D$41</f>
        <v>7.0497000418163429</v>
      </c>
      <c r="M57" s="1681">
        <f t="shared" si="7"/>
        <v>42.555002088103812</v>
      </c>
      <c r="N57" s="1585">
        <f t="shared" si="4"/>
        <v>359036.36000000045</v>
      </c>
      <c r="O57" s="1585">
        <f t="shared" si="5"/>
        <v>50929.31897675676</v>
      </c>
      <c r="P57" s="1591"/>
      <c r="Q57" s="1587"/>
      <c r="R57" s="1587"/>
      <c r="S57" s="1589">
        <f t="shared" si="8"/>
        <v>50929.31897675676</v>
      </c>
      <c r="T57" s="1478"/>
      <c r="U57" s="1478"/>
      <c r="V57" s="1478"/>
      <c r="W57" s="1478"/>
      <c r="X57" s="1478"/>
      <c r="Y57" s="1478"/>
      <c r="Z57" s="1478"/>
      <c r="AA57" s="1478"/>
      <c r="AB57" s="1478"/>
      <c r="AC57" s="1478"/>
    </row>
    <row r="58" spans="1:29" s="1484" customFormat="1" ht="11.25" customHeight="1">
      <c r="A58" s="1480"/>
      <c r="B58" s="1576">
        <v>46013</v>
      </c>
      <c r="C58" s="1577" t="s">
        <v>250</v>
      </c>
      <c r="D58" s="1578" t="s">
        <v>1591</v>
      </c>
      <c r="E58" s="1579">
        <v>29</v>
      </c>
      <c r="F58" s="1580" t="s">
        <v>107</v>
      </c>
      <c r="G58" s="1581"/>
      <c r="H58" s="1582"/>
      <c r="I58" s="1582"/>
      <c r="J58" s="1582"/>
      <c r="K58" s="1583">
        <v>3.6</v>
      </c>
      <c r="L58" s="1324">
        <f>'[5]통장내역(환율표)'!$D$41</f>
        <v>7.0497000418163429</v>
      </c>
      <c r="M58" s="1681">
        <f t="shared" si="7"/>
        <v>0.51066002505724573</v>
      </c>
      <c r="N58" s="1585">
        <f t="shared" si="4"/>
        <v>359032.76000000047</v>
      </c>
      <c r="O58" s="1585">
        <f t="shared" si="5"/>
        <v>50928.808316731702</v>
      </c>
      <c r="P58" s="1591"/>
      <c r="Q58" s="1587"/>
      <c r="R58" s="1587"/>
      <c r="S58" s="1589">
        <f t="shared" si="8"/>
        <v>50928.808316731702</v>
      </c>
      <c r="T58" s="1478"/>
      <c r="U58" s="1478"/>
      <c r="V58" s="1478"/>
      <c r="W58" s="1478"/>
      <c r="X58" s="1478"/>
      <c r="Y58" s="1478"/>
      <c r="Z58" s="1478"/>
      <c r="AA58" s="1478"/>
      <c r="AB58" s="1478"/>
      <c r="AC58" s="1478"/>
    </row>
    <row r="59" spans="1:29" s="1484" customFormat="1" ht="11.25" customHeight="1">
      <c r="A59" s="1480"/>
      <c r="B59" s="1576">
        <v>46013</v>
      </c>
      <c r="C59" s="1577" t="s">
        <v>1403</v>
      </c>
      <c r="D59" s="1578" t="s">
        <v>1394</v>
      </c>
      <c r="E59" s="1579">
        <v>30</v>
      </c>
      <c r="F59" s="1580" t="s">
        <v>146</v>
      </c>
      <c r="G59" s="1581" t="s">
        <v>147</v>
      </c>
      <c r="H59" s="1582"/>
      <c r="I59" s="1582"/>
      <c r="J59" s="1582"/>
      <c r="K59" s="1583">
        <v>4275.3100000000004</v>
      </c>
      <c r="L59" s="1324">
        <f>'[5]통장내역(환율표)'!$D$41</f>
        <v>7.0497000418163429</v>
      </c>
      <c r="M59" s="1681">
        <f t="shared" si="7"/>
        <v>606.45275325763703</v>
      </c>
      <c r="N59" s="1585">
        <f t="shared" si="4"/>
        <v>354757.45000000048</v>
      </c>
      <c r="O59" s="1585">
        <f t="shared" si="5"/>
        <v>50322.355563474062</v>
      </c>
      <c r="P59" s="1591"/>
      <c r="Q59" s="1587"/>
      <c r="R59" s="1634"/>
      <c r="S59" s="1589">
        <f t="shared" si="8"/>
        <v>50322.355563474062</v>
      </c>
      <c r="T59" s="1478"/>
      <c r="U59" s="1478"/>
      <c r="V59" s="1478"/>
      <c r="W59" s="1478"/>
      <c r="X59" s="1478"/>
      <c r="Y59" s="1478"/>
      <c r="Z59" s="1478"/>
      <c r="AA59" s="1478"/>
      <c r="AB59" s="1478"/>
      <c r="AC59" s="1478"/>
    </row>
    <row r="60" spans="1:29" s="1484" customFormat="1" ht="11.25" customHeight="1">
      <c r="A60" s="1480"/>
      <c r="B60" s="1576">
        <v>46013</v>
      </c>
      <c r="C60" s="1577" t="s">
        <v>11</v>
      </c>
      <c r="D60" s="1578" t="s">
        <v>1394</v>
      </c>
      <c r="E60" s="1579">
        <v>31</v>
      </c>
      <c r="F60" s="1580" t="s">
        <v>125</v>
      </c>
      <c r="G60" s="1581" t="s">
        <v>145</v>
      </c>
      <c r="H60" s="1582"/>
      <c r="I60" s="1582"/>
      <c r="J60" s="1582"/>
      <c r="K60" s="1583">
        <v>2290</v>
      </c>
      <c r="L60" s="1324">
        <f>'[5]통장내역(환율표)'!$D$41</f>
        <v>7.0497000418163429</v>
      </c>
      <c r="M60" s="1681">
        <f t="shared" si="7"/>
        <v>324.83651593919245</v>
      </c>
      <c r="N60" s="1585">
        <f t="shared" si="4"/>
        <v>352467.45000000048</v>
      </c>
      <c r="O60" s="1585">
        <f t="shared" si="5"/>
        <v>49997.519047534872</v>
      </c>
      <c r="P60" s="1591"/>
      <c r="Q60" s="1587"/>
      <c r="R60" s="1587"/>
      <c r="S60" s="1589">
        <f t="shared" si="8"/>
        <v>49997.519047534872</v>
      </c>
      <c r="T60" s="1478"/>
      <c r="U60" s="1478"/>
      <c r="V60" s="1478"/>
      <c r="W60" s="1478"/>
      <c r="X60" s="1478"/>
      <c r="Y60" s="1478"/>
      <c r="Z60" s="1478"/>
      <c r="AA60" s="1478"/>
      <c r="AB60" s="1478"/>
      <c r="AC60" s="1478"/>
    </row>
    <row r="61" spans="1:29" s="1484" customFormat="1" ht="11.25" customHeight="1">
      <c r="A61" s="1480"/>
      <c r="B61" s="1576">
        <v>46013</v>
      </c>
      <c r="C61" s="1577" t="s">
        <v>1451</v>
      </c>
      <c r="D61" s="1578" t="s">
        <v>1394</v>
      </c>
      <c r="E61" s="1579">
        <v>32</v>
      </c>
      <c r="F61" s="1580" t="s">
        <v>146</v>
      </c>
      <c r="G61" s="1581" t="s">
        <v>147</v>
      </c>
      <c r="H61" s="1582"/>
      <c r="I61" s="1582"/>
      <c r="J61" s="1582"/>
      <c r="K61" s="1583">
        <v>131.49</v>
      </c>
      <c r="L61" s="1324">
        <f>'[5]통장내역(환율표)'!$D$41</f>
        <v>7.0497000418163429</v>
      </c>
      <c r="M61" s="1681">
        <f t="shared" si="7"/>
        <v>18.6518574152159</v>
      </c>
      <c r="N61" s="1585">
        <f t="shared" si="4"/>
        <v>352335.96000000049</v>
      </c>
      <c r="O61" s="1585">
        <f t="shared" si="5"/>
        <v>49978.867190119658</v>
      </c>
      <c r="P61" s="1591"/>
      <c r="Q61" s="1587"/>
      <c r="R61" s="1587"/>
      <c r="S61" s="1589">
        <f t="shared" si="8"/>
        <v>49978.867190119658</v>
      </c>
      <c r="T61" s="1478"/>
      <c r="U61" s="1478"/>
      <c r="V61" s="1478"/>
      <c r="W61" s="1478"/>
      <c r="X61" s="1478"/>
      <c r="Y61" s="1478"/>
      <c r="Z61" s="1478"/>
      <c r="AA61" s="1478"/>
      <c r="AB61" s="1478"/>
      <c r="AC61" s="1478"/>
    </row>
    <row r="62" spans="1:29" s="1484" customFormat="1" ht="11.25" customHeight="1">
      <c r="A62" s="1480"/>
      <c r="B62" s="1576">
        <v>46013</v>
      </c>
      <c r="C62" s="1592" t="s">
        <v>1602</v>
      </c>
      <c r="D62" s="1578" t="s">
        <v>1394</v>
      </c>
      <c r="E62" s="1579">
        <v>33</v>
      </c>
      <c r="F62" s="1580" t="s">
        <v>107</v>
      </c>
      <c r="G62" s="1581"/>
      <c r="H62" s="1582"/>
      <c r="I62" s="1582"/>
      <c r="J62" s="1582"/>
      <c r="K62" s="1583">
        <v>513.80999999999995</v>
      </c>
      <c r="L62" s="1324">
        <f>'[5]통장내역(환율표)'!$D$41</f>
        <v>7.0497000418163429</v>
      </c>
      <c r="M62" s="1681">
        <f t="shared" si="7"/>
        <v>72.883952076295387</v>
      </c>
      <c r="N62" s="1585">
        <f t="shared" si="4"/>
        <v>351822.15000000049</v>
      </c>
      <c r="O62" s="1585">
        <f t="shared" si="5"/>
        <v>49905.983238043365</v>
      </c>
      <c r="P62" s="1591"/>
      <c r="Q62" s="1587"/>
      <c r="R62" s="1587"/>
      <c r="S62" s="1589">
        <f t="shared" si="8"/>
        <v>49905.983238043365</v>
      </c>
      <c r="T62" s="1478"/>
      <c r="U62" s="1478"/>
      <c r="V62" s="1478"/>
      <c r="W62" s="1478"/>
      <c r="X62" s="1478"/>
      <c r="Y62" s="1478"/>
      <c r="Z62" s="1478"/>
      <c r="AA62" s="1478"/>
      <c r="AB62" s="1478"/>
      <c r="AC62" s="1478"/>
    </row>
    <row r="63" spans="1:29" s="1484" customFormat="1" ht="11.25" customHeight="1">
      <c r="A63" s="1480"/>
      <c r="B63" s="1576">
        <v>46013</v>
      </c>
      <c r="C63" s="1577" t="s">
        <v>19</v>
      </c>
      <c r="D63" s="1578" t="s">
        <v>1394</v>
      </c>
      <c r="E63" s="1579">
        <v>34</v>
      </c>
      <c r="F63" s="1580" t="s">
        <v>116</v>
      </c>
      <c r="G63" s="1581" t="s">
        <v>140</v>
      </c>
      <c r="H63" s="1582"/>
      <c r="I63" s="1582"/>
      <c r="J63" s="1582"/>
      <c r="K63" s="1583">
        <v>409.78</v>
      </c>
      <c r="L63" s="1324">
        <f>'[5]통장내역(환율표)'!$D$41</f>
        <v>7.0497000418163429</v>
      </c>
      <c r="M63" s="1681">
        <f t="shared" si="7"/>
        <v>58.127295852210594</v>
      </c>
      <c r="N63" s="1585">
        <f t="shared" si="4"/>
        <v>351412.37000000046</v>
      </c>
      <c r="O63" s="1585">
        <f t="shared" si="5"/>
        <v>49847.855942191156</v>
      </c>
      <c r="P63" s="1591"/>
      <c r="Q63" s="1587"/>
      <c r="R63" s="1587"/>
      <c r="S63" s="1589">
        <f t="shared" si="8"/>
        <v>49847.855942191156</v>
      </c>
      <c r="T63" s="1478"/>
      <c r="U63" s="1478"/>
      <c r="V63" s="1478"/>
      <c r="W63" s="1478"/>
      <c r="X63" s="1478"/>
      <c r="Y63" s="1478"/>
      <c r="Z63" s="1478"/>
      <c r="AA63" s="1478"/>
      <c r="AB63" s="1478"/>
      <c r="AC63" s="1478"/>
    </row>
    <row r="64" spans="1:29" s="1484" customFormat="1" ht="11.25" customHeight="1">
      <c r="A64" s="1480"/>
      <c r="B64" s="1576">
        <v>46013</v>
      </c>
      <c r="C64" s="1639" t="s">
        <v>124</v>
      </c>
      <c r="D64" s="1578" t="s">
        <v>1394</v>
      </c>
      <c r="E64" s="1579">
        <v>35</v>
      </c>
      <c r="F64" s="1580" t="s">
        <v>107</v>
      </c>
      <c r="G64" s="1581"/>
      <c r="H64" s="1582"/>
      <c r="I64" s="1582"/>
      <c r="J64" s="1582"/>
      <c r="K64" s="1583">
        <v>24</v>
      </c>
      <c r="L64" s="1324">
        <f>'[5]통장내역(환율표)'!$D$41</f>
        <v>7.0497000418163429</v>
      </c>
      <c r="M64" s="1681">
        <f t="shared" si="7"/>
        <v>3.4044001670483048</v>
      </c>
      <c r="N64" s="1585">
        <f t="shared" si="4"/>
        <v>351388.37000000046</v>
      </c>
      <c r="O64" s="1585">
        <f t="shared" si="5"/>
        <v>49844.451542024108</v>
      </c>
      <c r="P64" s="1591"/>
      <c r="Q64" s="1587"/>
      <c r="R64" s="1587"/>
      <c r="S64" s="1589">
        <f t="shared" si="8"/>
        <v>49844.451542024108</v>
      </c>
      <c r="T64" s="1478"/>
      <c r="U64" s="1478"/>
      <c r="V64" s="1478"/>
      <c r="W64" s="1478"/>
      <c r="X64" s="1478"/>
      <c r="Y64" s="1478"/>
      <c r="Z64" s="1478"/>
      <c r="AA64" s="1478"/>
      <c r="AB64" s="1478"/>
      <c r="AC64" s="1478"/>
    </row>
    <row r="65" spans="1:29" s="1484" customFormat="1" ht="11.25" customHeight="1">
      <c r="A65" s="1480"/>
      <c r="B65" s="1576">
        <v>46013</v>
      </c>
      <c r="C65" s="1593" t="s">
        <v>250</v>
      </c>
      <c r="D65" s="1578" t="s">
        <v>1394</v>
      </c>
      <c r="E65" s="1579">
        <v>36</v>
      </c>
      <c r="F65" s="1580" t="s">
        <v>107</v>
      </c>
      <c r="G65" s="1581"/>
      <c r="H65" s="1582"/>
      <c r="I65" s="1582"/>
      <c r="J65" s="1582"/>
      <c r="K65" s="1583">
        <v>3.6</v>
      </c>
      <c r="L65" s="1324">
        <f>'[5]통장내역(환율표)'!$D$41</f>
        <v>7.0497000418163429</v>
      </c>
      <c r="M65" s="1681">
        <f t="shared" si="7"/>
        <v>0.51066002505724573</v>
      </c>
      <c r="N65" s="1585">
        <f t="shared" si="4"/>
        <v>351384.77000000048</v>
      </c>
      <c r="O65" s="1585">
        <f t="shared" si="5"/>
        <v>49843.940881999049</v>
      </c>
      <c r="P65" s="1591"/>
      <c r="Q65" s="1587"/>
      <c r="R65" s="1587"/>
      <c r="S65" s="1589">
        <f t="shared" si="8"/>
        <v>49843.940881999049</v>
      </c>
      <c r="T65" s="1478"/>
      <c r="U65" s="1478"/>
      <c r="V65" s="1478"/>
      <c r="W65" s="1478"/>
      <c r="X65" s="1478"/>
      <c r="Y65" s="1478"/>
      <c r="Z65" s="1478"/>
      <c r="AA65" s="1478"/>
      <c r="AB65" s="1478"/>
      <c r="AC65" s="1478"/>
    </row>
    <row r="66" spans="1:29" s="1484" customFormat="1" ht="11.25" customHeight="1">
      <c r="A66" s="1480"/>
      <c r="B66" s="1576">
        <v>46013</v>
      </c>
      <c r="C66" s="1577" t="s">
        <v>1451</v>
      </c>
      <c r="D66" s="1578" t="s">
        <v>1391</v>
      </c>
      <c r="E66" s="1579">
        <v>37</v>
      </c>
      <c r="F66" s="1580" t="s">
        <v>146</v>
      </c>
      <c r="G66" s="1581" t="s">
        <v>147</v>
      </c>
      <c r="H66" s="1582"/>
      <c r="I66" s="1582"/>
      <c r="J66" s="1582"/>
      <c r="K66" s="1583">
        <v>339.7</v>
      </c>
      <c r="L66" s="1324">
        <f>'[5]통장내역(환율표)'!$D$41</f>
        <v>7.0497000418163429</v>
      </c>
      <c r="M66" s="1681">
        <f t="shared" si="7"/>
        <v>48.186447364429547</v>
      </c>
      <c r="N66" s="1585">
        <f t="shared" si="4"/>
        <v>351045.07000000047</v>
      </c>
      <c r="O66" s="1585">
        <f t="shared" si="5"/>
        <v>49795.754434634619</v>
      </c>
      <c r="P66" s="1591"/>
      <c r="Q66" s="1587"/>
      <c r="R66" s="1587"/>
      <c r="S66" s="1589">
        <f t="shared" si="8"/>
        <v>49795.754434634619</v>
      </c>
      <c r="T66" s="1478"/>
      <c r="U66" s="1478"/>
      <c r="V66" s="1478"/>
      <c r="W66" s="1478"/>
      <c r="X66" s="1478"/>
      <c r="Y66" s="1478"/>
      <c r="Z66" s="1478"/>
      <c r="AA66" s="1478"/>
      <c r="AB66" s="1478"/>
      <c r="AC66" s="1478"/>
    </row>
    <row r="67" spans="1:29" s="1484" customFormat="1" ht="11.25" customHeight="1">
      <c r="A67" s="1480"/>
      <c r="B67" s="1576">
        <v>46013</v>
      </c>
      <c r="C67" s="1577" t="s">
        <v>11</v>
      </c>
      <c r="D67" s="1578" t="s">
        <v>1391</v>
      </c>
      <c r="E67" s="1579">
        <v>38</v>
      </c>
      <c r="F67" s="1580" t="s">
        <v>125</v>
      </c>
      <c r="G67" s="1581" t="s">
        <v>145</v>
      </c>
      <c r="H67" s="1582"/>
      <c r="I67" s="1582"/>
      <c r="J67" s="1582"/>
      <c r="K67" s="1583">
        <v>1581.71</v>
      </c>
      <c r="L67" s="1324">
        <f>'[5]통장내역(환율표)'!$D$41</f>
        <v>7.0497000418163429</v>
      </c>
      <c r="M67" s="1681">
        <f t="shared" si="7"/>
        <v>224.36557450924894</v>
      </c>
      <c r="N67" s="1585">
        <f t="shared" si="4"/>
        <v>349463.36000000045</v>
      </c>
      <c r="O67" s="1585">
        <f t="shared" si="5"/>
        <v>49571.388860125371</v>
      </c>
      <c r="P67" s="1591"/>
      <c r="Q67" s="1587"/>
      <c r="R67" s="1587"/>
      <c r="S67" s="1589">
        <f t="shared" si="8"/>
        <v>49571.388860125371</v>
      </c>
      <c r="T67" s="1478"/>
      <c r="U67" s="1478"/>
      <c r="V67" s="1478"/>
      <c r="W67" s="1478"/>
      <c r="X67" s="1478"/>
      <c r="Y67" s="1478"/>
      <c r="Z67" s="1478"/>
      <c r="AA67" s="1478"/>
      <c r="AB67" s="1478"/>
      <c r="AC67" s="1478"/>
    </row>
    <row r="68" spans="1:29" s="1484" customFormat="1" ht="11.25" customHeight="1">
      <c r="A68" s="1480"/>
      <c r="B68" s="1576">
        <v>46013</v>
      </c>
      <c r="C68" s="1577" t="s">
        <v>19</v>
      </c>
      <c r="D68" s="1578" t="s">
        <v>1391</v>
      </c>
      <c r="E68" s="1579">
        <v>39</v>
      </c>
      <c r="F68" s="1580" t="s">
        <v>116</v>
      </c>
      <c r="G68" s="1581" t="s">
        <v>140</v>
      </c>
      <c r="H68" s="1582"/>
      <c r="I68" s="1582"/>
      <c r="J68" s="1582"/>
      <c r="K68" s="1583">
        <v>498</v>
      </c>
      <c r="L68" s="1324">
        <f>'[5]통장내역(환율표)'!$D$41</f>
        <v>7.0497000418163429</v>
      </c>
      <c r="M68" s="1681">
        <f t="shared" si="7"/>
        <v>70.641303466252324</v>
      </c>
      <c r="N68" s="1585">
        <f t="shared" si="4"/>
        <v>348965.36000000045</v>
      </c>
      <c r="O68" s="1585">
        <f t="shared" si="5"/>
        <v>49500.747556659117</v>
      </c>
      <c r="P68" s="1591"/>
      <c r="Q68" s="1587"/>
      <c r="R68" s="1587"/>
      <c r="S68" s="1589">
        <f t="shared" si="8"/>
        <v>49500.747556659117</v>
      </c>
      <c r="T68" s="1478"/>
      <c r="U68" s="1478"/>
      <c r="V68" s="1478"/>
      <c r="W68" s="1478"/>
      <c r="X68" s="1478"/>
      <c r="Y68" s="1478"/>
      <c r="Z68" s="1478"/>
      <c r="AA68" s="1478"/>
      <c r="AB68" s="1478"/>
      <c r="AC68" s="1478"/>
    </row>
    <row r="69" spans="1:29" s="1484" customFormat="1" ht="11.25" customHeight="1">
      <c r="A69" s="1480"/>
      <c r="B69" s="1576">
        <v>46013</v>
      </c>
      <c r="C69" s="1592" t="s">
        <v>124</v>
      </c>
      <c r="D69" s="1578" t="s">
        <v>1391</v>
      </c>
      <c r="E69" s="1579">
        <v>40</v>
      </c>
      <c r="F69" s="1580" t="s">
        <v>107</v>
      </c>
      <c r="G69" s="1581"/>
      <c r="H69" s="1582"/>
      <c r="I69" s="1582"/>
      <c r="J69" s="1582"/>
      <c r="K69" s="1583">
        <v>58.67</v>
      </c>
      <c r="L69" s="1324">
        <f>'[5]통장내역(환율표)'!$D$41</f>
        <v>7.0497000418163429</v>
      </c>
      <c r="M69" s="1681">
        <f t="shared" si="7"/>
        <v>8.322339908363503</v>
      </c>
      <c r="N69" s="1585">
        <f t="shared" si="4"/>
        <v>348906.69000000047</v>
      </c>
      <c r="O69" s="1585">
        <f t="shared" si="5"/>
        <v>49492.425216750751</v>
      </c>
      <c r="P69" s="1591"/>
      <c r="Q69" s="1587"/>
      <c r="R69" s="1587"/>
      <c r="S69" s="1589">
        <f t="shared" si="8"/>
        <v>49492.425216750751</v>
      </c>
      <c r="T69" s="1478"/>
      <c r="U69" s="1478"/>
      <c r="V69" s="1478"/>
      <c r="W69" s="1478"/>
      <c r="X69" s="1478"/>
      <c r="Y69" s="1478"/>
      <c r="Z69" s="1478"/>
      <c r="AA69" s="1478"/>
      <c r="AB69" s="1478"/>
      <c r="AC69" s="1478"/>
    </row>
    <row r="70" spans="1:29" s="1484" customFormat="1" ht="11.25" customHeight="1">
      <c r="A70" s="1480"/>
      <c r="B70" s="1576">
        <v>46013</v>
      </c>
      <c r="C70" s="1577" t="s">
        <v>250</v>
      </c>
      <c r="D70" s="1578" t="s">
        <v>1391</v>
      </c>
      <c r="E70" s="1579">
        <v>41</v>
      </c>
      <c r="F70" s="1580" t="s">
        <v>107</v>
      </c>
      <c r="G70" s="1581"/>
      <c r="H70" s="1582"/>
      <c r="I70" s="1582"/>
      <c r="J70" s="1582"/>
      <c r="K70" s="1583">
        <v>3.6</v>
      </c>
      <c r="L70" s="1324">
        <f>'[5]통장내역(환율표)'!$D$41</f>
        <v>7.0497000418163429</v>
      </c>
      <c r="M70" s="1681">
        <f t="shared" si="7"/>
        <v>0.51066002505724573</v>
      </c>
      <c r="N70" s="1585">
        <f t="shared" si="4"/>
        <v>348903.09000000049</v>
      </c>
      <c r="O70" s="1585">
        <f t="shared" si="5"/>
        <v>49491.914556725693</v>
      </c>
      <c r="P70" s="1591"/>
      <c r="Q70" s="1587"/>
      <c r="R70" s="1587"/>
      <c r="S70" s="1589">
        <f t="shared" si="8"/>
        <v>49491.914556725693</v>
      </c>
      <c r="T70" s="1478"/>
      <c r="U70" s="1478"/>
      <c r="V70" s="1478"/>
      <c r="W70" s="1478"/>
      <c r="X70" s="1478"/>
      <c r="Y70" s="1478"/>
      <c r="Z70" s="1478"/>
      <c r="AA70" s="1478"/>
      <c r="AB70" s="1478"/>
      <c r="AC70" s="1478"/>
    </row>
    <row r="71" spans="1:29" s="1484" customFormat="1" ht="11.25" customHeight="1">
      <c r="A71" s="1480"/>
      <c r="B71" s="1576">
        <v>46013</v>
      </c>
      <c r="C71" s="1593" t="s">
        <v>11</v>
      </c>
      <c r="D71" s="1578" t="s">
        <v>1551</v>
      </c>
      <c r="E71" s="1579">
        <v>42</v>
      </c>
      <c r="F71" s="1580" t="s">
        <v>125</v>
      </c>
      <c r="G71" s="1581" t="s">
        <v>145</v>
      </c>
      <c r="H71" s="1582"/>
      <c r="I71" s="1590"/>
      <c r="J71" s="1582"/>
      <c r="K71" s="1583">
        <v>11360.84</v>
      </c>
      <c r="L71" s="1324">
        <f>'[5]통장내역(환율표)'!$D$41</f>
        <v>7.0497000418163429</v>
      </c>
      <c r="M71" s="1681">
        <f t="shared" si="7"/>
        <v>1611.5352330753776</v>
      </c>
      <c r="N71" s="1585">
        <f t="shared" si="4"/>
        <v>337542.25000000047</v>
      </c>
      <c r="O71" s="1585">
        <f t="shared" si="5"/>
        <v>47880.379323650312</v>
      </c>
      <c r="P71" s="1597"/>
      <c r="Q71" s="1587"/>
      <c r="R71" s="1587"/>
      <c r="S71" s="1589">
        <f t="shared" si="8"/>
        <v>47880.379323650312</v>
      </c>
      <c r="T71" s="1478"/>
      <c r="U71" s="1478"/>
      <c r="V71" s="1478"/>
      <c r="W71" s="1478"/>
      <c r="X71" s="1478"/>
      <c r="Y71" s="1478"/>
      <c r="Z71" s="1478"/>
      <c r="AA71" s="1478"/>
      <c r="AB71" s="1478"/>
      <c r="AC71" s="1478"/>
    </row>
    <row r="72" spans="1:29" s="1484" customFormat="1" ht="11.25" customHeight="1">
      <c r="A72" s="1480"/>
      <c r="B72" s="1576">
        <v>46013</v>
      </c>
      <c r="C72" s="1577" t="s">
        <v>1403</v>
      </c>
      <c r="D72" s="1578" t="s">
        <v>1551</v>
      </c>
      <c r="E72" s="1579">
        <v>43</v>
      </c>
      <c r="F72" s="1580" t="s">
        <v>146</v>
      </c>
      <c r="G72" s="1581" t="s">
        <v>147</v>
      </c>
      <c r="H72" s="1582"/>
      <c r="I72" s="1590"/>
      <c r="J72" s="1582"/>
      <c r="K72" s="1583">
        <v>14386.91</v>
      </c>
      <c r="L72" s="1324">
        <f>'[5]통장내역(환율표)'!$D$41</f>
        <v>7.0497000418163429</v>
      </c>
      <c r="M72" s="1681">
        <f t="shared" si="7"/>
        <v>2040.783283637872</v>
      </c>
      <c r="N72" s="1585">
        <f t="shared" si="4"/>
        <v>323155.34000000049</v>
      </c>
      <c r="O72" s="1585">
        <f t="shared" si="5"/>
        <v>45839.596040012439</v>
      </c>
      <c r="P72" s="1591"/>
      <c r="Q72" s="1587"/>
      <c r="R72" s="1587"/>
      <c r="S72" s="1589">
        <f t="shared" si="8"/>
        <v>45839.596040012439</v>
      </c>
      <c r="T72" s="1478"/>
      <c r="U72" s="1478"/>
      <c r="V72" s="1478"/>
      <c r="W72" s="1478"/>
      <c r="X72" s="1478"/>
      <c r="Y72" s="1478"/>
      <c r="Z72" s="1478"/>
      <c r="AA72" s="1478"/>
      <c r="AB72" s="1478"/>
      <c r="AC72" s="1478"/>
    </row>
    <row r="73" spans="1:29" s="1484" customFormat="1" ht="11.25" customHeight="1">
      <c r="A73" s="1480"/>
      <c r="B73" s="1576">
        <v>46013</v>
      </c>
      <c r="C73" s="1577" t="s">
        <v>19</v>
      </c>
      <c r="D73" s="1578" t="s">
        <v>1551</v>
      </c>
      <c r="E73" s="1579">
        <v>44</v>
      </c>
      <c r="F73" s="1580" t="s">
        <v>116</v>
      </c>
      <c r="G73" s="1581" t="s">
        <v>140</v>
      </c>
      <c r="H73" s="1582"/>
      <c r="I73" s="1590"/>
      <c r="J73" s="1582"/>
      <c r="K73" s="1583">
        <v>98</v>
      </c>
      <c r="L73" s="1324">
        <f>'[5]통장내역(환율표)'!$D$41</f>
        <v>7.0497000418163429</v>
      </c>
      <c r="M73" s="1681">
        <f t="shared" si="7"/>
        <v>13.901300682113911</v>
      </c>
      <c r="N73" s="1585">
        <f t="shared" si="4"/>
        <v>323057.34000000049</v>
      </c>
      <c r="O73" s="1585">
        <f t="shared" si="5"/>
        <v>45825.694739330327</v>
      </c>
      <c r="P73" s="1591"/>
      <c r="Q73" s="1587"/>
      <c r="R73" s="1587"/>
      <c r="S73" s="1589">
        <f t="shared" si="8"/>
        <v>45825.694739330327</v>
      </c>
      <c r="T73" s="1478"/>
      <c r="U73" s="1478"/>
      <c r="V73" s="1478"/>
      <c r="W73" s="1478"/>
      <c r="X73" s="1478"/>
      <c r="Y73" s="1478"/>
      <c r="Z73" s="1478"/>
      <c r="AA73" s="1478"/>
      <c r="AB73" s="1478"/>
      <c r="AC73" s="1478"/>
    </row>
    <row r="74" spans="1:29" s="1484" customFormat="1" ht="11.25" customHeight="1">
      <c r="A74" s="1480"/>
      <c r="B74" s="1576">
        <v>46013</v>
      </c>
      <c r="C74" s="1577" t="s">
        <v>1403</v>
      </c>
      <c r="D74" s="1578" t="s">
        <v>211</v>
      </c>
      <c r="E74" s="1579">
        <v>45</v>
      </c>
      <c r="F74" s="1580" t="s">
        <v>146</v>
      </c>
      <c r="G74" s="1581" t="s">
        <v>147</v>
      </c>
      <c r="H74" s="1582"/>
      <c r="I74" s="1590"/>
      <c r="J74" s="1582"/>
      <c r="K74" s="1583">
        <v>4558.93</v>
      </c>
      <c r="L74" s="1324">
        <f>'[5]통장내역(환율표)'!$D$41</f>
        <v>7.0497000418163429</v>
      </c>
      <c r="M74" s="1681">
        <f t="shared" si="7"/>
        <v>646.6842522317304</v>
      </c>
      <c r="N74" s="1585">
        <f t="shared" si="4"/>
        <v>318498.4100000005</v>
      </c>
      <c r="O74" s="1585">
        <f t="shared" si="5"/>
        <v>45179.010487098596</v>
      </c>
      <c r="P74" s="1591"/>
      <c r="Q74" s="1587"/>
      <c r="R74" s="1587"/>
      <c r="S74" s="1589">
        <f t="shared" si="8"/>
        <v>45179.010487098596</v>
      </c>
      <c r="T74" s="1478"/>
      <c r="U74" s="1478"/>
      <c r="V74" s="1478"/>
      <c r="W74" s="1478"/>
      <c r="X74" s="1478"/>
      <c r="Y74" s="1478"/>
      <c r="Z74" s="1478"/>
      <c r="AA74" s="1478"/>
      <c r="AB74" s="1478"/>
      <c r="AC74" s="1478"/>
    </row>
    <row r="75" spans="1:29" s="1484" customFormat="1" ht="11.25" customHeight="1">
      <c r="A75" s="1480"/>
      <c r="B75" s="1576">
        <v>46013</v>
      </c>
      <c r="C75" s="1593" t="s">
        <v>11</v>
      </c>
      <c r="D75" s="1578" t="s">
        <v>211</v>
      </c>
      <c r="E75" s="1579">
        <v>46</v>
      </c>
      <c r="F75" s="1580" t="s">
        <v>125</v>
      </c>
      <c r="G75" s="1581" t="s">
        <v>145</v>
      </c>
      <c r="H75" s="1582"/>
      <c r="I75" s="1590"/>
      <c r="J75" s="1582"/>
      <c r="K75" s="1583">
        <v>13409</v>
      </c>
      <c r="L75" s="1324">
        <f>'[5]통장내역(환율표)'!$D$41</f>
        <v>7.0497000418163429</v>
      </c>
      <c r="M75" s="1681">
        <f t="shared" si="7"/>
        <v>1902.0667433312801</v>
      </c>
      <c r="N75" s="1585">
        <f t="shared" si="4"/>
        <v>305089.4100000005</v>
      </c>
      <c r="O75" s="1585">
        <f t="shared" si="5"/>
        <v>43276.943743767319</v>
      </c>
      <c r="P75" s="1591"/>
      <c r="Q75" s="1587"/>
      <c r="R75" s="1587"/>
      <c r="S75" s="1589">
        <f t="shared" si="8"/>
        <v>43276.943743767319</v>
      </c>
      <c r="T75" s="1478"/>
      <c r="U75" s="1478"/>
      <c r="V75" s="1478"/>
      <c r="W75" s="1478"/>
      <c r="X75" s="1478"/>
      <c r="Y75" s="1478"/>
      <c r="Z75" s="1478"/>
      <c r="AA75" s="1478"/>
      <c r="AB75" s="1478"/>
      <c r="AC75" s="1478"/>
    </row>
    <row r="76" spans="1:29" s="1484" customFormat="1" ht="11.25" customHeight="1">
      <c r="A76" s="1480"/>
      <c r="B76" s="1576">
        <v>46013</v>
      </c>
      <c r="C76" s="1577" t="s">
        <v>1451</v>
      </c>
      <c r="D76" s="1578" t="s">
        <v>211</v>
      </c>
      <c r="E76" s="1579">
        <v>47</v>
      </c>
      <c r="F76" s="1580" t="s">
        <v>146</v>
      </c>
      <c r="G76" s="1581" t="s">
        <v>147</v>
      </c>
      <c r="H76" s="1582"/>
      <c r="I76" s="1590"/>
      <c r="J76" s="1582"/>
      <c r="K76" s="1583">
        <v>159.94</v>
      </c>
      <c r="L76" s="1324">
        <f>'[5]통장내역(환율표)'!$D$41</f>
        <v>7.0497000418163429</v>
      </c>
      <c r="M76" s="1681">
        <f t="shared" si="7"/>
        <v>22.687490113237747</v>
      </c>
      <c r="N76" s="1585">
        <f t="shared" si="4"/>
        <v>304929.4700000005</v>
      </c>
      <c r="O76" s="1585">
        <f t="shared" si="5"/>
        <v>43254.256253654079</v>
      </c>
      <c r="P76" s="1591"/>
      <c r="Q76" s="1587"/>
      <c r="R76" s="1587"/>
      <c r="S76" s="1589">
        <f t="shared" si="8"/>
        <v>43254.256253654079</v>
      </c>
      <c r="T76" s="1478"/>
      <c r="U76" s="1478"/>
      <c r="V76" s="1478"/>
      <c r="W76" s="1478"/>
      <c r="X76" s="1478"/>
      <c r="Y76" s="1478"/>
      <c r="Z76" s="1478"/>
      <c r="AA76" s="1478"/>
      <c r="AB76" s="1478"/>
      <c r="AC76" s="1478"/>
    </row>
    <row r="77" spans="1:29" s="1484" customFormat="1" ht="11.25" customHeight="1">
      <c r="A77" s="1480"/>
      <c r="B77" s="1576">
        <v>46013</v>
      </c>
      <c r="C77" s="1577" t="s">
        <v>19</v>
      </c>
      <c r="D77" s="1578" t="s">
        <v>211</v>
      </c>
      <c r="E77" s="1579">
        <v>48</v>
      </c>
      <c r="F77" s="1580" t="s">
        <v>116</v>
      </c>
      <c r="G77" s="1581" t="s">
        <v>140</v>
      </c>
      <c r="H77" s="1582"/>
      <c r="I77" s="1590"/>
      <c r="J77" s="1582"/>
      <c r="K77" s="1583">
        <v>500</v>
      </c>
      <c r="L77" s="1324">
        <f>'[5]통장내역(환율표)'!$D$41</f>
        <v>7.0497000418163429</v>
      </c>
      <c r="M77" s="1681">
        <f t="shared" si="7"/>
        <v>70.925003480173018</v>
      </c>
      <c r="N77" s="1585">
        <f t="shared" si="4"/>
        <v>304429.4700000005</v>
      </c>
      <c r="O77" s="1585">
        <f t="shared" si="5"/>
        <v>43183.331250173906</v>
      </c>
      <c r="P77" s="1591"/>
      <c r="Q77" s="1587"/>
      <c r="R77" s="1587"/>
      <c r="S77" s="1589">
        <f t="shared" si="8"/>
        <v>43183.331250173906</v>
      </c>
      <c r="T77" s="1478"/>
      <c r="U77" s="1478"/>
      <c r="V77" s="1478"/>
      <c r="W77" s="1478"/>
      <c r="X77" s="1478"/>
      <c r="Y77" s="1478"/>
      <c r="Z77" s="1478"/>
      <c r="AA77" s="1478"/>
      <c r="AB77" s="1478"/>
      <c r="AC77" s="1478"/>
    </row>
    <row r="78" spans="1:29" s="1484" customFormat="1" ht="11.25" customHeight="1">
      <c r="A78" s="1480"/>
      <c r="B78" s="1576">
        <v>46013</v>
      </c>
      <c r="C78" s="1639" t="s">
        <v>1629</v>
      </c>
      <c r="D78" s="1578" t="s">
        <v>211</v>
      </c>
      <c r="E78" s="1579">
        <v>49</v>
      </c>
      <c r="F78" s="1580" t="s">
        <v>107</v>
      </c>
      <c r="G78" s="1581"/>
      <c r="H78" s="1582"/>
      <c r="I78" s="1590"/>
      <c r="J78" s="1582"/>
      <c r="K78" s="1583">
        <v>16820</v>
      </c>
      <c r="L78" s="1324">
        <f>'[5]통장내역(환율표)'!$D$41</f>
        <v>7.0497000418163429</v>
      </c>
      <c r="M78" s="1681">
        <f t="shared" si="7"/>
        <v>2385.9171170730206</v>
      </c>
      <c r="N78" s="1585">
        <f t="shared" si="4"/>
        <v>287609.4700000005</v>
      </c>
      <c r="O78" s="1585">
        <f t="shared" si="5"/>
        <v>40797.414133100887</v>
      </c>
      <c r="P78" s="1591"/>
      <c r="Q78" s="1587"/>
      <c r="R78" s="1587"/>
      <c r="S78" s="1589">
        <f t="shared" si="8"/>
        <v>40797.414133100887</v>
      </c>
      <c r="T78" s="1478"/>
      <c r="U78" s="1478"/>
      <c r="V78" s="1478"/>
      <c r="W78" s="1478"/>
      <c r="X78" s="1478"/>
      <c r="Y78" s="1478"/>
      <c r="Z78" s="1478"/>
      <c r="AA78" s="1478"/>
      <c r="AB78" s="1478"/>
      <c r="AC78" s="1478"/>
    </row>
    <row r="79" spans="1:29" s="1484" customFormat="1" ht="11.25" customHeight="1">
      <c r="A79" s="1480"/>
      <c r="B79" s="1576">
        <v>46013</v>
      </c>
      <c r="C79" s="1593" t="s">
        <v>250</v>
      </c>
      <c r="D79" s="1578" t="s">
        <v>211</v>
      </c>
      <c r="E79" s="1579">
        <v>50</v>
      </c>
      <c r="F79" s="1580" t="s">
        <v>107</v>
      </c>
      <c r="G79" s="1581"/>
      <c r="H79" s="1582"/>
      <c r="I79" s="1590"/>
      <c r="J79" s="1582"/>
      <c r="K79" s="1583">
        <v>7.2</v>
      </c>
      <c r="L79" s="1324">
        <f>'[5]통장내역(환율표)'!$D$41</f>
        <v>7.0497000418163429</v>
      </c>
      <c r="M79" s="1681">
        <f t="shared" si="7"/>
        <v>1.0213200501144915</v>
      </c>
      <c r="N79" s="1585">
        <f t="shared" si="4"/>
        <v>287602.27000000048</v>
      </c>
      <c r="O79" s="1585">
        <f t="shared" si="5"/>
        <v>40796.39281305077</v>
      </c>
      <c r="P79" s="1591"/>
      <c r="Q79" s="1587"/>
      <c r="R79" s="1587"/>
      <c r="S79" s="1589">
        <f t="shared" si="8"/>
        <v>40796.39281305077</v>
      </c>
      <c r="T79" s="1478"/>
      <c r="U79" s="1478"/>
      <c r="V79" s="1478"/>
      <c r="W79" s="1478"/>
      <c r="X79" s="1478"/>
      <c r="Y79" s="1478"/>
      <c r="Z79" s="1478"/>
      <c r="AA79" s="1478"/>
      <c r="AB79" s="1478"/>
      <c r="AC79" s="1478"/>
    </row>
    <row r="80" spans="1:29" s="1484" customFormat="1" ht="11.25" customHeight="1">
      <c r="A80" s="1480"/>
      <c r="B80" s="1576">
        <v>46013</v>
      </c>
      <c r="C80" s="1593" t="s">
        <v>1406</v>
      </c>
      <c r="D80" s="1578" t="s">
        <v>1392</v>
      </c>
      <c r="E80" s="1579">
        <v>51</v>
      </c>
      <c r="F80" s="1580" t="s">
        <v>146</v>
      </c>
      <c r="G80" s="1581" t="s">
        <v>147</v>
      </c>
      <c r="H80" s="1582"/>
      <c r="I80" s="1582"/>
      <c r="J80" s="1582"/>
      <c r="K80" s="1583">
        <v>1777</v>
      </c>
      <c r="L80" s="1324">
        <f>'[5]통장내역(환율표)'!$D$41</f>
        <v>7.0497000418163429</v>
      </c>
      <c r="M80" s="1681">
        <f t="shared" si="7"/>
        <v>252.0674623685349</v>
      </c>
      <c r="N80" s="1585">
        <f t="shared" si="4"/>
        <v>285825.27000000048</v>
      </c>
      <c r="O80" s="1585">
        <f t="shared" si="5"/>
        <v>40544.325350682237</v>
      </c>
      <c r="P80" s="1591"/>
      <c r="Q80" s="1587"/>
      <c r="R80" s="1587"/>
      <c r="S80" s="1589">
        <f t="shared" si="8"/>
        <v>40544.325350682237</v>
      </c>
      <c r="T80" s="1478"/>
      <c r="U80" s="1478"/>
      <c r="V80" s="1478"/>
      <c r="W80" s="1478"/>
      <c r="X80" s="1478"/>
      <c r="Y80" s="1478"/>
      <c r="Z80" s="1478"/>
      <c r="AA80" s="1478"/>
      <c r="AB80" s="1478"/>
      <c r="AC80" s="1478"/>
    </row>
    <row r="81" spans="1:29" s="1484" customFormat="1" ht="11.25" customHeight="1">
      <c r="A81" s="1480"/>
      <c r="B81" s="1576">
        <v>46013</v>
      </c>
      <c r="C81" s="1593" t="s">
        <v>1407</v>
      </c>
      <c r="D81" s="1578" t="s">
        <v>1392</v>
      </c>
      <c r="E81" s="1579">
        <v>52</v>
      </c>
      <c r="F81" s="1580" t="s">
        <v>146</v>
      </c>
      <c r="G81" s="1581" t="s">
        <v>147</v>
      </c>
      <c r="H81" s="1582"/>
      <c r="I81" s="1590"/>
      <c r="J81" s="1582"/>
      <c r="K81" s="1583">
        <v>219</v>
      </c>
      <c r="L81" s="1324">
        <f>'[5]통장내역(환율표)'!$D$41</f>
        <v>7.0497000418163429</v>
      </c>
      <c r="M81" s="1681">
        <f t="shared" si="7"/>
        <v>31.065151524315784</v>
      </c>
      <c r="N81" s="1585">
        <f t="shared" si="4"/>
        <v>285606.27000000048</v>
      </c>
      <c r="O81" s="1585">
        <f t="shared" si="5"/>
        <v>40513.260199157921</v>
      </c>
      <c r="P81" s="1591"/>
      <c r="Q81" s="1587"/>
      <c r="R81" s="1587"/>
      <c r="S81" s="1589">
        <f t="shared" si="8"/>
        <v>40513.260199157921</v>
      </c>
      <c r="T81" s="1478"/>
      <c r="U81" s="1478"/>
      <c r="V81" s="1478"/>
      <c r="W81" s="1478"/>
      <c r="X81" s="1478"/>
      <c r="Y81" s="1478"/>
      <c r="Z81" s="1478"/>
      <c r="AA81" s="1478"/>
      <c r="AB81" s="1478"/>
      <c r="AC81" s="1478"/>
    </row>
    <row r="82" spans="1:29" s="1484" customFormat="1" ht="11.25" customHeight="1">
      <c r="A82" s="1480"/>
      <c r="B82" s="1576">
        <v>46013</v>
      </c>
      <c r="C82" s="1593" t="s">
        <v>1408</v>
      </c>
      <c r="D82" s="1578" t="s">
        <v>1392</v>
      </c>
      <c r="E82" s="1579">
        <v>53</v>
      </c>
      <c r="F82" s="1580" t="s">
        <v>146</v>
      </c>
      <c r="G82" s="1581" t="s">
        <v>147</v>
      </c>
      <c r="H82" s="1582"/>
      <c r="I82" s="1590"/>
      <c r="J82" s="1582"/>
      <c r="K82" s="1583">
        <v>454</v>
      </c>
      <c r="L82" s="1324">
        <f>'[5]통장내역(환율표)'!$D$41</f>
        <v>7.0497000418163429</v>
      </c>
      <c r="M82" s="1681">
        <f t="shared" si="7"/>
        <v>64.399903159997095</v>
      </c>
      <c r="N82" s="1585">
        <f t="shared" si="4"/>
        <v>285152.27000000048</v>
      </c>
      <c r="O82" s="1585">
        <f t="shared" si="5"/>
        <v>40448.860295997925</v>
      </c>
      <c r="P82" s="1591"/>
      <c r="Q82" s="1587"/>
      <c r="R82" s="1587"/>
      <c r="S82" s="1589">
        <f t="shared" si="8"/>
        <v>40448.860295997925</v>
      </c>
      <c r="T82" s="1478"/>
      <c r="U82" s="1478"/>
      <c r="V82" s="1478"/>
      <c r="W82" s="1478"/>
      <c r="X82" s="1478"/>
      <c r="Y82" s="1478"/>
      <c r="Z82" s="1478"/>
      <c r="AA82" s="1478"/>
      <c r="AB82" s="1478"/>
      <c r="AC82" s="1478"/>
    </row>
    <row r="83" spans="1:29" s="1484" customFormat="1" ht="11.25" customHeight="1">
      <c r="A83" s="1480"/>
      <c r="B83" s="1576">
        <v>46013</v>
      </c>
      <c r="C83" s="1593" t="s">
        <v>250</v>
      </c>
      <c r="D83" s="1578" t="s">
        <v>1392</v>
      </c>
      <c r="E83" s="1579">
        <v>54</v>
      </c>
      <c r="F83" s="1580" t="s">
        <v>107</v>
      </c>
      <c r="G83" s="1581"/>
      <c r="H83" s="1582"/>
      <c r="I83" s="1590"/>
      <c r="J83" s="1582"/>
      <c r="K83" s="1583">
        <v>3.6</v>
      </c>
      <c r="L83" s="1324">
        <f>'[5]통장내역(환율표)'!$D$41</f>
        <v>7.0497000418163429</v>
      </c>
      <c r="M83" s="1681">
        <f t="shared" si="7"/>
        <v>0.51066002505724573</v>
      </c>
      <c r="N83" s="1585">
        <f t="shared" si="4"/>
        <v>285148.67000000051</v>
      </c>
      <c r="O83" s="1585">
        <f t="shared" si="5"/>
        <v>40448.349635972867</v>
      </c>
      <c r="P83" s="1591"/>
      <c r="Q83" s="1587"/>
      <c r="R83" s="1587"/>
      <c r="S83" s="1589">
        <f t="shared" si="8"/>
        <v>40448.349635972867</v>
      </c>
      <c r="T83" s="1478"/>
      <c r="U83" s="1478"/>
      <c r="V83" s="1478"/>
      <c r="W83" s="1478"/>
      <c r="X83" s="1478"/>
      <c r="Y83" s="1478"/>
      <c r="Z83" s="1478"/>
      <c r="AA83" s="1478"/>
      <c r="AB83" s="1478"/>
      <c r="AC83" s="1478"/>
    </row>
    <row r="84" spans="1:29" s="1484" customFormat="1" ht="11.25" customHeight="1">
      <c r="A84" s="1480"/>
      <c r="B84" s="1576">
        <v>46013</v>
      </c>
      <c r="C84" s="1593" t="s">
        <v>1408</v>
      </c>
      <c r="D84" s="1578" t="s">
        <v>1393</v>
      </c>
      <c r="E84" s="1579">
        <v>55</v>
      </c>
      <c r="F84" s="1580" t="s">
        <v>146</v>
      </c>
      <c r="G84" s="1581" t="s">
        <v>147</v>
      </c>
      <c r="H84" s="1594"/>
      <c r="I84" s="1595"/>
      <c r="J84" s="1595"/>
      <c r="K84" s="1583">
        <v>398</v>
      </c>
      <c r="L84" s="1324">
        <f>'[5]통장내역(환율표)'!$D$41</f>
        <v>7.0497000418163429</v>
      </c>
      <c r="M84" s="1681">
        <f t="shared" si="7"/>
        <v>56.456302770217725</v>
      </c>
      <c r="N84" s="1585">
        <f t="shared" si="4"/>
        <v>284750.67000000051</v>
      </c>
      <c r="O84" s="1585">
        <f t="shared" si="5"/>
        <v>40391.89333320265</v>
      </c>
      <c r="P84" s="1591"/>
      <c r="Q84" s="1587"/>
      <c r="R84" s="1587"/>
      <c r="S84" s="1589">
        <f t="shared" si="8"/>
        <v>40391.89333320265</v>
      </c>
      <c r="T84" s="1478"/>
      <c r="U84" s="1478"/>
      <c r="V84" s="1478"/>
      <c r="W84" s="1478"/>
      <c r="X84" s="1478"/>
      <c r="Y84" s="1478"/>
      <c r="Z84" s="1478"/>
      <c r="AA84" s="1478"/>
      <c r="AB84" s="1478"/>
      <c r="AC84" s="1478"/>
    </row>
    <row r="85" spans="1:29" s="1484" customFormat="1" ht="11.25" customHeight="1">
      <c r="A85" s="1480"/>
      <c r="B85" s="1576">
        <v>46013</v>
      </c>
      <c r="C85" s="1593" t="s">
        <v>1406</v>
      </c>
      <c r="D85" s="1578" t="s">
        <v>1393</v>
      </c>
      <c r="E85" s="1579">
        <v>56</v>
      </c>
      <c r="F85" s="1580" t="s">
        <v>146</v>
      </c>
      <c r="G85" s="1581" t="s">
        <v>147</v>
      </c>
      <c r="H85" s="1594"/>
      <c r="I85" s="1595"/>
      <c r="J85" s="1595"/>
      <c r="K85" s="1583">
        <v>1599</v>
      </c>
      <c r="L85" s="1324">
        <f>'[5]통장내역(환율표)'!$D$41</f>
        <v>7.0497000418163429</v>
      </c>
      <c r="M85" s="1681">
        <f t="shared" si="7"/>
        <v>226.81816112959331</v>
      </c>
      <c r="N85" s="1585">
        <f t="shared" si="4"/>
        <v>283151.67000000051</v>
      </c>
      <c r="O85" s="1585">
        <f t="shared" si="5"/>
        <v>40165.075172073055</v>
      </c>
      <c r="P85" s="1591"/>
      <c r="Q85" s="1587"/>
      <c r="R85" s="1587"/>
      <c r="S85" s="1589">
        <f t="shared" si="8"/>
        <v>40165.075172073055</v>
      </c>
      <c r="T85" s="1478"/>
      <c r="U85" s="1478"/>
      <c r="V85" s="1478"/>
      <c r="W85" s="1478"/>
      <c r="X85" s="1478"/>
      <c r="Y85" s="1478"/>
      <c r="Z85" s="1478"/>
      <c r="AA85" s="1478"/>
      <c r="AB85" s="1478"/>
      <c r="AC85" s="1478"/>
    </row>
    <row r="86" spans="1:29" s="1484" customFormat="1" ht="11.25" customHeight="1">
      <c r="A86" s="1480"/>
      <c r="B86" s="1576">
        <v>46013</v>
      </c>
      <c r="C86" s="1593" t="s">
        <v>1407</v>
      </c>
      <c r="D86" s="1578" t="s">
        <v>1393</v>
      </c>
      <c r="E86" s="1579">
        <v>57</v>
      </c>
      <c r="F86" s="1580" t="s">
        <v>146</v>
      </c>
      <c r="G86" s="1581" t="s">
        <v>147</v>
      </c>
      <c r="H86" s="1594"/>
      <c r="I86" s="1595"/>
      <c r="J86" s="1595"/>
      <c r="K86" s="1583">
        <v>163</v>
      </c>
      <c r="L86" s="1324">
        <f>'[5]통장내역(환율표)'!$D$41</f>
        <v>7.0497000418163429</v>
      </c>
      <c r="M86" s="1681">
        <f t="shared" si="7"/>
        <v>23.121551134536404</v>
      </c>
      <c r="N86" s="1585">
        <f t="shared" si="4"/>
        <v>282988.67000000051</v>
      </c>
      <c r="O86" s="1585">
        <f t="shared" si="5"/>
        <v>40141.953620938519</v>
      </c>
      <c r="P86" s="1591"/>
      <c r="Q86" s="1587"/>
      <c r="R86" s="1587"/>
      <c r="S86" s="1589">
        <f t="shared" si="8"/>
        <v>40141.953620938519</v>
      </c>
      <c r="T86" s="1478"/>
      <c r="U86" s="1478"/>
      <c r="V86" s="1478"/>
      <c r="W86" s="1478"/>
      <c r="X86" s="1478"/>
      <c r="Y86" s="1478"/>
      <c r="Z86" s="1478"/>
      <c r="AA86" s="1478"/>
      <c r="AB86" s="1478"/>
      <c r="AC86" s="1478"/>
    </row>
    <row r="87" spans="1:29" s="1484" customFormat="1" ht="11.25" customHeight="1">
      <c r="A87" s="1480"/>
      <c r="B87" s="1576">
        <v>46013</v>
      </c>
      <c r="C87" s="1593" t="s">
        <v>250</v>
      </c>
      <c r="D87" s="1578" t="s">
        <v>1393</v>
      </c>
      <c r="E87" s="1579">
        <v>58</v>
      </c>
      <c r="F87" s="1580" t="s">
        <v>107</v>
      </c>
      <c r="G87" s="1581"/>
      <c r="H87" s="1594"/>
      <c r="I87" s="1595"/>
      <c r="J87" s="1595"/>
      <c r="K87" s="1583">
        <v>3.6</v>
      </c>
      <c r="L87" s="1324">
        <f>'[5]통장내역(환율표)'!$D$41</f>
        <v>7.0497000418163429</v>
      </c>
      <c r="M87" s="1681">
        <f t="shared" si="7"/>
        <v>0.51066002505724573</v>
      </c>
      <c r="N87" s="1585">
        <f t="shared" ref="N87:N93" si="9">N86+H87-K87</f>
        <v>282985.07000000053</v>
      </c>
      <c r="O87" s="1585">
        <f t="shared" ref="O87:O93" si="10">O86+J87-M87</f>
        <v>40141.44296091346</v>
      </c>
      <c r="P87" s="1591"/>
      <c r="Q87" s="1587"/>
      <c r="R87" s="1587"/>
      <c r="S87" s="1589">
        <f t="shared" si="8"/>
        <v>40141.44296091346</v>
      </c>
      <c r="T87" s="1478"/>
      <c r="U87" s="1478"/>
      <c r="V87" s="1478"/>
      <c r="W87" s="1478"/>
      <c r="X87" s="1478"/>
      <c r="Y87" s="1478"/>
      <c r="Z87" s="1478"/>
      <c r="AA87" s="1478"/>
      <c r="AB87" s="1478"/>
      <c r="AC87" s="1478"/>
    </row>
    <row r="88" spans="1:29" s="1484" customFormat="1" ht="11.25" customHeight="1">
      <c r="A88" s="1480"/>
      <c r="B88" s="1576">
        <v>46013</v>
      </c>
      <c r="C88" s="1593" t="s">
        <v>1406</v>
      </c>
      <c r="D88" s="1578" t="s">
        <v>1460</v>
      </c>
      <c r="E88" s="1579">
        <v>59</v>
      </c>
      <c r="F88" s="1580" t="s">
        <v>146</v>
      </c>
      <c r="G88" s="1581" t="s">
        <v>147</v>
      </c>
      <c r="H88" s="1594"/>
      <c r="I88" s="1595"/>
      <c r="J88" s="1595"/>
      <c r="K88" s="1583">
        <v>1165</v>
      </c>
      <c r="L88" s="1324">
        <f>'[5]통장내역(환율표)'!$D$41</f>
        <v>7.0497000418163429</v>
      </c>
      <c r="M88" s="1681">
        <f t="shared" si="7"/>
        <v>165.25525810880313</v>
      </c>
      <c r="N88" s="1585">
        <f t="shared" si="9"/>
        <v>281820.07000000053</v>
      </c>
      <c r="O88" s="1585">
        <f t="shared" si="10"/>
        <v>39976.187702804658</v>
      </c>
      <c r="P88" s="1591"/>
      <c r="Q88" s="1587"/>
      <c r="R88" s="1587"/>
      <c r="S88" s="1589">
        <f t="shared" si="8"/>
        <v>39976.187702804658</v>
      </c>
      <c r="T88" s="1478"/>
      <c r="U88" s="1478"/>
      <c r="V88" s="1478"/>
      <c r="W88" s="1478"/>
      <c r="X88" s="1478"/>
      <c r="Y88" s="1478"/>
      <c r="Z88" s="1478"/>
      <c r="AA88" s="1478"/>
      <c r="AB88" s="1478"/>
      <c r="AC88" s="1478"/>
    </row>
    <row r="89" spans="1:29" s="1484" customFormat="1" ht="11.25" customHeight="1">
      <c r="A89" s="1480"/>
      <c r="B89" s="1576">
        <v>46013</v>
      </c>
      <c r="C89" s="1593" t="s">
        <v>1408</v>
      </c>
      <c r="D89" s="1578" t="s">
        <v>1460</v>
      </c>
      <c r="E89" s="1579">
        <v>60</v>
      </c>
      <c r="F89" s="1580" t="s">
        <v>146</v>
      </c>
      <c r="G89" s="1581" t="s">
        <v>147</v>
      </c>
      <c r="H89" s="1594"/>
      <c r="I89" s="1595"/>
      <c r="J89" s="1595"/>
      <c r="K89" s="1583">
        <v>192</v>
      </c>
      <c r="L89" s="1324">
        <f>'[5]통장내역(환율표)'!$D$41</f>
        <v>7.0497000418163429</v>
      </c>
      <c r="M89" s="1681">
        <f t="shared" si="7"/>
        <v>27.235201336386439</v>
      </c>
      <c r="N89" s="1585">
        <f t="shared" si="9"/>
        <v>281628.07000000053</v>
      </c>
      <c r="O89" s="1585">
        <f t="shared" si="10"/>
        <v>39948.952501468273</v>
      </c>
      <c r="P89" s="1591"/>
      <c r="Q89" s="1587"/>
      <c r="R89" s="1587"/>
      <c r="S89" s="1589">
        <f t="shared" si="8"/>
        <v>39948.952501468273</v>
      </c>
      <c r="T89" s="1478"/>
      <c r="U89" s="1478"/>
      <c r="V89" s="1478"/>
      <c r="W89" s="1478"/>
      <c r="X89" s="1478"/>
      <c r="Y89" s="1478"/>
      <c r="Z89" s="1478"/>
      <c r="AA89" s="1478"/>
      <c r="AB89" s="1478"/>
      <c r="AC89" s="1478"/>
    </row>
    <row r="90" spans="1:29" s="1484" customFormat="1" ht="11.25" customHeight="1">
      <c r="A90" s="1480"/>
      <c r="B90" s="1576">
        <v>46013</v>
      </c>
      <c r="C90" s="1593" t="s">
        <v>1407</v>
      </c>
      <c r="D90" s="1578" t="s">
        <v>1460</v>
      </c>
      <c r="E90" s="1579">
        <v>61</v>
      </c>
      <c r="F90" s="1580" t="s">
        <v>146</v>
      </c>
      <c r="G90" s="1581" t="s">
        <v>147</v>
      </c>
      <c r="H90" s="1594"/>
      <c r="I90" s="1595"/>
      <c r="J90" s="1595"/>
      <c r="K90" s="1583">
        <v>98</v>
      </c>
      <c r="L90" s="1324">
        <f>'[5]통장내역(환율표)'!$D$41</f>
        <v>7.0497000418163429</v>
      </c>
      <c r="M90" s="1681">
        <f t="shared" si="7"/>
        <v>13.901300682113911</v>
      </c>
      <c r="N90" s="1585">
        <f t="shared" si="9"/>
        <v>281530.07000000053</v>
      </c>
      <c r="O90" s="1585">
        <f t="shared" si="10"/>
        <v>39935.051200786162</v>
      </c>
      <c r="P90" s="1591"/>
      <c r="Q90" s="1587"/>
      <c r="R90" s="1587"/>
      <c r="S90" s="1589">
        <f t="shared" si="8"/>
        <v>39935.051200786162</v>
      </c>
      <c r="T90" s="1478"/>
      <c r="U90" s="1478"/>
      <c r="V90" s="1478"/>
      <c r="W90" s="1478"/>
      <c r="X90" s="1478"/>
      <c r="Y90" s="1478"/>
      <c r="Z90" s="1478"/>
      <c r="AA90" s="1478"/>
      <c r="AB90" s="1478"/>
      <c r="AC90" s="1478"/>
    </row>
    <row r="91" spans="1:29" s="1484" customFormat="1" ht="11.25" customHeight="1">
      <c r="A91" s="1480"/>
      <c r="B91" s="1576">
        <v>46013</v>
      </c>
      <c r="C91" s="1593" t="s">
        <v>250</v>
      </c>
      <c r="D91" s="1578" t="s">
        <v>1460</v>
      </c>
      <c r="E91" s="1579">
        <v>62</v>
      </c>
      <c r="F91" s="1580" t="s">
        <v>107</v>
      </c>
      <c r="G91" s="1581"/>
      <c r="H91" s="1582"/>
      <c r="I91" s="1590"/>
      <c r="J91" s="1582"/>
      <c r="K91" s="1583">
        <v>3.6</v>
      </c>
      <c r="L91" s="1324">
        <f>'[5]통장내역(환율표)'!$D$41</f>
        <v>7.0497000418163429</v>
      </c>
      <c r="M91" s="1681">
        <f t="shared" si="7"/>
        <v>0.51066002505724573</v>
      </c>
      <c r="N91" s="1585">
        <f t="shared" si="9"/>
        <v>281526.47000000055</v>
      </c>
      <c r="O91" s="1585">
        <f t="shared" si="10"/>
        <v>39934.540540761103</v>
      </c>
      <c r="P91" s="1591"/>
      <c r="Q91" s="1587"/>
      <c r="R91" s="1587"/>
      <c r="S91" s="1589">
        <f t="shared" si="8"/>
        <v>39934.540540761103</v>
      </c>
      <c r="T91" s="1478"/>
      <c r="U91" s="1478"/>
      <c r="V91" s="1478"/>
      <c r="W91" s="1478"/>
      <c r="X91" s="1478"/>
      <c r="Y91" s="1478"/>
      <c r="Z91" s="1478"/>
      <c r="AA91" s="1478"/>
      <c r="AB91" s="1478"/>
      <c r="AC91" s="1478"/>
    </row>
    <row r="92" spans="1:29" ht="11.25" customHeight="1">
      <c r="B92" s="1576">
        <v>46015</v>
      </c>
      <c r="C92" s="1593" t="s">
        <v>1462</v>
      </c>
      <c r="D92" s="1578"/>
      <c r="E92" s="1579">
        <v>63</v>
      </c>
      <c r="F92" s="1580" t="s">
        <v>107</v>
      </c>
      <c r="G92" s="1581"/>
      <c r="H92" s="1582"/>
      <c r="I92" s="1590"/>
      <c r="J92" s="1582"/>
      <c r="K92" s="1583">
        <v>251315.53</v>
      </c>
      <c r="L92" s="1324">
        <f>'[5]통장내역(환율표)'!$D$41</f>
        <v>7.0497000418163429</v>
      </c>
      <c r="M92" s="1681">
        <f t="shared" si="7"/>
        <v>35649.109679743051</v>
      </c>
      <c r="N92" s="1585">
        <f t="shared" si="9"/>
        <v>30210.940000000555</v>
      </c>
      <c r="O92" s="1585">
        <f t="shared" si="10"/>
        <v>4285.4308610180524</v>
      </c>
      <c r="P92" s="1591"/>
      <c r="Q92" s="1587"/>
      <c r="R92" s="1587"/>
      <c r="S92" s="1589">
        <f t="shared" si="8"/>
        <v>4285.4308610180524</v>
      </c>
      <c r="U92" s="1478"/>
    </row>
    <row r="93" spans="1:29" ht="11.25" customHeight="1">
      <c r="B93" s="1576">
        <v>46015</v>
      </c>
      <c r="C93" s="1593" t="s">
        <v>250</v>
      </c>
      <c r="D93" s="1578"/>
      <c r="E93" s="1579">
        <v>64</v>
      </c>
      <c r="F93" s="1580" t="s">
        <v>107</v>
      </c>
      <c r="G93" s="1581"/>
      <c r="H93" s="1582"/>
      <c r="I93" s="1590"/>
      <c r="J93" s="1582"/>
      <c r="K93" s="1583">
        <v>12</v>
      </c>
      <c r="L93" s="1324">
        <f>'[5]통장내역(환율표)'!$D$41</f>
        <v>7.0497000418163429</v>
      </c>
      <c r="M93" s="1681">
        <f t="shared" ref="M93" si="11">K93/L93</f>
        <v>1.7022000835241524</v>
      </c>
      <c r="N93" s="1585">
        <f t="shared" si="9"/>
        <v>30198.940000000555</v>
      </c>
      <c r="O93" s="1585">
        <f t="shared" si="10"/>
        <v>4283.7286609345283</v>
      </c>
      <c r="P93" s="1591"/>
      <c r="Q93" s="1587"/>
      <c r="R93" s="1587"/>
      <c r="S93" s="1589">
        <f t="shared" si="8"/>
        <v>4283.7286609345283</v>
      </c>
    </row>
    <row r="94" spans="1:29" ht="11.25" customHeight="1">
      <c r="J94" s="1478"/>
      <c r="K94" s="1478"/>
      <c r="R94" s="1478"/>
      <c r="S94" s="1478"/>
    </row>
    <row r="95" spans="1:29" ht="11.25" customHeight="1">
      <c r="R95" s="1478"/>
      <c r="S95" s="1478"/>
    </row>
  </sheetData>
  <autoFilter ref="B18:R93" xr:uid="{00000000-0009-0000-0000-000001000000}">
    <filterColumn colId="14" showButton="0"/>
    <sortState xmlns:xlrd2="http://schemas.microsoft.com/office/spreadsheetml/2017/richdata2" ref="B19:R91">
      <sortCondition sortBy="cellColor" ref="M18:M91" dxfId="5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FF7E-DAF8-46C8-B1DC-1CAB94875109}">
  <sheetPr>
    <tabColor rgb="FFFFC000"/>
  </sheetPr>
  <dimension ref="A1:AC103"/>
  <sheetViews>
    <sheetView showGridLines="0" zoomScale="85" zoomScaleNormal="85" workbookViewId="0">
      <selection activeCell="N13" sqref="N13"/>
    </sheetView>
  </sheetViews>
  <sheetFormatPr defaultColWidth="9" defaultRowHeight="11.25" customHeight="1"/>
  <cols>
    <col min="1" max="1" width="1.69921875" style="1480" customWidth="1"/>
    <col min="2" max="2" width="9.69921875" style="1539" customWidth="1"/>
    <col min="3" max="3" width="24" style="1482" customWidth="1"/>
    <col min="4" max="4" width="15.69921875" style="1478" customWidth="1"/>
    <col min="5" max="5" width="8.5" style="1478" customWidth="1"/>
    <col min="6" max="6" width="15.09765625" style="1478" customWidth="1"/>
    <col min="7" max="7" width="9.796875" style="1484" customWidth="1"/>
    <col min="8" max="8" width="9.69921875" style="1478" customWidth="1"/>
    <col min="9" max="9" width="13.19921875" style="1478" bestFit="1" customWidth="1"/>
    <col min="10" max="10" width="10.5" style="1484" customWidth="1"/>
    <col min="11" max="11" width="11" style="1537" customWidth="1"/>
    <col min="12" max="12" width="11.09765625" style="1478" customWidth="1"/>
    <col min="13" max="13" width="13" style="1478" bestFit="1" customWidth="1"/>
    <col min="14" max="14" width="12.296875" style="1478" customWidth="1"/>
    <col min="15" max="15" width="13.19921875" style="1478" bestFit="1" customWidth="1"/>
    <col min="16" max="16" width="10.69921875" style="1478" customWidth="1"/>
    <col min="17" max="17" width="9.59765625" style="1478" customWidth="1"/>
    <col min="18" max="18" width="31.5" style="1484" customWidth="1"/>
    <col min="19" max="19" width="10.5" style="1491" bestFit="1" customWidth="1"/>
    <col min="20" max="20" width="9" style="1478"/>
    <col min="21" max="21" width="9" style="1479"/>
    <col min="22" max="16384" width="9" style="1478"/>
  </cols>
  <sheetData>
    <row r="1" spans="1:29" ht="1.5" customHeight="1">
      <c r="A1" s="1465"/>
      <c r="B1" s="1466"/>
      <c r="C1" s="1467"/>
      <c r="D1" s="1468"/>
      <c r="E1" s="1469"/>
      <c r="F1" s="1469"/>
      <c r="G1" s="1470"/>
      <c r="H1" s="1469"/>
      <c r="I1" s="1469"/>
      <c r="J1" s="1471"/>
      <c r="K1" s="1472"/>
      <c r="L1" s="1473"/>
      <c r="M1" s="1474"/>
      <c r="N1" s="1474"/>
      <c r="O1" s="1468"/>
      <c r="P1" s="1475"/>
      <c r="Q1" s="1475"/>
      <c r="R1" s="1476"/>
      <c r="S1" s="1477"/>
    </row>
    <row r="2" spans="1:29" ht="15" customHeight="1">
      <c r="B2" s="1481" t="s">
        <v>1637</v>
      </c>
      <c r="D2" s="1482"/>
      <c r="F2" s="1483"/>
      <c r="G2" s="1484" t="s">
        <v>1047</v>
      </c>
      <c r="H2" s="1485" t="s">
        <v>1398</v>
      </c>
      <c r="I2" s="1486"/>
      <c r="J2" s="1486"/>
      <c r="K2" s="1487"/>
      <c r="L2" s="1486"/>
      <c r="M2" s="1486"/>
      <c r="N2" s="1488"/>
      <c r="O2" s="1489"/>
      <c r="Q2" s="1490"/>
    </row>
    <row r="3" spans="1:29" s="1497" customFormat="1" ht="11.25" customHeight="1">
      <c r="A3" s="1492"/>
      <c r="B3" s="1710" t="s">
        <v>1639</v>
      </c>
      <c r="C3" s="1352"/>
      <c r="D3" s="1352"/>
      <c r="E3" s="1352"/>
      <c r="F3" s="1353">
        <v>1470.4</v>
      </c>
      <c r="G3" s="1711"/>
      <c r="H3" s="1710" t="s">
        <v>1640</v>
      </c>
      <c r="I3" s="1352"/>
      <c r="J3" s="1355"/>
      <c r="K3" s="1356"/>
      <c r="L3" s="1353">
        <v>1449.4</v>
      </c>
      <c r="M3" s="1351"/>
      <c r="N3" s="1351"/>
      <c r="O3" s="1351"/>
      <c r="P3" s="1493"/>
      <c r="Q3" s="1493"/>
      <c r="R3" s="1493"/>
      <c r="T3" s="1493"/>
      <c r="U3" s="1494"/>
      <c r="V3" s="1499"/>
      <c r="W3" s="1499"/>
      <c r="X3" s="1500">
        <v>1327.2</v>
      </c>
    </row>
    <row r="4" spans="1:29" ht="11.25" customHeight="1">
      <c r="A4" s="1465"/>
      <c r="B4" s="1359" t="s">
        <v>1</v>
      </c>
      <c r="C4" s="1361" t="s">
        <v>2</v>
      </c>
      <c r="D4" s="1364" t="s">
        <v>1049</v>
      </c>
      <c r="E4" s="1365" t="s">
        <v>1050</v>
      </c>
      <c r="F4" s="1363" t="s">
        <v>1051</v>
      </c>
      <c r="G4" s="1404"/>
      <c r="H4" s="1359" t="s">
        <v>1</v>
      </c>
      <c r="I4" s="1361" t="s">
        <v>2</v>
      </c>
      <c r="J4" s="1364" t="s">
        <v>1049</v>
      </c>
      <c r="K4" s="1365" t="s">
        <v>1050</v>
      </c>
      <c r="L4" s="1363" t="s">
        <v>1051</v>
      </c>
      <c r="M4" s="1351"/>
      <c r="N4" s="1351"/>
      <c r="O4" s="1351"/>
      <c r="P4" s="1493"/>
      <c r="Q4" s="1493"/>
      <c r="R4" s="1493"/>
      <c r="U4" s="1478"/>
    </row>
    <row r="5" spans="1:29" ht="11.25" customHeight="1">
      <c r="A5" s="1491">
        <v>51131050</v>
      </c>
      <c r="B5" s="1712" t="s">
        <v>1052</v>
      </c>
      <c r="C5" s="1713" t="s">
        <v>12</v>
      </c>
      <c r="D5" s="1372"/>
      <c r="E5" s="1714"/>
      <c r="F5" s="1730">
        <f>ROUND(E5*$F$3,0)</f>
        <v>0</v>
      </c>
      <c r="G5" s="1715">
        <v>51131050</v>
      </c>
      <c r="H5" s="1716" t="s">
        <v>11</v>
      </c>
      <c r="I5" s="1716" t="s">
        <v>12</v>
      </c>
      <c r="J5" s="1372">
        <v>8084.66</v>
      </c>
      <c r="K5" s="1373">
        <v>1160.79</v>
      </c>
      <c r="L5" s="1717">
        <f>ROUND(K5*$L$3,0)</f>
        <v>1682449</v>
      </c>
      <c r="M5" s="1351"/>
      <c r="N5" s="1351"/>
      <c r="O5" s="1351"/>
      <c r="P5" s="1493"/>
      <c r="Q5" s="1493"/>
      <c r="R5" s="1493"/>
      <c r="S5" s="1517">
        <f>F5+L5+R5</f>
        <v>1682449</v>
      </c>
      <c r="U5" s="1478"/>
    </row>
    <row r="6" spans="1:29" ht="11.25" customHeight="1">
      <c r="A6" s="1491">
        <v>51061030</v>
      </c>
      <c r="B6" s="1712" t="s">
        <v>1053</v>
      </c>
      <c r="C6" s="1713" t="s">
        <v>1054</v>
      </c>
      <c r="D6" s="1372">
        <v>2400</v>
      </c>
      <c r="E6" s="1372">
        <v>340.44</v>
      </c>
      <c r="F6" s="1730">
        <f t="shared" ref="F6:F10" si="0">ROUND(E6*$F$3,0)</f>
        <v>500583</v>
      </c>
      <c r="G6" s="1715">
        <v>51061030</v>
      </c>
      <c r="H6" s="1716" t="s">
        <v>13</v>
      </c>
      <c r="I6" s="1716" t="s">
        <v>14</v>
      </c>
      <c r="J6" s="1372">
        <v>32847.210000000006</v>
      </c>
      <c r="K6" s="1373">
        <v>4716.17</v>
      </c>
      <c r="L6" s="1717">
        <f t="shared" ref="L6:L12" si="1">ROUND(K6*$L$3,0)</f>
        <v>6835617</v>
      </c>
      <c r="M6" s="1351"/>
      <c r="N6" s="1351"/>
      <c r="O6" s="1351"/>
      <c r="P6" s="1493"/>
      <c r="Q6" s="1493"/>
      <c r="R6" s="1493"/>
      <c r="S6" s="1517">
        <f t="shared" ref="S6:S8" si="2">F6+L6+R6</f>
        <v>7336200</v>
      </c>
      <c r="U6" s="1478"/>
      <c r="AB6" s="1486"/>
      <c r="AC6" s="1484"/>
    </row>
    <row r="7" spans="1:29" ht="11.25" customHeight="1">
      <c r="A7" s="1491">
        <v>51201020</v>
      </c>
      <c r="B7" s="1712" t="s">
        <v>15</v>
      </c>
      <c r="C7" s="1713" t="s">
        <v>180</v>
      </c>
      <c r="D7" s="1372">
        <v>25047</v>
      </c>
      <c r="E7" s="1372">
        <v>3552.92</v>
      </c>
      <c r="F7" s="1730">
        <f t="shared" si="0"/>
        <v>5224214</v>
      </c>
      <c r="G7" s="1715">
        <v>51201020</v>
      </c>
      <c r="H7" s="1716" t="s">
        <v>15</v>
      </c>
      <c r="I7" s="1716" t="s">
        <v>1055</v>
      </c>
      <c r="J7" s="1376"/>
      <c r="K7" s="1377"/>
      <c r="L7" s="1717">
        <f t="shared" si="1"/>
        <v>0</v>
      </c>
      <c r="M7" s="1351"/>
      <c r="N7" s="1351"/>
      <c r="O7" s="1351"/>
      <c r="P7" s="1493"/>
      <c r="Q7" s="1493"/>
      <c r="R7" s="1493"/>
      <c r="S7" s="1517">
        <f t="shared" si="2"/>
        <v>5224214</v>
      </c>
      <c r="U7" s="1478"/>
    </row>
    <row r="8" spans="1:29" ht="13.05" customHeight="1">
      <c r="A8" s="1491">
        <v>51201030</v>
      </c>
      <c r="B8" s="1712" t="s">
        <v>1056</v>
      </c>
      <c r="C8" s="1713" t="s">
        <v>17</v>
      </c>
      <c r="D8" s="1372"/>
      <c r="E8" s="1372"/>
      <c r="F8" s="1730">
        <f t="shared" si="0"/>
        <v>0</v>
      </c>
      <c r="G8" s="1715">
        <v>51201030</v>
      </c>
      <c r="H8" s="1716" t="s">
        <v>15</v>
      </c>
      <c r="I8" s="1713" t="s">
        <v>17</v>
      </c>
      <c r="J8" s="1376">
        <v>20000</v>
      </c>
      <c r="K8" s="1377">
        <v>2871.58</v>
      </c>
      <c r="L8" s="1717">
        <f t="shared" si="1"/>
        <v>4162068</v>
      </c>
      <c r="M8" s="1351"/>
      <c r="N8" s="1351"/>
      <c r="O8" s="1351"/>
      <c r="P8" s="1493"/>
      <c r="Q8" s="1493"/>
      <c r="R8" s="1493"/>
      <c r="S8" s="1517">
        <f t="shared" si="2"/>
        <v>4162068</v>
      </c>
      <c r="U8" s="1478"/>
    </row>
    <row r="9" spans="1:29" ht="11.25" customHeight="1">
      <c r="A9" s="1491">
        <v>51071700</v>
      </c>
      <c r="B9" s="1712" t="s">
        <v>19</v>
      </c>
      <c r="C9" s="1713" t="s">
        <v>20</v>
      </c>
      <c r="D9" s="1372"/>
      <c r="E9" s="1372"/>
      <c r="F9" s="1730">
        <f t="shared" si="0"/>
        <v>0</v>
      </c>
      <c r="G9" s="1715">
        <v>51071700</v>
      </c>
      <c r="H9" s="1716" t="s">
        <v>19</v>
      </c>
      <c r="I9" s="1713" t="s">
        <v>20</v>
      </c>
      <c r="J9" s="1376">
        <v>2687.4</v>
      </c>
      <c r="K9" s="1377">
        <v>385.85</v>
      </c>
      <c r="L9" s="1717">
        <f t="shared" si="1"/>
        <v>559251</v>
      </c>
      <c r="M9" s="1351"/>
      <c r="N9" s="1351"/>
      <c r="O9" s="1351"/>
      <c r="P9" s="1493"/>
      <c r="Q9" s="1493"/>
      <c r="R9" s="1493"/>
      <c r="S9" s="1517"/>
      <c r="U9" s="1478"/>
    </row>
    <row r="10" spans="1:29" ht="11.25" customHeight="1">
      <c r="A10" s="1491">
        <v>51321010</v>
      </c>
      <c r="B10" s="1712" t="s">
        <v>21</v>
      </c>
      <c r="C10" s="1713"/>
      <c r="D10" s="1372">
        <v>2752.0021201200107</v>
      </c>
      <c r="E10" s="1372">
        <v>390.37</v>
      </c>
      <c r="F10" s="1730">
        <f t="shared" si="0"/>
        <v>574000</v>
      </c>
      <c r="G10" s="1718">
        <v>51321010</v>
      </c>
      <c r="H10" s="1716" t="s">
        <v>21</v>
      </c>
      <c r="I10" s="1716"/>
      <c r="J10" s="1372">
        <v>339309.74</v>
      </c>
      <c r="K10" s="1373">
        <v>48742.800225222061</v>
      </c>
      <c r="L10" s="1717">
        <f t="shared" si="1"/>
        <v>70647815</v>
      </c>
      <c r="M10" s="1351"/>
      <c r="N10" s="1351"/>
      <c r="O10" s="1351"/>
      <c r="P10" s="1493"/>
      <c r="Q10" s="1493"/>
      <c r="R10" s="1493"/>
      <c r="S10" s="1517"/>
      <c r="U10" s="1478"/>
      <c r="AB10" s="1486"/>
      <c r="AC10" s="1484"/>
    </row>
    <row r="11" spans="1:29" ht="11.25" customHeight="1">
      <c r="A11" s="1491">
        <v>51031020</v>
      </c>
      <c r="B11" s="1719" t="s">
        <v>1057</v>
      </c>
      <c r="C11" s="1720" t="s">
        <v>1058</v>
      </c>
      <c r="D11" s="1719"/>
      <c r="E11" s="1719"/>
      <c r="F11" s="1731"/>
      <c r="G11" s="1722"/>
      <c r="H11" s="1719" t="s">
        <v>1057</v>
      </c>
      <c r="I11" s="1719" t="s">
        <v>1279</v>
      </c>
      <c r="J11" s="1723"/>
      <c r="K11" s="1724"/>
      <c r="L11" s="1721">
        <f t="shared" si="1"/>
        <v>0</v>
      </c>
      <c r="M11" s="1351"/>
      <c r="N11" s="1351"/>
      <c r="O11" s="1351"/>
      <c r="P11" s="1493"/>
      <c r="Q11" s="1493"/>
      <c r="R11" s="1493"/>
      <c r="S11" s="1517"/>
      <c r="U11" s="1478"/>
      <c r="AB11" s="1486"/>
      <c r="AC11" s="1484"/>
    </row>
    <row r="12" spans="1:29" ht="11.25" customHeight="1">
      <c r="A12" s="1491">
        <v>52981010</v>
      </c>
      <c r="B12" s="1716" t="s">
        <v>1638</v>
      </c>
      <c r="C12" s="1713" t="s">
        <v>1060</v>
      </c>
      <c r="D12" s="1372"/>
      <c r="E12" s="1372"/>
      <c r="F12" s="1730">
        <v>9029</v>
      </c>
      <c r="G12" s="1722">
        <v>52981010</v>
      </c>
      <c r="H12" s="1716" t="s">
        <v>1638</v>
      </c>
      <c r="I12" s="1716" t="s">
        <v>1060</v>
      </c>
      <c r="J12" s="1725"/>
      <c r="K12" s="1372"/>
      <c r="L12" s="1717">
        <f t="shared" si="1"/>
        <v>0</v>
      </c>
      <c r="M12" s="1351"/>
      <c r="N12" s="1351"/>
      <c r="O12" s="1351"/>
      <c r="P12" s="1493"/>
      <c r="Q12" s="1493"/>
      <c r="R12" s="1493"/>
      <c r="S12" s="1517"/>
      <c r="U12" s="1478"/>
      <c r="AB12" s="1486"/>
      <c r="AC12" s="1484"/>
    </row>
    <row r="13" spans="1:29" s="1484" customFormat="1" ht="8.5500000000000007" customHeight="1">
      <c r="A13" s="1528"/>
      <c r="B13" s="1726" t="s">
        <v>22</v>
      </c>
      <c r="C13" s="1727"/>
      <c r="D13" s="1391">
        <f>SUM(D5:D11)</f>
        <v>30199.002120120011</v>
      </c>
      <c r="E13" s="1391">
        <f>SUM(E5:E11)</f>
        <v>4283.7300000000005</v>
      </c>
      <c r="F13" s="1728">
        <f>SUM(F5:F11)</f>
        <v>6298797</v>
      </c>
      <c r="G13" s="1729"/>
      <c r="H13" s="1732" t="s">
        <v>22</v>
      </c>
      <c r="I13" s="1733"/>
      <c r="J13" s="1391">
        <f>SUM(J5:J11)-J12</f>
        <v>402929.01</v>
      </c>
      <c r="K13" s="1365">
        <f>SUM(K5:K11)-K12</f>
        <v>57877.190225222061</v>
      </c>
      <c r="L13" s="1393">
        <f>SUM(L5:L11)-L12</f>
        <v>83887200</v>
      </c>
      <c r="M13" s="1351"/>
      <c r="N13" s="1351"/>
      <c r="O13" s="1351"/>
      <c r="P13" s="1497"/>
      <c r="R13" s="1497"/>
      <c r="S13" s="1517"/>
      <c r="U13" s="1535"/>
      <c r="X13" s="1526" t="e">
        <f>F13+#REF!</f>
        <v>#REF!</v>
      </c>
      <c r="Y13" s="1536"/>
      <c r="Z13" s="1537"/>
      <c r="AB13" s="1538"/>
    </row>
    <row r="14" spans="1:29" ht="8.5500000000000007" customHeight="1">
      <c r="A14" s="1465"/>
      <c r="D14" s="1540">
        <f>D13-D12</f>
        <v>30199.002120120011</v>
      </c>
      <c r="E14" s="1540">
        <f>E13-E12</f>
        <v>4283.7300000000005</v>
      </c>
      <c r="F14" s="1540">
        <f>F13-F12</f>
        <v>6289768</v>
      </c>
      <c r="G14" s="1541"/>
      <c r="J14" s="1542">
        <f>J13+D13+P13</f>
        <v>433128.01212011999</v>
      </c>
      <c r="K14" s="1542">
        <f t="shared" ref="K14:L14" si="3">K13+E13+Q13</f>
        <v>62160.920225222064</v>
      </c>
      <c r="L14" s="1542">
        <f t="shared" si="3"/>
        <v>90185997</v>
      </c>
      <c r="M14" s="1351"/>
      <c r="N14" s="1351"/>
      <c r="O14" s="1351"/>
      <c r="P14" s="1497"/>
      <c r="Q14" s="1526"/>
      <c r="R14" s="1493"/>
      <c r="X14" s="1486"/>
      <c r="Y14" s="1486"/>
      <c r="AB14" s="1486"/>
      <c r="AC14" s="1484"/>
    </row>
    <row r="15" spans="1:29" ht="11.1" customHeight="1">
      <c r="A15" s="1465"/>
      <c r="D15" s="1540"/>
      <c r="E15" s="1540"/>
      <c r="F15" s="1540"/>
      <c r="G15" s="1541"/>
      <c r="J15" s="1627"/>
      <c r="K15" s="1535"/>
      <c r="L15" s="1543"/>
      <c r="M15" s="1535"/>
      <c r="O15" s="1526"/>
      <c r="P15" s="1526"/>
      <c r="Q15" s="1526"/>
      <c r="R15" s="1544"/>
      <c r="X15" s="1486"/>
      <c r="Y15" s="1486"/>
      <c r="AB15" s="1486"/>
      <c r="AC15" s="1484"/>
    </row>
    <row r="16" spans="1:29" ht="11.1" customHeight="1">
      <c r="A16" s="1465"/>
      <c r="D16" s="1482"/>
      <c r="E16" s="1545"/>
      <c r="F16" s="1545"/>
      <c r="G16" s="1541"/>
      <c r="I16" s="1486"/>
      <c r="J16" s="1538"/>
      <c r="K16" s="1626">
        <f>SUBTOTAL(9,K19:K89)</f>
        <v>433128.01</v>
      </c>
      <c r="L16" s="1546"/>
      <c r="M16" s="1626">
        <f>SUBTOTAL(9,M19:M89)</f>
        <v>62160.922930747154</v>
      </c>
      <c r="N16" s="1486"/>
      <c r="Q16" s="1486"/>
      <c r="U16" s="1478"/>
    </row>
    <row r="17" spans="1:29" ht="11.55" customHeight="1">
      <c r="A17" s="1465"/>
      <c r="B17" s="1547" t="s">
        <v>24</v>
      </c>
      <c r="C17" s="1548" t="s">
        <v>25</v>
      </c>
      <c r="D17" s="1688" t="s">
        <v>1061</v>
      </c>
      <c r="E17" s="1550" t="s">
        <v>26</v>
      </c>
      <c r="F17" s="1688" t="s">
        <v>1</v>
      </c>
      <c r="G17" s="1551" t="s">
        <v>2</v>
      </c>
      <c r="H17" s="2096" t="s">
        <v>29</v>
      </c>
      <c r="I17" s="2096"/>
      <c r="J17" s="2096"/>
      <c r="K17" s="2096" t="s">
        <v>30</v>
      </c>
      <c r="L17" s="2096"/>
      <c r="M17" s="2097"/>
      <c r="N17" s="2098" t="s">
        <v>31</v>
      </c>
      <c r="O17" s="2098"/>
      <c r="P17" s="2099"/>
      <c r="Q17" s="2099"/>
      <c r="R17" s="1551" t="s">
        <v>1062</v>
      </c>
      <c r="U17" s="1478"/>
    </row>
    <row r="18" spans="1:29" ht="11.1" customHeight="1">
      <c r="A18" s="1465"/>
      <c r="B18" s="1552" t="s">
        <v>1063</v>
      </c>
      <c r="C18" s="1553" t="s">
        <v>1064</v>
      </c>
      <c r="D18" s="1689" t="s">
        <v>1065</v>
      </c>
      <c r="E18" s="1555" t="s">
        <v>1066</v>
      </c>
      <c r="F18" s="1556" t="s">
        <v>1067</v>
      </c>
      <c r="G18" s="1557" t="s">
        <v>1068</v>
      </c>
      <c r="H18" s="1558" t="s">
        <v>1069</v>
      </c>
      <c r="I18" s="1558" t="s">
        <v>1070</v>
      </c>
      <c r="J18" s="1559" t="s">
        <v>34</v>
      </c>
      <c r="K18" s="1559" t="s">
        <v>1069</v>
      </c>
      <c r="L18" s="1558" t="s">
        <v>1070</v>
      </c>
      <c r="M18" s="1560" t="s">
        <v>34</v>
      </c>
      <c r="N18" s="1687" t="s">
        <v>1069</v>
      </c>
      <c r="O18" s="1687" t="s">
        <v>34</v>
      </c>
      <c r="P18" s="2100" t="s">
        <v>32</v>
      </c>
      <c r="Q18" s="2100"/>
      <c r="R18" s="1562" t="s">
        <v>1062</v>
      </c>
      <c r="U18" s="1478"/>
    </row>
    <row r="19" spans="1:29" ht="11.25" customHeight="1">
      <c r="B19" s="1698" t="s">
        <v>1636</v>
      </c>
      <c r="C19" s="1564"/>
      <c r="D19" s="1565"/>
      <c r="E19" s="1564"/>
      <c r="F19" s="1566"/>
      <c r="G19" s="1567"/>
      <c r="H19" s="1568"/>
      <c r="I19" s="1565"/>
      <c r="J19" s="1567"/>
      <c r="K19" s="1569"/>
      <c r="L19" s="1570"/>
      <c r="M19" s="1571"/>
      <c r="N19" s="1572">
        <v>30198.940000000555</v>
      </c>
      <c r="O19" s="1572">
        <v>4283.7286609345283</v>
      </c>
      <c r="P19" s="1573"/>
      <c r="Q19" s="1564"/>
      <c r="R19" s="1574"/>
      <c r="S19" s="1575">
        <v>4283.7286609345283</v>
      </c>
      <c r="U19" s="1478"/>
    </row>
    <row r="20" spans="1:29" s="1479" customFormat="1" ht="11.25" customHeight="1">
      <c r="A20" s="1480"/>
      <c r="B20" s="1576">
        <v>46035</v>
      </c>
      <c r="C20" s="1577" t="s">
        <v>1088</v>
      </c>
      <c r="D20" s="1578"/>
      <c r="E20" s="1694">
        <v>1</v>
      </c>
      <c r="F20" s="1580"/>
      <c r="G20" s="1581"/>
      <c r="H20" s="1582">
        <v>444337.18</v>
      </c>
      <c r="I20" s="1582"/>
      <c r="J20" s="1582">
        <v>63822.55</v>
      </c>
      <c r="K20" s="1583"/>
      <c r="L20" s="1583"/>
      <c r="M20" s="1681"/>
      <c r="N20" s="1585">
        <f t="shared" ref="N20:N51" si="4">N19+H20-K20</f>
        <v>474536.12000000058</v>
      </c>
      <c r="O20" s="1585">
        <f t="shared" ref="O20:O51" si="5">O19+J20-M20</f>
        <v>68106.278660934535</v>
      </c>
      <c r="P20" s="1586"/>
      <c r="Q20" s="1587"/>
      <c r="R20" s="1588"/>
      <c r="S20" s="1589"/>
      <c r="T20" s="1478"/>
      <c r="U20" s="1478"/>
      <c r="V20" s="1478"/>
      <c r="W20" s="1478"/>
      <c r="X20" s="1478"/>
      <c r="Y20" s="1478"/>
      <c r="Z20" s="1478"/>
      <c r="AA20" s="1478"/>
      <c r="AB20" s="1478"/>
      <c r="AC20" s="1478"/>
    </row>
    <row r="21" spans="1:29" s="1479" customFormat="1" ht="11.25" customHeight="1">
      <c r="A21" s="1480"/>
      <c r="B21" s="1576">
        <v>46035</v>
      </c>
      <c r="C21" s="1577" t="s">
        <v>1088</v>
      </c>
      <c r="D21" s="1578"/>
      <c r="E21" s="1694">
        <v>1</v>
      </c>
      <c r="F21" s="1580" t="s">
        <v>107</v>
      </c>
      <c r="G21" s="1581"/>
      <c r="H21" s="1582"/>
      <c r="I21" s="1582"/>
      <c r="J21" s="1582"/>
      <c r="K21" s="1583"/>
      <c r="L21" s="1583"/>
      <c r="M21" s="1096">
        <v>25</v>
      </c>
      <c r="N21" s="1585">
        <f t="shared" si="4"/>
        <v>474536.12000000058</v>
      </c>
      <c r="O21" s="1585">
        <f t="shared" si="5"/>
        <v>68081.278660934535</v>
      </c>
      <c r="P21" s="1586"/>
      <c r="Q21" s="1587"/>
      <c r="R21" s="1588"/>
      <c r="S21" s="1589"/>
      <c r="T21" s="1478"/>
      <c r="U21" s="1478"/>
      <c r="V21" s="1478"/>
      <c r="W21" s="1478"/>
      <c r="X21" s="1478"/>
      <c r="Y21" s="1478"/>
      <c r="Z21" s="1478"/>
      <c r="AA21" s="1478"/>
      <c r="AB21" s="1478"/>
      <c r="AC21" s="1478"/>
    </row>
    <row r="22" spans="1:29" s="1479" customFormat="1" ht="11.25" customHeight="1">
      <c r="A22" s="1480"/>
      <c r="B22" s="1576">
        <v>46035</v>
      </c>
      <c r="C22" s="1577" t="s">
        <v>1464</v>
      </c>
      <c r="D22" s="1578"/>
      <c r="E22" s="1694">
        <v>2</v>
      </c>
      <c r="F22" s="1580" t="s">
        <v>105</v>
      </c>
      <c r="G22" s="1581" t="s">
        <v>1122</v>
      </c>
      <c r="H22" s="1582"/>
      <c r="I22" s="1582"/>
      <c r="J22" s="1582"/>
      <c r="K22" s="1583">
        <v>25047</v>
      </c>
      <c r="L22" s="1324">
        <f>'통장내역(환율표)'!$D$41</f>
        <v>7.0497000418163429</v>
      </c>
      <c r="M22" s="1681">
        <f>K22/L22</f>
        <v>3552.9171243357873</v>
      </c>
      <c r="N22" s="1585">
        <f t="shared" si="4"/>
        <v>449489.12000000058</v>
      </c>
      <c r="O22" s="1585">
        <f t="shared" si="5"/>
        <v>64528.36153659875</v>
      </c>
      <c r="P22" s="1586"/>
      <c r="Q22" s="1587"/>
      <c r="R22" s="1588"/>
      <c r="S22" s="1589">
        <f>S19-M22</f>
        <v>730.81153659874099</v>
      </c>
      <c r="T22" s="1478"/>
      <c r="U22" s="1478"/>
      <c r="V22" s="1478"/>
      <c r="W22" s="1478"/>
      <c r="X22" s="1478"/>
      <c r="Y22" s="1478"/>
      <c r="Z22" s="1478"/>
      <c r="AA22" s="1478"/>
      <c r="AB22" s="1478"/>
      <c r="AC22" s="1478"/>
    </row>
    <row r="23" spans="1:29" s="1479" customFormat="1" ht="11.25" customHeight="1">
      <c r="A23" s="1480"/>
      <c r="B23" s="1576">
        <v>46035</v>
      </c>
      <c r="C23" s="1577" t="s">
        <v>250</v>
      </c>
      <c r="D23" s="1578"/>
      <c r="E23" s="1694">
        <v>3</v>
      </c>
      <c r="F23" s="1580" t="s">
        <v>107</v>
      </c>
      <c r="G23" s="1581"/>
      <c r="H23" s="1582"/>
      <c r="I23" s="1582"/>
      <c r="J23" s="1582"/>
      <c r="K23" s="1583">
        <v>7.2</v>
      </c>
      <c r="L23" s="1324">
        <f>'통장내역(환율표)'!$D$41</f>
        <v>7.0497000418163429</v>
      </c>
      <c r="M23" s="1681">
        <f>K23/L23</f>
        <v>1.0213200501144915</v>
      </c>
      <c r="N23" s="1585">
        <f t="shared" si="4"/>
        <v>449481.92000000057</v>
      </c>
      <c r="O23" s="1585">
        <f t="shared" si="5"/>
        <v>64527.340216548633</v>
      </c>
      <c r="P23" s="1586"/>
      <c r="Q23" s="1587"/>
      <c r="R23" s="1588"/>
      <c r="S23" s="1589">
        <f>S22-M23</f>
        <v>729.79021654862652</v>
      </c>
      <c r="T23" s="1478"/>
      <c r="U23" s="1478"/>
      <c r="V23" s="1478"/>
      <c r="W23" s="1478"/>
      <c r="X23" s="1478"/>
      <c r="Y23" s="1478"/>
      <c r="Z23" s="1478"/>
      <c r="AA23" s="1478"/>
      <c r="AB23" s="1478"/>
      <c r="AC23" s="1478"/>
    </row>
    <row r="24" spans="1:29" s="1479" customFormat="1" ht="11.25" customHeight="1">
      <c r="A24" s="1480"/>
      <c r="B24" s="1576">
        <v>46037</v>
      </c>
      <c r="C24" s="1577" t="s">
        <v>1576</v>
      </c>
      <c r="D24" s="1578"/>
      <c r="E24" s="1694">
        <v>4</v>
      </c>
      <c r="F24" s="1580" t="s">
        <v>146</v>
      </c>
      <c r="G24" s="1581" t="s">
        <v>147</v>
      </c>
      <c r="H24" s="1582"/>
      <c r="I24" s="1582"/>
      <c r="J24" s="1582"/>
      <c r="K24" s="1583">
        <v>2400</v>
      </c>
      <c r="L24" s="1324">
        <f>'통장내역(환율표)'!$D$41</f>
        <v>7.0497000418163429</v>
      </c>
      <c r="M24" s="1681">
        <f>K24/L24</f>
        <v>340.4400167048305</v>
      </c>
      <c r="N24" s="1585">
        <f t="shared" si="4"/>
        <v>447081.92000000057</v>
      </c>
      <c r="O24" s="1585">
        <f t="shared" si="5"/>
        <v>64186.900199843803</v>
      </c>
      <c r="P24" s="1591"/>
      <c r="Q24" s="1587"/>
      <c r="R24" s="1587"/>
      <c r="S24" s="1589">
        <f t="shared" ref="S24:S26" si="6">S23-M24</f>
        <v>389.35019984379602</v>
      </c>
      <c r="T24" s="1478"/>
      <c r="U24" s="1478"/>
      <c r="V24" s="1478"/>
      <c r="W24" s="1478"/>
      <c r="X24" s="1478"/>
      <c r="Y24" s="1478"/>
      <c r="Z24" s="1478"/>
      <c r="AA24" s="1478"/>
      <c r="AB24" s="1478"/>
      <c r="AC24" s="1478"/>
    </row>
    <row r="25" spans="1:29" s="1479" customFormat="1" ht="11.25" customHeight="1">
      <c r="A25" s="1480"/>
      <c r="B25" s="1576">
        <v>46037</v>
      </c>
      <c r="C25" s="1577" t="s">
        <v>250</v>
      </c>
      <c r="D25" s="1578"/>
      <c r="E25" s="1694">
        <v>5</v>
      </c>
      <c r="F25" s="1580" t="s">
        <v>107</v>
      </c>
      <c r="G25" s="1581"/>
      <c r="H25" s="1582"/>
      <c r="I25" s="1582"/>
      <c r="J25" s="1582"/>
      <c r="K25" s="1583">
        <v>3.6</v>
      </c>
      <c r="L25" s="1324">
        <f>'통장내역(환율표)'!$D$41</f>
        <v>7.0497000418163429</v>
      </c>
      <c r="M25" s="1681">
        <f>K25/L25</f>
        <v>0.51066002505724573</v>
      </c>
      <c r="N25" s="1585">
        <f t="shared" si="4"/>
        <v>447078.32000000059</v>
      </c>
      <c r="O25" s="1585">
        <f t="shared" si="5"/>
        <v>64186.389539818745</v>
      </c>
      <c r="P25" s="1591"/>
      <c r="Q25" s="1587"/>
      <c r="R25" s="1587"/>
      <c r="S25" s="1589">
        <f t="shared" si="6"/>
        <v>388.83953981873879</v>
      </c>
      <c r="T25" s="1478"/>
      <c r="U25" s="1478"/>
      <c r="V25" s="1478"/>
      <c r="W25" s="1478"/>
      <c r="X25" s="1478"/>
      <c r="Y25" s="1478"/>
      <c r="Z25" s="1478"/>
      <c r="AA25" s="1478"/>
      <c r="AB25" s="1478"/>
      <c r="AC25" s="1478"/>
    </row>
    <row r="26" spans="1:29" s="1479" customFormat="1" ht="11.25" customHeight="1">
      <c r="A26" s="1480"/>
      <c r="B26" s="1699">
        <v>46038</v>
      </c>
      <c r="C26" s="1700" t="s">
        <v>1634</v>
      </c>
      <c r="D26" s="1701"/>
      <c r="E26" s="1702">
        <v>6</v>
      </c>
      <c r="F26" s="1703" t="s">
        <v>107</v>
      </c>
      <c r="G26" s="1704"/>
      <c r="H26" s="1705"/>
      <c r="I26" s="1705"/>
      <c r="J26" s="1705"/>
      <c r="K26" s="1706">
        <f>L26*M26</f>
        <v>2741.2021201200105</v>
      </c>
      <c r="L26" s="1707">
        <f>'통장내역(환율표)'!$D$41</f>
        <v>7.0497000418163429</v>
      </c>
      <c r="M26" s="1681">
        <v>388.83953981873879</v>
      </c>
      <c r="N26" s="1696">
        <f t="shared" si="4"/>
        <v>444337.11787988059</v>
      </c>
      <c r="O26" s="1696">
        <f t="shared" si="5"/>
        <v>63797.55</v>
      </c>
      <c r="P26" s="1708"/>
      <c r="Q26" s="1709"/>
      <c r="R26" s="1709"/>
      <c r="S26" s="1589">
        <f t="shared" si="6"/>
        <v>0</v>
      </c>
      <c r="T26" s="1478"/>
      <c r="U26" s="1478"/>
      <c r="V26" s="1478"/>
      <c r="W26" s="1478"/>
      <c r="X26" s="1478"/>
      <c r="Y26" s="1478"/>
      <c r="Z26" s="1478"/>
      <c r="AA26" s="1478"/>
      <c r="AB26" s="1478"/>
      <c r="AC26" s="1478"/>
    </row>
    <row r="27" spans="1:29" s="1479" customFormat="1" ht="11.25" customHeight="1">
      <c r="A27" s="1480"/>
      <c r="B27" s="1699">
        <v>46038</v>
      </c>
      <c r="C27" s="1700" t="s">
        <v>1634</v>
      </c>
      <c r="D27" s="1701"/>
      <c r="E27" s="1702">
        <v>6</v>
      </c>
      <c r="F27" s="1703" t="s">
        <v>107</v>
      </c>
      <c r="G27" s="1704"/>
      <c r="H27" s="1705"/>
      <c r="I27" s="1705"/>
      <c r="J27" s="1705"/>
      <c r="K27" s="1706">
        <f>57133.11-K26</f>
        <v>54391.907879879989</v>
      </c>
      <c r="L27" s="1707">
        <f>'통장내역(환율표)'!$D$49</f>
        <v>6.9648000589364321</v>
      </c>
      <c r="M27" s="1096">
        <f t="shared" ref="M27:M73" si="7">K27/L27</f>
        <v>7809.5433350007706</v>
      </c>
      <c r="N27" s="1696">
        <f t="shared" si="4"/>
        <v>389945.2100000006</v>
      </c>
      <c r="O27" s="1696">
        <f t="shared" si="5"/>
        <v>55988.00666499923</v>
      </c>
      <c r="P27" s="1708"/>
      <c r="Q27" s="1709"/>
      <c r="R27" s="1709"/>
      <c r="S27" s="1589">
        <f>63797.55-M27</f>
        <v>55988.00666499923</v>
      </c>
      <c r="T27" s="1478"/>
      <c r="U27" s="1478"/>
      <c r="V27" s="1478"/>
      <c r="W27" s="1478"/>
      <c r="X27" s="1478"/>
      <c r="Y27" s="1478"/>
      <c r="Z27" s="1478"/>
      <c r="AA27" s="1478"/>
      <c r="AB27" s="1478"/>
      <c r="AC27" s="1478"/>
    </row>
    <row r="28" spans="1:29" s="1479" customFormat="1" ht="11.25" customHeight="1">
      <c r="A28" s="1480"/>
      <c r="B28" s="1576">
        <v>46044</v>
      </c>
      <c r="C28" s="1577" t="s">
        <v>352</v>
      </c>
      <c r="D28" s="1578"/>
      <c r="E28" s="1694">
        <v>7</v>
      </c>
      <c r="F28" s="1580" t="s">
        <v>107</v>
      </c>
      <c r="G28" s="1581"/>
      <c r="H28" s="1582"/>
      <c r="I28" s="1590"/>
      <c r="J28" s="1582"/>
      <c r="K28" s="1583">
        <v>1010</v>
      </c>
      <c r="L28" s="1324">
        <f>'통장내역(환율표)'!$D$49</f>
        <v>6.9648000589364321</v>
      </c>
      <c r="M28" s="1096">
        <f t="shared" si="7"/>
        <v>145.01493100352306</v>
      </c>
      <c r="N28" s="1585">
        <f t="shared" si="4"/>
        <v>388935.2100000006</v>
      </c>
      <c r="O28" s="1585">
        <f t="shared" si="5"/>
        <v>55842.99173399571</v>
      </c>
      <c r="P28" s="1591"/>
      <c r="Q28" s="1587"/>
      <c r="R28" s="1587"/>
      <c r="S28" s="1589">
        <f>S27-M28</f>
        <v>55842.99173399571</v>
      </c>
      <c r="T28" s="1478"/>
      <c r="U28" s="1478"/>
      <c r="V28" s="1478"/>
      <c r="W28" s="1478"/>
      <c r="X28" s="1478"/>
      <c r="Y28" s="1478"/>
      <c r="Z28" s="1478"/>
      <c r="AA28" s="1478"/>
      <c r="AB28" s="1478"/>
      <c r="AC28" s="1478"/>
    </row>
    <row r="29" spans="1:29" s="1479" customFormat="1" ht="11.25" customHeight="1">
      <c r="A29" s="1480"/>
      <c r="B29" s="1576">
        <v>46044</v>
      </c>
      <c r="C29" s="1592" t="s">
        <v>1602</v>
      </c>
      <c r="D29" s="1578"/>
      <c r="E29" s="1694">
        <v>8</v>
      </c>
      <c r="F29" s="1580" t="s">
        <v>107</v>
      </c>
      <c r="G29" s="1581"/>
      <c r="H29" s="1582"/>
      <c r="I29" s="1590"/>
      <c r="J29" s="1582"/>
      <c r="K29" s="1583">
        <v>120</v>
      </c>
      <c r="L29" s="1324">
        <f>'통장내역(환율표)'!$D$49</f>
        <v>6.9648000589364321</v>
      </c>
      <c r="M29" s="1096">
        <f t="shared" si="7"/>
        <v>17.229496752893827</v>
      </c>
      <c r="N29" s="1585">
        <f t="shared" si="4"/>
        <v>388815.2100000006</v>
      </c>
      <c r="O29" s="1585">
        <f t="shared" si="5"/>
        <v>55825.762237242816</v>
      </c>
      <c r="P29" s="1685"/>
      <c r="Q29" s="1686"/>
      <c r="R29" s="1686"/>
      <c r="S29" s="1589">
        <f t="shared" ref="S29:S89" si="8">S28-M29</f>
        <v>55825.762237242816</v>
      </c>
      <c r="T29" s="1478"/>
      <c r="U29" s="1478"/>
      <c r="V29" s="1478"/>
      <c r="W29" s="1478"/>
      <c r="X29" s="1478"/>
      <c r="Y29" s="1478"/>
      <c r="Z29" s="1478"/>
      <c r="AA29" s="1478"/>
      <c r="AB29" s="1478"/>
      <c r="AC29" s="1478"/>
    </row>
    <row r="30" spans="1:29" s="1479" customFormat="1" ht="11.25" customHeight="1">
      <c r="A30" s="1480"/>
      <c r="B30" s="1576">
        <v>46044</v>
      </c>
      <c r="C30" s="1577" t="s">
        <v>250</v>
      </c>
      <c r="D30" s="1578"/>
      <c r="E30" s="1694">
        <v>9</v>
      </c>
      <c r="F30" s="1580" t="s">
        <v>107</v>
      </c>
      <c r="G30" s="1581"/>
      <c r="H30" s="1582"/>
      <c r="I30" s="1590"/>
      <c r="J30" s="1582"/>
      <c r="K30" s="1583">
        <v>3.6</v>
      </c>
      <c r="L30" s="1324">
        <f>'통장내역(환율표)'!$D$49</f>
        <v>6.9648000589364321</v>
      </c>
      <c r="M30" s="1096">
        <f t="shared" si="7"/>
        <v>0.51688490258681485</v>
      </c>
      <c r="N30" s="1585">
        <f t="shared" si="4"/>
        <v>388811.61000000063</v>
      </c>
      <c r="O30" s="1585">
        <f t="shared" si="5"/>
        <v>55825.245352340229</v>
      </c>
      <c r="P30" s="1587"/>
      <c r="Q30" s="1587"/>
      <c r="R30" s="1587"/>
      <c r="S30" s="1589">
        <f t="shared" si="8"/>
        <v>55825.245352340229</v>
      </c>
      <c r="T30" s="1478"/>
      <c r="U30" s="1478"/>
      <c r="V30" s="1478"/>
      <c r="W30" s="1478"/>
      <c r="X30" s="1478"/>
      <c r="Y30" s="1478"/>
      <c r="Z30" s="1478"/>
      <c r="AA30" s="1478"/>
      <c r="AB30" s="1478"/>
      <c r="AC30" s="1478"/>
    </row>
    <row r="31" spans="1:29" s="1479" customFormat="1" ht="11.25" customHeight="1">
      <c r="A31" s="1480"/>
      <c r="B31" s="1576">
        <v>46044</v>
      </c>
      <c r="C31" s="1593" t="s">
        <v>305</v>
      </c>
      <c r="D31" s="1578"/>
      <c r="E31" s="1694">
        <v>10</v>
      </c>
      <c r="F31" s="1580" t="s">
        <v>105</v>
      </c>
      <c r="G31" s="1581" t="s">
        <v>227</v>
      </c>
      <c r="H31" s="1582"/>
      <c r="I31" s="1590"/>
      <c r="J31" s="1582"/>
      <c r="K31" s="1583">
        <v>7000</v>
      </c>
      <c r="L31" s="1324">
        <f>'통장내역(환율표)'!$D$49</f>
        <v>6.9648000589364321</v>
      </c>
      <c r="M31" s="1096">
        <f t="shared" si="7"/>
        <v>1005.0539772521399</v>
      </c>
      <c r="N31" s="1585">
        <f t="shared" si="4"/>
        <v>381811.61000000063</v>
      </c>
      <c r="O31" s="1585">
        <f t="shared" si="5"/>
        <v>54820.191375088092</v>
      </c>
      <c r="P31" s="1587"/>
      <c r="Q31" s="1587"/>
      <c r="R31" s="1587"/>
      <c r="S31" s="1589">
        <f t="shared" si="8"/>
        <v>54820.191375088092</v>
      </c>
      <c r="T31" s="1478"/>
      <c r="U31" s="1478"/>
      <c r="V31" s="1478"/>
      <c r="W31" s="1478"/>
      <c r="X31" s="1478"/>
      <c r="Y31" s="1478"/>
      <c r="Z31" s="1478"/>
      <c r="AA31" s="1478"/>
      <c r="AB31" s="1478"/>
      <c r="AC31" s="1478"/>
    </row>
    <row r="32" spans="1:29" s="1479" customFormat="1" ht="11.25" customHeight="1">
      <c r="A32" s="1480"/>
      <c r="B32" s="1576">
        <v>46044</v>
      </c>
      <c r="C32" s="1593" t="s">
        <v>1107</v>
      </c>
      <c r="D32" s="1578"/>
      <c r="E32" s="1694">
        <v>10</v>
      </c>
      <c r="F32" s="1580" t="s">
        <v>107</v>
      </c>
      <c r="G32" s="1581"/>
      <c r="H32" s="1582"/>
      <c r="I32" s="1590"/>
      <c r="J32" s="1582"/>
      <c r="K32" s="1583">
        <v>6000</v>
      </c>
      <c r="L32" s="1324">
        <f>'통장내역(환율표)'!$D$49</f>
        <v>6.9648000589364321</v>
      </c>
      <c r="M32" s="1096">
        <f t="shared" si="7"/>
        <v>861.47483764469143</v>
      </c>
      <c r="N32" s="1585">
        <f t="shared" si="4"/>
        <v>375811.61000000063</v>
      </c>
      <c r="O32" s="1585">
        <f t="shared" si="5"/>
        <v>53958.716537443397</v>
      </c>
      <c r="P32" s="1587"/>
      <c r="Q32" s="1587"/>
      <c r="R32" s="1587"/>
      <c r="S32" s="1589">
        <f t="shared" si="8"/>
        <v>53958.716537443397</v>
      </c>
      <c r="T32" s="1478"/>
      <c r="U32" s="1478"/>
      <c r="V32" s="1478"/>
      <c r="W32" s="1478"/>
      <c r="X32" s="1478"/>
      <c r="Y32" s="1478"/>
      <c r="Z32" s="1478"/>
      <c r="AA32" s="1478"/>
      <c r="AB32" s="1478"/>
      <c r="AC32" s="1478"/>
    </row>
    <row r="33" spans="1:29" s="1479" customFormat="1" ht="11.25" customHeight="1">
      <c r="A33" s="1480"/>
      <c r="B33" s="1576">
        <v>46044</v>
      </c>
      <c r="C33" s="1593" t="s">
        <v>1108</v>
      </c>
      <c r="D33" s="1578"/>
      <c r="E33" s="1694">
        <v>10</v>
      </c>
      <c r="F33" s="1580" t="s">
        <v>107</v>
      </c>
      <c r="G33" s="1581"/>
      <c r="H33" s="1582"/>
      <c r="I33" s="1590"/>
      <c r="J33" s="1582"/>
      <c r="K33" s="1583">
        <v>460</v>
      </c>
      <c r="L33" s="1324">
        <f>'통장내역(환율표)'!$D$49</f>
        <v>6.9648000589364321</v>
      </c>
      <c r="M33" s="1096">
        <f t="shared" si="7"/>
        <v>66.046404219426336</v>
      </c>
      <c r="N33" s="1585">
        <f t="shared" si="4"/>
        <v>375351.61000000063</v>
      </c>
      <c r="O33" s="1585">
        <f t="shared" si="5"/>
        <v>53892.670133223968</v>
      </c>
      <c r="P33" s="1587"/>
      <c r="Q33" s="1587"/>
      <c r="R33" s="1587"/>
      <c r="S33" s="1589">
        <f t="shared" si="8"/>
        <v>53892.670133223968</v>
      </c>
      <c r="T33" s="1478"/>
      <c r="U33" s="1478"/>
      <c r="V33" s="1478"/>
      <c r="W33" s="1478"/>
      <c r="X33" s="1478"/>
      <c r="Y33" s="1478"/>
      <c r="Z33" s="1478"/>
      <c r="AA33" s="1478"/>
      <c r="AB33" s="1478"/>
      <c r="AC33" s="1478"/>
    </row>
    <row r="34" spans="1:29" s="1479" customFormat="1" ht="11.25" customHeight="1">
      <c r="A34" s="1480"/>
      <c r="B34" s="1576">
        <v>46044</v>
      </c>
      <c r="C34" s="1593" t="s">
        <v>305</v>
      </c>
      <c r="D34" s="1578"/>
      <c r="E34" s="1694">
        <v>10</v>
      </c>
      <c r="F34" s="1580" t="s">
        <v>105</v>
      </c>
      <c r="G34" s="1581" t="s">
        <v>227</v>
      </c>
      <c r="H34" s="1582"/>
      <c r="I34" s="1590"/>
      <c r="J34" s="1582"/>
      <c r="K34" s="1583">
        <v>7000</v>
      </c>
      <c r="L34" s="1324">
        <f>'통장내역(환율표)'!$D$49</f>
        <v>6.9648000589364321</v>
      </c>
      <c r="M34" s="1096">
        <f t="shared" si="7"/>
        <v>1005.0539772521399</v>
      </c>
      <c r="N34" s="1585">
        <f t="shared" si="4"/>
        <v>368351.61000000063</v>
      </c>
      <c r="O34" s="1585">
        <f t="shared" si="5"/>
        <v>52887.616155971831</v>
      </c>
      <c r="P34" s="1587"/>
      <c r="Q34" s="1587"/>
      <c r="R34" s="1587"/>
      <c r="S34" s="1589">
        <f t="shared" si="8"/>
        <v>52887.616155971831</v>
      </c>
      <c r="T34" s="1478"/>
      <c r="U34" s="1478"/>
      <c r="V34" s="1478"/>
      <c r="W34" s="1478"/>
      <c r="X34" s="1478"/>
      <c r="Y34" s="1478"/>
      <c r="Z34" s="1478"/>
      <c r="AA34" s="1478"/>
      <c r="AB34" s="1478"/>
      <c r="AC34" s="1478"/>
    </row>
    <row r="35" spans="1:29" s="1479" customFormat="1" ht="11.25" customHeight="1">
      <c r="A35" s="1480"/>
      <c r="B35" s="1576">
        <v>46044</v>
      </c>
      <c r="C35" s="1593" t="s">
        <v>347</v>
      </c>
      <c r="D35" s="1578"/>
      <c r="E35" s="1694">
        <v>10</v>
      </c>
      <c r="F35" s="1580" t="s">
        <v>107</v>
      </c>
      <c r="G35" s="1581"/>
      <c r="H35" s="1582"/>
      <c r="I35" s="1590"/>
      <c r="J35" s="1582"/>
      <c r="K35" s="1583">
        <v>6000</v>
      </c>
      <c r="L35" s="1324">
        <f>'통장내역(환율표)'!$D$49</f>
        <v>6.9648000589364321</v>
      </c>
      <c r="M35" s="1096">
        <f t="shared" si="7"/>
        <v>861.47483764469143</v>
      </c>
      <c r="N35" s="1585">
        <f t="shared" si="4"/>
        <v>362351.61000000063</v>
      </c>
      <c r="O35" s="1585">
        <f t="shared" si="5"/>
        <v>52026.141318327136</v>
      </c>
      <c r="P35" s="1591"/>
      <c r="Q35" s="1587"/>
      <c r="R35" s="1587"/>
      <c r="S35" s="1589">
        <f t="shared" si="8"/>
        <v>52026.141318327136</v>
      </c>
      <c r="T35" s="1478"/>
      <c r="U35" s="1478"/>
      <c r="V35" s="1478"/>
      <c r="W35" s="1478"/>
      <c r="X35" s="1478"/>
      <c r="Y35" s="1478"/>
      <c r="Z35" s="1478"/>
      <c r="AA35" s="1478"/>
      <c r="AB35" s="1478"/>
      <c r="AC35" s="1478"/>
    </row>
    <row r="36" spans="1:29" s="1479" customFormat="1" ht="11.25" customHeight="1">
      <c r="A36" s="1480"/>
      <c r="B36" s="1576">
        <v>46044</v>
      </c>
      <c r="C36" s="1593" t="s">
        <v>1108</v>
      </c>
      <c r="D36" s="1578"/>
      <c r="E36" s="1694">
        <v>10</v>
      </c>
      <c r="F36" s="1580" t="s">
        <v>107</v>
      </c>
      <c r="G36" s="1581"/>
      <c r="H36" s="1582"/>
      <c r="I36" s="1590"/>
      <c r="J36" s="1582"/>
      <c r="K36" s="1583">
        <v>140</v>
      </c>
      <c r="L36" s="1324">
        <f>'통장내역(환율표)'!$D$49</f>
        <v>6.9648000589364321</v>
      </c>
      <c r="M36" s="1096">
        <f t="shared" si="7"/>
        <v>20.101079545042801</v>
      </c>
      <c r="N36" s="1585">
        <f t="shared" si="4"/>
        <v>362211.61000000063</v>
      </c>
      <c r="O36" s="1585">
        <f t="shared" si="5"/>
        <v>52006.040238782094</v>
      </c>
      <c r="P36" s="1591"/>
      <c r="Q36" s="1587"/>
      <c r="R36" s="1587"/>
      <c r="S36" s="1589">
        <f t="shared" si="8"/>
        <v>52006.040238782094</v>
      </c>
      <c r="T36" s="1478"/>
      <c r="U36" s="1478"/>
      <c r="V36" s="1478"/>
      <c r="W36" s="1478"/>
      <c r="X36" s="1478"/>
      <c r="Y36" s="1478"/>
      <c r="Z36" s="1478"/>
      <c r="AA36" s="1478"/>
      <c r="AB36" s="1478"/>
      <c r="AC36" s="1478"/>
    </row>
    <row r="37" spans="1:29" s="1479" customFormat="1" ht="12" customHeight="1">
      <c r="A37" s="1480"/>
      <c r="B37" s="1576">
        <v>46044</v>
      </c>
      <c r="C37" s="1593" t="s">
        <v>305</v>
      </c>
      <c r="D37" s="1578"/>
      <c r="E37" s="1694">
        <v>10</v>
      </c>
      <c r="F37" s="1580" t="s">
        <v>105</v>
      </c>
      <c r="G37" s="1581" t="s">
        <v>227</v>
      </c>
      <c r="H37" s="1582"/>
      <c r="I37" s="1590"/>
      <c r="J37" s="1582"/>
      <c r="K37" s="1583">
        <v>6000</v>
      </c>
      <c r="L37" s="1324">
        <f>'통장내역(환율표)'!$D$49</f>
        <v>6.9648000589364321</v>
      </c>
      <c r="M37" s="1096">
        <f t="shared" si="7"/>
        <v>861.47483764469143</v>
      </c>
      <c r="N37" s="1585">
        <f t="shared" si="4"/>
        <v>356211.61000000063</v>
      </c>
      <c r="O37" s="1585">
        <f t="shared" si="5"/>
        <v>51144.565401137399</v>
      </c>
      <c r="P37" s="1591"/>
      <c r="Q37" s="1587"/>
      <c r="R37" s="1587"/>
      <c r="S37" s="1589">
        <f t="shared" si="8"/>
        <v>51144.565401137399</v>
      </c>
      <c r="T37" s="1478"/>
      <c r="U37" s="1478"/>
      <c r="V37" s="1478"/>
      <c r="W37" s="1478"/>
      <c r="X37" s="1478"/>
      <c r="Y37" s="1478"/>
      <c r="Z37" s="1478"/>
      <c r="AA37" s="1478"/>
      <c r="AB37" s="1478"/>
      <c r="AC37" s="1478"/>
    </row>
    <row r="38" spans="1:29" s="1479" customFormat="1" ht="12" customHeight="1">
      <c r="A38" s="1480"/>
      <c r="B38" s="1576">
        <v>46044</v>
      </c>
      <c r="C38" s="1593" t="s">
        <v>1107</v>
      </c>
      <c r="D38" s="1578"/>
      <c r="E38" s="1694">
        <v>10</v>
      </c>
      <c r="F38" s="1580" t="s">
        <v>107</v>
      </c>
      <c r="G38" s="1581"/>
      <c r="H38" s="1582"/>
      <c r="I38" s="1590"/>
      <c r="J38" s="1582"/>
      <c r="K38" s="1583">
        <v>6000</v>
      </c>
      <c r="L38" s="1324">
        <f>'통장내역(환율표)'!$D$49</f>
        <v>6.9648000589364321</v>
      </c>
      <c r="M38" s="1096">
        <f t="shared" si="7"/>
        <v>861.47483764469143</v>
      </c>
      <c r="N38" s="1585">
        <f t="shared" si="4"/>
        <v>350211.61000000063</v>
      </c>
      <c r="O38" s="1585">
        <f t="shared" si="5"/>
        <v>50283.090563492704</v>
      </c>
      <c r="P38" s="1591"/>
      <c r="Q38" s="1587"/>
      <c r="R38" s="1587"/>
      <c r="S38" s="1589">
        <f t="shared" si="8"/>
        <v>50283.090563492704</v>
      </c>
      <c r="T38" s="1478"/>
      <c r="U38" s="1478"/>
      <c r="V38" s="1478"/>
      <c r="W38" s="1478"/>
      <c r="X38" s="1478"/>
      <c r="Y38" s="1478"/>
      <c r="Z38" s="1478"/>
      <c r="AA38" s="1478"/>
      <c r="AB38" s="1478"/>
      <c r="AC38" s="1478"/>
    </row>
    <row r="39" spans="1:29" s="1479" customFormat="1" ht="12" customHeight="1">
      <c r="A39" s="1480"/>
      <c r="B39" s="1576">
        <v>46044</v>
      </c>
      <c r="C39" s="1593" t="s">
        <v>1108</v>
      </c>
      <c r="D39" s="1578"/>
      <c r="E39" s="1694">
        <v>10</v>
      </c>
      <c r="F39" s="1580" t="s">
        <v>107</v>
      </c>
      <c r="G39" s="1581"/>
      <c r="H39" s="1582"/>
      <c r="I39" s="1590"/>
      <c r="J39" s="1582"/>
      <c r="K39" s="1583">
        <v>200</v>
      </c>
      <c r="L39" s="1324">
        <f>'통장내역(환율표)'!$D$49</f>
        <v>6.9648000589364321</v>
      </c>
      <c r="M39" s="1096">
        <f t="shared" si="7"/>
        <v>28.715827921489712</v>
      </c>
      <c r="N39" s="1585">
        <f t="shared" si="4"/>
        <v>350011.61000000063</v>
      </c>
      <c r="O39" s="1585">
        <f t="shared" si="5"/>
        <v>50254.374735571211</v>
      </c>
      <c r="P39" s="1591"/>
      <c r="Q39" s="1587"/>
      <c r="R39" s="1587"/>
      <c r="S39" s="1589">
        <f t="shared" si="8"/>
        <v>50254.374735571211</v>
      </c>
      <c r="T39" s="1478"/>
      <c r="U39" s="1478"/>
      <c r="V39" s="1478"/>
      <c r="W39" s="1478"/>
      <c r="X39" s="1478"/>
      <c r="Y39" s="1478"/>
      <c r="Z39" s="1478"/>
      <c r="AA39" s="1478"/>
      <c r="AB39" s="1478"/>
      <c r="AC39" s="1478"/>
    </row>
    <row r="40" spans="1:29" s="1479" customFormat="1" ht="12" customHeight="1">
      <c r="A40" s="1480"/>
      <c r="B40" s="1576">
        <v>46044</v>
      </c>
      <c r="C40" s="1593" t="s">
        <v>250</v>
      </c>
      <c r="D40" s="1578"/>
      <c r="E40" s="1694">
        <v>11</v>
      </c>
      <c r="F40" s="1580" t="s">
        <v>107</v>
      </c>
      <c r="G40" s="1581"/>
      <c r="H40" s="1582"/>
      <c r="I40" s="1590"/>
      <c r="J40" s="1582"/>
      <c r="K40" s="1583">
        <v>7.2</v>
      </c>
      <c r="L40" s="1324">
        <f>'통장내역(환율표)'!$D$49</f>
        <v>6.9648000589364321</v>
      </c>
      <c r="M40" s="1096">
        <f t="shared" si="7"/>
        <v>1.0337698051736297</v>
      </c>
      <c r="N40" s="1585">
        <f t="shared" si="4"/>
        <v>350004.41000000061</v>
      </c>
      <c r="O40" s="1585">
        <f t="shared" si="5"/>
        <v>50253.340965766038</v>
      </c>
      <c r="P40" s="1591"/>
      <c r="Q40" s="1587"/>
      <c r="R40" s="1587"/>
      <c r="S40" s="1589">
        <f t="shared" si="8"/>
        <v>50253.340965766038</v>
      </c>
      <c r="T40" s="1478"/>
      <c r="U40" s="1478"/>
      <c r="V40" s="1478"/>
      <c r="W40" s="1478"/>
      <c r="X40" s="1478"/>
      <c r="Y40" s="1478"/>
      <c r="Z40" s="1478"/>
      <c r="AA40" s="1478"/>
      <c r="AB40" s="1478"/>
      <c r="AC40" s="1478"/>
    </row>
    <row r="41" spans="1:29" s="1479" customFormat="1" ht="12" customHeight="1">
      <c r="A41" s="1480"/>
      <c r="B41" s="1576">
        <v>46044</v>
      </c>
      <c r="C41" s="1577" t="s">
        <v>1461</v>
      </c>
      <c r="D41" s="1578" t="s">
        <v>188</v>
      </c>
      <c r="E41" s="1695">
        <v>12</v>
      </c>
      <c r="F41" s="1580" t="s">
        <v>116</v>
      </c>
      <c r="G41" s="1581" t="s">
        <v>140</v>
      </c>
      <c r="H41" s="1582"/>
      <c r="I41" s="1590"/>
      <c r="J41" s="1582"/>
      <c r="K41" s="1583">
        <v>916.4</v>
      </c>
      <c r="L41" s="1324">
        <f>'통장내역(환율표)'!$D$49</f>
        <v>6.9648000589364321</v>
      </c>
      <c r="M41" s="1096">
        <f t="shared" si="7"/>
        <v>131.57592353626586</v>
      </c>
      <c r="N41" s="1585">
        <f t="shared" si="4"/>
        <v>349088.01000000059</v>
      </c>
      <c r="O41" s="1585">
        <f t="shared" si="5"/>
        <v>50121.765042229774</v>
      </c>
      <c r="P41" s="1591"/>
      <c r="Q41" s="1587"/>
      <c r="R41" s="1591" t="s">
        <v>1635</v>
      </c>
      <c r="S41" s="1589">
        <f t="shared" si="8"/>
        <v>50121.765042229774</v>
      </c>
      <c r="T41" s="1478"/>
      <c r="U41" s="1478"/>
      <c r="V41" s="1478"/>
      <c r="W41" s="1478"/>
      <c r="X41" s="1478"/>
      <c r="Y41" s="1478"/>
      <c r="Z41" s="1478"/>
      <c r="AA41" s="1478"/>
      <c r="AB41" s="1478"/>
      <c r="AC41" s="1478"/>
    </row>
    <row r="42" spans="1:29" s="1479" customFormat="1" ht="12" customHeight="1">
      <c r="A42" s="1480"/>
      <c r="B42" s="1576">
        <v>46044</v>
      </c>
      <c r="C42" s="1577" t="s">
        <v>125</v>
      </c>
      <c r="D42" s="1578" t="s">
        <v>188</v>
      </c>
      <c r="E42" s="1695">
        <v>13</v>
      </c>
      <c r="F42" s="1580" t="s">
        <v>125</v>
      </c>
      <c r="G42" s="1581" t="s">
        <v>145</v>
      </c>
      <c r="H42" s="1582"/>
      <c r="I42" s="1582"/>
      <c r="J42" s="1582"/>
      <c r="K42" s="1583">
        <v>2016.1</v>
      </c>
      <c r="L42" s="1324">
        <f>'통장내역(환율표)'!$D$49</f>
        <v>6.9648000589364321</v>
      </c>
      <c r="M42" s="1096">
        <f t="shared" si="7"/>
        <v>289.46990336257704</v>
      </c>
      <c r="N42" s="1585">
        <f t="shared" si="4"/>
        <v>347071.91000000061</v>
      </c>
      <c r="O42" s="1585">
        <f t="shared" si="5"/>
        <v>49832.295138867194</v>
      </c>
      <c r="P42" s="1591"/>
      <c r="Q42" s="1587"/>
      <c r="R42" s="1587"/>
      <c r="S42" s="1589">
        <f t="shared" si="8"/>
        <v>49832.295138867194</v>
      </c>
      <c r="T42" s="1478"/>
      <c r="U42" s="1478"/>
      <c r="V42" s="1478"/>
      <c r="W42" s="1478"/>
      <c r="X42" s="1478"/>
      <c r="Y42" s="1478"/>
      <c r="Z42" s="1478"/>
      <c r="AA42" s="1478"/>
      <c r="AB42" s="1478"/>
      <c r="AC42" s="1478"/>
    </row>
    <row r="43" spans="1:29" s="1479" customFormat="1" ht="12" customHeight="1">
      <c r="A43" s="1480"/>
      <c r="B43" s="1576">
        <v>46044</v>
      </c>
      <c r="C43" s="1577" t="s">
        <v>1403</v>
      </c>
      <c r="D43" s="1578" t="s">
        <v>188</v>
      </c>
      <c r="E43" s="1695">
        <v>14</v>
      </c>
      <c r="F43" s="1580" t="s">
        <v>146</v>
      </c>
      <c r="G43" s="1581" t="s">
        <v>147</v>
      </c>
      <c r="H43" s="1582"/>
      <c r="I43" s="1582"/>
      <c r="J43" s="1582"/>
      <c r="K43" s="1583">
        <v>3227.8</v>
      </c>
      <c r="L43" s="1324">
        <f>'통장내역(환율표)'!$D$49</f>
        <v>6.9648000589364321</v>
      </c>
      <c r="M43" s="1096">
        <f t="shared" si="7"/>
        <v>463.4447468249225</v>
      </c>
      <c r="N43" s="1585">
        <f t="shared" si="4"/>
        <v>343844.11000000063</v>
      </c>
      <c r="O43" s="1585">
        <f t="shared" si="5"/>
        <v>49368.850392042274</v>
      </c>
      <c r="P43" s="1591"/>
      <c r="Q43" s="1587"/>
      <c r="R43" s="1587"/>
      <c r="S43" s="1589">
        <f t="shared" si="8"/>
        <v>49368.850392042274</v>
      </c>
      <c r="T43" s="1478"/>
      <c r="U43" s="1478"/>
      <c r="V43" s="1478"/>
      <c r="W43" s="1478"/>
      <c r="X43" s="1478"/>
      <c r="Y43" s="1478"/>
      <c r="Z43" s="1478"/>
      <c r="AA43" s="1478"/>
      <c r="AB43" s="1478"/>
      <c r="AC43" s="1478"/>
    </row>
    <row r="44" spans="1:29" s="1479" customFormat="1" ht="12" customHeight="1">
      <c r="A44" s="1480"/>
      <c r="B44" s="1576">
        <v>46044</v>
      </c>
      <c r="C44" s="1577" t="s">
        <v>1451</v>
      </c>
      <c r="D44" s="1578" t="s">
        <v>188</v>
      </c>
      <c r="E44" s="1695">
        <v>15</v>
      </c>
      <c r="F44" s="1580" t="s">
        <v>146</v>
      </c>
      <c r="G44" s="1581" t="s">
        <v>147</v>
      </c>
      <c r="H44" s="1582"/>
      <c r="I44" s="1582"/>
      <c r="J44" s="1582"/>
      <c r="K44" s="1583">
        <v>396.21</v>
      </c>
      <c r="L44" s="1324">
        <f>'통장내역(환율표)'!$D$49</f>
        <v>6.9648000589364321</v>
      </c>
      <c r="M44" s="1096">
        <f t="shared" si="7"/>
        <v>56.887490903867196</v>
      </c>
      <c r="N44" s="1585">
        <f t="shared" si="4"/>
        <v>343447.90000000061</v>
      </c>
      <c r="O44" s="1585">
        <f t="shared" si="5"/>
        <v>49311.96290113841</v>
      </c>
      <c r="P44" s="1591"/>
      <c r="Q44" s="1587"/>
      <c r="R44" s="1587"/>
      <c r="S44" s="1589">
        <f t="shared" si="8"/>
        <v>49311.96290113841</v>
      </c>
      <c r="T44" s="1478"/>
      <c r="U44" s="1478"/>
      <c r="V44" s="1478"/>
      <c r="W44" s="1478"/>
      <c r="X44" s="1478"/>
      <c r="Y44" s="1478"/>
      <c r="Z44" s="1478"/>
      <c r="AA44" s="1478"/>
      <c r="AB44" s="1478"/>
      <c r="AC44" s="1478"/>
    </row>
    <row r="45" spans="1:29" s="1479" customFormat="1" ht="12" customHeight="1">
      <c r="A45" s="1480"/>
      <c r="B45" s="1576">
        <v>46044</v>
      </c>
      <c r="C45" s="1577" t="s">
        <v>250</v>
      </c>
      <c r="D45" s="1578" t="s">
        <v>188</v>
      </c>
      <c r="E45" s="1695">
        <v>16</v>
      </c>
      <c r="F45" s="1580" t="s">
        <v>107</v>
      </c>
      <c r="G45" s="1581"/>
      <c r="H45" s="1582"/>
      <c r="I45" s="1582"/>
      <c r="J45" s="1582"/>
      <c r="K45" s="1583">
        <v>3.6</v>
      </c>
      <c r="L45" s="1324">
        <f>'통장내역(환율표)'!$D$49</f>
        <v>6.9648000589364321</v>
      </c>
      <c r="M45" s="1096">
        <f t="shared" si="7"/>
        <v>0.51688490258681485</v>
      </c>
      <c r="N45" s="1585">
        <f t="shared" si="4"/>
        <v>343444.30000000063</v>
      </c>
      <c r="O45" s="1585">
        <f t="shared" si="5"/>
        <v>49311.446016235823</v>
      </c>
      <c r="P45" s="1591"/>
      <c r="Q45" s="1587"/>
      <c r="R45" s="1587"/>
      <c r="S45" s="1589">
        <f t="shared" si="8"/>
        <v>49311.446016235823</v>
      </c>
      <c r="T45" s="1478"/>
      <c r="U45" s="1478"/>
      <c r="V45" s="1478"/>
      <c r="W45" s="1478"/>
      <c r="X45" s="1478"/>
      <c r="Y45" s="1478"/>
      <c r="Z45" s="1478"/>
      <c r="AA45" s="1478"/>
      <c r="AB45" s="1478"/>
      <c r="AC45" s="1478"/>
    </row>
    <row r="46" spans="1:29" s="1479" customFormat="1" ht="12" customHeight="1">
      <c r="A46" s="1480"/>
      <c r="B46" s="1576">
        <v>46044</v>
      </c>
      <c r="C46" s="1577" t="s">
        <v>1451</v>
      </c>
      <c r="D46" s="1578" t="s">
        <v>1390</v>
      </c>
      <c r="E46" s="1695">
        <v>17</v>
      </c>
      <c r="F46" s="1580" t="s">
        <v>146</v>
      </c>
      <c r="G46" s="1581" t="s">
        <v>147</v>
      </c>
      <c r="H46" s="1594"/>
      <c r="I46" s="1595"/>
      <c r="J46" s="1595"/>
      <c r="K46" s="1583">
        <v>333.54</v>
      </c>
      <c r="L46" s="1324">
        <f>'통장내역(환율표)'!$D$49</f>
        <v>6.9648000589364321</v>
      </c>
      <c r="M46" s="1096">
        <f t="shared" si="7"/>
        <v>47.889386224668399</v>
      </c>
      <c r="N46" s="1585">
        <f t="shared" si="4"/>
        <v>343110.76000000065</v>
      </c>
      <c r="O46" s="1585">
        <f t="shared" si="5"/>
        <v>49263.556630011153</v>
      </c>
      <c r="P46" s="1591"/>
      <c r="Q46" s="1587"/>
      <c r="R46" s="1587"/>
      <c r="S46" s="1589">
        <f t="shared" si="8"/>
        <v>49263.556630011153</v>
      </c>
      <c r="T46" s="1478"/>
      <c r="U46" s="1478"/>
      <c r="V46" s="1478"/>
      <c r="W46" s="1478"/>
      <c r="X46" s="1478"/>
      <c r="Y46" s="1478"/>
      <c r="Z46" s="1478"/>
      <c r="AA46" s="1478"/>
      <c r="AB46" s="1478"/>
      <c r="AC46" s="1478"/>
    </row>
    <row r="47" spans="1:29" s="1479" customFormat="1" ht="12" customHeight="1">
      <c r="A47" s="1480"/>
      <c r="B47" s="1576">
        <v>46044</v>
      </c>
      <c r="C47" s="1577" t="s">
        <v>1403</v>
      </c>
      <c r="D47" s="1578" t="s">
        <v>1390</v>
      </c>
      <c r="E47" s="1695">
        <v>18</v>
      </c>
      <c r="F47" s="1580" t="s">
        <v>146</v>
      </c>
      <c r="G47" s="1581" t="s">
        <v>147</v>
      </c>
      <c r="H47" s="1594"/>
      <c r="I47" s="1595"/>
      <c r="J47" s="1595"/>
      <c r="K47" s="1583">
        <v>6482</v>
      </c>
      <c r="L47" s="1324">
        <f>'통장내역(환율표)'!$D$49</f>
        <v>6.9648000589364321</v>
      </c>
      <c r="M47" s="1096">
        <f t="shared" si="7"/>
        <v>930.67998293548158</v>
      </c>
      <c r="N47" s="1585">
        <f t="shared" si="4"/>
        <v>336628.76000000065</v>
      </c>
      <c r="O47" s="1585">
        <f t="shared" si="5"/>
        <v>48332.876647075675</v>
      </c>
      <c r="P47" s="1591"/>
      <c r="Q47" s="1587"/>
      <c r="R47" s="1591"/>
      <c r="S47" s="1589">
        <f t="shared" si="8"/>
        <v>48332.876647075675</v>
      </c>
      <c r="T47" s="1478"/>
      <c r="U47" s="1478"/>
      <c r="V47" s="1478"/>
      <c r="W47" s="1478"/>
      <c r="X47" s="1478"/>
      <c r="Y47" s="1478"/>
      <c r="Z47" s="1478"/>
      <c r="AA47" s="1478"/>
      <c r="AB47" s="1478"/>
      <c r="AC47" s="1478"/>
    </row>
    <row r="48" spans="1:29" s="1479" customFormat="1" ht="12" customHeight="1">
      <c r="A48" s="1480"/>
      <c r="B48" s="1576">
        <v>46044</v>
      </c>
      <c r="C48" s="1577" t="s">
        <v>11</v>
      </c>
      <c r="D48" s="1578" t="s">
        <v>1390</v>
      </c>
      <c r="E48" s="1695">
        <v>19</v>
      </c>
      <c r="F48" s="1580" t="s">
        <v>125</v>
      </c>
      <c r="G48" s="1581" t="s">
        <v>145</v>
      </c>
      <c r="H48" s="1594"/>
      <c r="I48" s="1595"/>
      <c r="J48" s="1595"/>
      <c r="K48" s="1583">
        <v>891.34</v>
      </c>
      <c r="L48" s="1324">
        <f>'통장내역(환율표)'!$D$49</f>
        <v>6.9648000589364321</v>
      </c>
      <c r="M48" s="1096">
        <f t="shared" si="7"/>
        <v>127.97783029770321</v>
      </c>
      <c r="N48" s="1585">
        <f t="shared" si="4"/>
        <v>335737.42000000062</v>
      </c>
      <c r="O48" s="1585">
        <f t="shared" si="5"/>
        <v>48204.898816777968</v>
      </c>
      <c r="P48" s="1591"/>
      <c r="Q48" s="1587"/>
      <c r="R48" s="1587"/>
      <c r="S48" s="1589">
        <f t="shared" si="8"/>
        <v>48204.898816777968</v>
      </c>
      <c r="T48" s="1478"/>
      <c r="U48" s="1478"/>
      <c r="V48" s="1478"/>
      <c r="W48" s="1478"/>
      <c r="X48" s="1478"/>
      <c r="Y48" s="1478"/>
      <c r="Z48" s="1478"/>
      <c r="AA48" s="1478"/>
      <c r="AB48" s="1478"/>
      <c r="AC48" s="1478"/>
    </row>
    <row r="49" spans="1:29" s="1479" customFormat="1" ht="12" customHeight="1">
      <c r="A49" s="1480"/>
      <c r="B49" s="1576">
        <v>46044</v>
      </c>
      <c r="C49" s="1577" t="s">
        <v>19</v>
      </c>
      <c r="D49" s="1578" t="s">
        <v>1390</v>
      </c>
      <c r="E49" s="1695">
        <v>20</v>
      </c>
      <c r="F49" s="1580" t="s">
        <v>116</v>
      </c>
      <c r="G49" s="1581" t="s">
        <v>140</v>
      </c>
      <c r="H49" s="1594"/>
      <c r="I49" s="1595"/>
      <c r="J49" s="1595"/>
      <c r="K49" s="1583">
        <v>396</v>
      </c>
      <c r="L49" s="1324">
        <f>'통장내역(환율표)'!$D$49</f>
        <v>6.9648000589364321</v>
      </c>
      <c r="M49" s="1096">
        <f t="shared" si="7"/>
        <v>56.857339284549631</v>
      </c>
      <c r="N49" s="1585">
        <f t="shared" si="4"/>
        <v>335341.42000000062</v>
      </c>
      <c r="O49" s="1585">
        <f t="shared" si="5"/>
        <v>48148.041477493418</v>
      </c>
      <c r="P49" s="1591"/>
      <c r="Q49" s="1587"/>
      <c r="R49" s="1587"/>
      <c r="S49" s="1589">
        <f t="shared" si="8"/>
        <v>48148.041477493418</v>
      </c>
      <c r="T49" s="1478"/>
      <c r="U49" s="1478"/>
      <c r="V49" s="1478"/>
      <c r="W49" s="1478"/>
      <c r="X49" s="1478"/>
      <c r="Y49" s="1478"/>
      <c r="Z49" s="1478"/>
      <c r="AA49" s="1478"/>
      <c r="AB49" s="1478"/>
      <c r="AC49" s="1478"/>
    </row>
    <row r="50" spans="1:29" s="1479" customFormat="1" ht="12" customHeight="1">
      <c r="A50" s="1480"/>
      <c r="B50" s="1576">
        <v>46044</v>
      </c>
      <c r="C50" s="1577" t="s">
        <v>250</v>
      </c>
      <c r="D50" s="1578" t="s">
        <v>1390</v>
      </c>
      <c r="E50" s="1695">
        <v>21</v>
      </c>
      <c r="F50" s="1580" t="s">
        <v>107</v>
      </c>
      <c r="G50" s="1581"/>
      <c r="H50" s="1582"/>
      <c r="I50" s="1582"/>
      <c r="J50" s="1582"/>
      <c r="K50" s="1583">
        <v>3.6</v>
      </c>
      <c r="L50" s="1324">
        <f>'통장내역(환율표)'!$D$49</f>
        <v>6.9648000589364321</v>
      </c>
      <c r="M50" s="1096">
        <f t="shared" si="7"/>
        <v>0.51688490258681485</v>
      </c>
      <c r="N50" s="1585">
        <f t="shared" si="4"/>
        <v>335337.82000000065</v>
      </c>
      <c r="O50" s="1585">
        <f t="shared" si="5"/>
        <v>48147.524592590831</v>
      </c>
      <c r="P50" s="1591"/>
      <c r="Q50" s="1587"/>
      <c r="R50" s="1587"/>
      <c r="S50" s="1589">
        <f t="shared" si="8"/>
        <v>48147.524592590831</v>
      </c>
      <c r="T50" s="1478"/>
      <c r="U50" s="1478"/>
      <c r="V50" s="1478"/>
      <c r="W50" s="1478"/>
      <c r="X50" s="1478"/>
      <c r="Y50" s="1478"/>
      <c r="Z50" s="1478"/>
      <c r="AA50" s="1478"/>
      <c r="AB50" s="1478"/>
      <c r="AC50" s="1478"/>
    </row>
    <row r="51" spans="1:29" s="1479" customFormat="1" ht="12" customHeight="1">
      <c r="A51" s="1480"/>
      <c r="B51" s="1576">
        <v>46044</v>
      </c>
      <c r="C51" s="1577" t="s">
        <v>1451</v>
      </c>
      <c r="D51" s="1578" t="s">
        <v>1591</v>
      </c>
      <c r="E51" s="1695">
        <v>22</v>
      </c>
      <c r="F51" s="1580" t="s">
        <v>146</v>
      </c>
      <c r="G51" s="1581" t="s">
        <v>147</v>
      </c>
      <c r="H51" s="1582"/>
      <c r="I51" s="1582"/>
      <c r="J51" s="1582"/>
      <c r="K51" s="1583">
        <v>786.19</v>
      </c>
      <c r="L51" s="1324">
        <f>'통장내역(환율표)'!$D$49</f>
        <v>6.9648000589364321</v>
      </c>
      <c r="M51" s="1096">
        <f t="shared" si="7"/>
        <v>112.88048376798</v>
      </c>
      <c r="N51" s="1585">
        <f t="shared" si="4"/>
        <v>334551.63000000064</v>
      </c>
      <c r="O51" s="1585">
        <f t="shared" si="5"/>
        <v>48034.644108822853</v>
      </c>
      <c r="P51" s="1591"/>
      <c r="Q51" s="1587"/>
      <c r="R51" s="1587"/>
      <c r="S51" s="1589">
        <f t="shared" si="8"/>
        <v>48034.644108822853</v>
      </c>
      <c r="T51" s="1478"/>
      <c r="U51" s="1478"/>
      <c r="V51" s="1478"/>
      <c r="W51" s="1478"/>
      <c r="X51" s="1478"/>
      <c r="Y51" s="1478"/>
      <c r="Z51" s="1478"/>
      <c r="AA51" s="1478"/>
      <c r="AB51" s="1478"/>
      <c r="AC51" s="1478"/>
    </row>
    <row r="52" spans="1:29" s="1479" customFormat="1" ht="12" customHeight="1">
      <c r="A52" s="1480"/>
      <c r="B52" s="1576">
        <v>46044</v>
      </c>
      <c r="C52" s="1577" t="s">
        <v>1403</v>
      </c>
      <c r="D52" s="1578" t="s">
        <v>1591</v>
      </c>
      <c r="E52" s="1695">
        <v>23</v>
      </c>
      <c r="F52" s="1580" t="s">
        <v>13</v>
      </c>
      <c r="G52" s="1581" t="s">
        <v>14</v>
      </c>
      <c r="H52" s="1582"/>
      <c r="I52" s="1582"/>
      <c r="J52" s="1582"/>
      <c r="K52" s="1583">
        <v>3374.8</v>
      </c>
      <c r="L52" s="1324">
        <f>'통장내역(환율표)'!$D$49</f>
        <v>6.9648000589364321</v>
      </c>
      <c r="M52" s="1096">
        <f t="shared" si="7"/>
        <v>484.55088034721746</v>
      </c>
      <c r="N52" s="1585">
        <f t="shared" ref="N52:N83" si="9">N51+H52-K52</f>
        <v>331176.83000000066</v>
      </c>
      <c r="O52" s="1585">
        <f t="shared" ref="O52:O83" si="10">O51+J52-M52</f>
        <v>47550.093228475635</v>
      </c>
      <c r="P52" s="1591"/>
      <c r="Q52" s="1587"/>
      <c r="R52" s="1587"/>
      <c r="S52" s="1589">
        <f t="shared" si="8"/>
        <v>47550.093228475635</v>
      </c>
      <c r="T52" s="1478"/>
      <c r="U52" s="1478"/>
      <c r="V52" s="1478"/>
      <c r="W52" s="1478"/>
      <c r="X52" s="1478"/>
      <c r="Y52" s="1478"/>
      <c r="Z52" s="1478"/>
      <c r="AA52" s="1478"/>
      <c r="AB52" s="1478"/>
      <c r="AC52" s="1478"/>
    </row>
    <row r="53" spans="1:29" s="1479" customFormat="1" ht="12" customHeight="1">
      <c r="A53" s="1480"/>
      <c r="B53" s="1576">
        <v>46044</v>
      </c>
      <c r="C53" s="1577" t="s">
        <v>11</v>
      </c>
      <c r="D53" s="1578" t="s">
        <v>1591</v>
      </c>
      <c r="E53" s="1695">
        <v>24</v>
      </c>
      <c r="F53" s="1580" t="s">
        <v>125</v>
      </c>
      <c r="G53" s="1581" t="s">
        <v>145</v>
      </c>
      <c r="H53" s="1582"/>
      <c r="I53" s="1582"/>
      <c r="J53" s="1582"/>
      <c r="K53" s="1583">
        <v>145.5</v>
      </c>
      <c r="L53" s="1324">
        <f>'통장내역(환율표)'!$D$49</f>
        <v>6.9648000589364321</v>
      </c>
      <c r="M53" s="1096">
        <f t="shared" si="7"/>
        <v>20.890764812883766</v>
      </c>
      <c r="N53" s="1585">
        <f t="shared" si="9"/>
        <v>331031.33000000066</v>
      </c>
      <c r="O53" s="1585">
        <f t="shared" si="10"/>
        <v>47529.202463662754</v>
      </c>
      <c r="P53" s="1591"/>
      <c r="Q53" s="1587"/>
      <c r="R53" s="1587"/>
      <c r="S53" s="1589">
        <f t="shared" si="8"/>
        <v>47529.202463662754</v>
      </c>
      <c r="T53" s="1478"/>
      <c r="U53" s="1478"/>
      <c r="V53" s="1478"/>
      <c r="W53" s="1478"/>
      <c r="X53" s="1478"/>
      <c r="Y53" s="1478"/>
      <c r="Z53" s="1478"/>
      <c r="AA53" s="1478"/>
      <c r="AB53" s="1478"/>
      <c r="AC53" s="1478"/>
    </row>
    <row r="54" spans="1:29" s="1479" customFormat="1" ht="12" customHeight="1">
      <c r="A54" s="1480"/>
      <c r="B54" s="1576">
        <v>46044</v>
      </c>
      <c r="C54" s="1577" t="s">
        <v>19</v>
      </c>
      <c r="D54" s="1578" t="s">
        <v>1591</v>
      </c>
      <c r="E54" s="1695">
        <v>25</v>
      </c>
      <c r="F54" s="1580" t="s">
        <v>116</v>
      </c>
      <c r="G54" s="1581" t="s">
        <v>140</v>
      </c>
      <c r="H54" s="1582"/>
      <c r="I54" s="1582"/>
      <c r="J54" s="1582"/>
      <c r="K54" s="1583">
        <v>300</v>
      </c>
      <c r="L54" s="1324">
        <f>'통장내역(환율표)'!$D$49</f>
        <v>6.9648000589364321</v>
      </c>
      <c r="M54" s="1096">
        <f t="shared" si="7"/>
        <v>43.073741882234572</v>
      </c>
      <c r="N54" s="1585">
        <f t="shared" si="9"/>
        <v>330731.33000000066</v>
      </c>
      <c r="O54" s="1585">
        <f t="shared" si="10"/>
        <v>47486.128721780522</v>
      </c>
      <c r="Q54" s="1587"/>
      <c r="R54" s="1587"/>
      <c r="S54" s="1589">
        <f t="shared" si="8"/>
        <v>47486.128721780522</v>
      </c>
      <c r="T54" s="1478"/>
      <c r="U54" s="1478"/>
      <c r="V54" s="1478"/>
      <c r="W54" s="1478"/>
      <c r="X54" s="1478"/>
      <c r="Y54" s="1478"/>
      <c r="Z54" s="1478"/>
      <c r="AA54" s="1478"/>
      <c r="AB54" s="1478"/>
      <c r="AC54" s="1478"/>
    </row>
    <row r="55" spans="1:29" s="1479" customFormat="1" ht="12" customHeight="1">
      <c r="A55" s="1480"/>
      <c r="B55" s="1576">
        <v>46044</v>
      </c>
      <c r="C55" s="1577" t="s">
        <v>250</v>
      </c>
      <c r="D55" s="1578" t="s">
        <v>1591</v>
      </c>
      <c r="E55" s="1695">
        <v>26</v>
      </c>
      <c r="F55" s="1580" t="s">
        <v>107</v>
      </c>
      <c r="G55" s="1581"/>
      <c r="H55" s="1582"/>
      <c r="I55" s="1582"/>
      <c r="J55" s="1582"/>
      <c r="K55" s="1583">
        <v>3.6</v>
      </c>
      <c r="L55" s="1324">
        <f>'통장내역(환율표)'!$D$49</f>
        <v>6.9648000589364321</v>
      </c>
      <c r="M55" s="1096">
        <f t="shared" si="7"/>
        <v>0.51688490258681485</v>
      </c>
      <c r="N55" s="1585">
        <f t="shared" si="9"/>
        <v>330727.73000000068</v>
      </c>
      <c r="O55" s="1585">
        <f t="shared" si="10"/>
        <v>47485.611836877935</v>
      </c>
      <c r="P55" s="1591"/>
      <c r="Q55" s="1587"/>
      <c r="R55" s="1587"/>
      <c r="S55" s="1589">
        <f t="shared" si="8"/>
        <v>47485.611836877935</v>
      </c>
      <c r="T55" s="1478"/>
      <c r="U55" s="1478"/>
      <c r="V55" s="1478"/>
      <c r="W55" s="1478"/>
      <c r="X55" s="1478"/>
      <c r="Y55" s="1478"/>
      <c r="Z55" s="1478"/>
      <c r="AA55" s="1478"/>
      <c r="AB55" s="1478"/>
      <c r="AC55" s="1478"/>
    </row>
    <row r="56" spans="1:29" s="1484" customFormat="1" ht="11.25" customHeight="1">
      <c r="A56" s="1480"/>
      <c r="B56" s="1576">
        <v>46044</v>
      </c>
      <c r="C56" s="1577" t="s">
        <v>1403</v>
      </c>
      <c r="D56" s="1578" t="s">
        <v>1394</v>
      </c>
      <c r="E56" s="1695">
        <v>27</v>
      </c>
      <c r="F56" s="1580" t="s">
        <v>146</v>
      </c>
      <c r="G56" s="1581" t="s">
        <v>147</v>
      </c>
      <c r="H56" s="1582"/>
      <c r="I56" s="1582"/>
      <c r="J56" s="1582"/>
      <c r="K56" s="1583">
        <v>3046.88</v>
      </c>
      <c r="L56" s="1324">
        <f>'통장내역(환율표)'!$D$49</f>
        <v>6.9648000589364321</v>
      </c>
      <c r="M56" s="1096">
        <f t="shared" si="7"/>
        <v>437.46840888714291</v>
      </c>
      <c r="N56" s="1585">
        <f t="shared" si="9"/>
        <v>327680.85000000068</v>
      </c>
      <c r="O56" s="1585">
        <f t="shared" si="10"/>
        <v>47048.143427990792</v>
      </c>
      <c r="P56" s="1591"/>
      <c r="Q56" s="1587"/>
      <c r="R56" s="1587"/>
      <c r="S56" s="1589">
        <f t="shared" si="8"/>
        <v>47048.143427990792</v>
      </c>
      <c r="T56" s="1478"/>
      <c r="U56" s="1478"/>
      <c r="V56" s="1478"/>
      <c r="W56" s="1478"/>
      <c r="X56" s="1478"/>
      <c r="Y56" s="1478"/>
      <c r="Z56" s="1478"/>
      <c r="AA56" s="1478"/>
      <c r="AB56" s="1478"/>
      <c r="AC56" s="1478"/>
    </row>
    <row r="57" spans="1:29" s="1484" customFormat="1" ht="11.25" customHeight="1">
      <c r="A57" s="1480"/>
      <c r="B57" s="1576">
        <v>46044</v>
      </c>
      <c r="C57" s="1577" t="s">
        <v>11</v>
      </c>
      <c r="D57" s="1578" t="s">
        <v>1394</v>
      </c>
      <c r="E57" s="1695">
        <v>28</v>
      </c>
      <c r="F57" s="1580" t="s">
        <v>125</v>
      </c>
      <c r="G57" s="1581" t="s">
        <v>145</v>
      </c>
      <c r="H57" s="1582"/>
      <c r="I57" s="1582"/>
      <c r="J57" s="1582"/>
      <c r="K57" s="1583">
        <v>699.8</v>
      </c>
      <c r="L57" s="1324">
        <f>'통장내역(환율표)'!$D$49</f>
        <v>6.9648000589364321</v>
      </c>
      <c r="M57" s="1096">
        <f t="shared" si="7"/>
        <v>100.47668189729251</v>
      </c>
      <c r="N57" s="1585">
        <f t="shared" si="9"/>
        <v>326981.05000000069</v>
      </c>
      <c r="O57" s="1585">
        <f t="shared" si="10"/>
        <v>46947.666746093499</v>
      </c>
      <c r="P57" s="1591"/>
      <c r="Q57" s="1587"/>
      <c r="R57" s="1587"/>
      <c r="S57" s="1589">
        <f t="shared" si="8"/>
        <v>46947.666746093499</v>
      </c>
      <c r="T57" s="1478"/>
      <c r="U57" s="1478"/>
      <c r="V57" s="1478"/>
      <c r="W57" s="1478"/>
      <c r="X57" s="1478"/>
      <c r="Y57" s="1478"/>
      <c r="Z57" s="1478"/>
      <c r="AA57" s="1478"/>
      <c r="AB57" s="1478"/>
      <c r="AC57" s="1478"/>
    </row>
    <row r="58" spans="1:29" s="1484" customFormat="1" ht="11.25" customHeight="1">
      <c r="A58" s="1480"/>
      <c r="B58" s="1576">
        <v>46044</v>
      </c>
      <c r="C58" s="1577" t="s">
        <v>1451</v>
      </c>
      <c r="D58" s="1578" t="s">
        <v>1394</v>
      </c>
      <c r="E58" s="1695">
        <v>29</v>
      </c>
      <c r="F58" s="1580" t="s">
        <v>146</v>
      </c>
      <c r="G58" s="1581" t="s">
        <v>147</v>
      </c>
      <c r="H58" s="1582"/>
      <c r="I58" s="1582"/>
      <c r="J58" s="1582"/>
      <c r="K58" s="1583">
        <v>160.4</v>
      </c>
      <c r="L58" s="1324">
        <f>'통장내역(환율표)'!$D$49</f>
        <v>6.9648000589364321</v>
      </c>
      <c r="M58" s="1096">
        <f t="shared" si="7"/>
        <v>23.03009399303475</v>
      </c>
      <c r="N58" s="1585">
        <f t="shared" si="9"/>
        <v>326820.65000000066</v>
      </c>
      <c r="O58" s="1585">
        <f t="shared" si="10"/>
        <v>46924.636652100467</v>
      </c>
      <c r="P58" s="1591"/>
      <c r="Q58" s="1587"/>
      <c r="R58" s="1587"/>
      <c r="S58" s="1589">
        <f t="shared" si="8"/>
        <v>46924.636652100467</v>
      </c>
      <c r="T58" s="1478"/>
      <c r="U58" s="1478"/>
      <c r="V58" s="1478"/>
      <c r="W58" s="1478"/>
      <c r="X58" s="1478"/>
      <c r="Y58" s="1478"/>
      <c r="Z58" s="1478"/>
      <c r="AA58" s="1478"/>
      <c r="AB58" s="1478"/>
      <c r="AC58" s="1478"/>
    </row>
    <row r="59" spans="1:29" s="1484" customFormat="1" ht="11.25" customHeight="1">
      <c r="A59" s="1480"/>
      <c r="B59" s="1576">
        <v>46044</v>
      </c>
      <c r="C59" s="1592" t="s">
        <v>1602</v>
      </c>
      <c r="D59" s="1578" t="s">
        <v>1394</v>
      </c>
      <c r="E59" s="1695">
        <v>30</v>
      </c>
      <c r="F59" s="1580" t="s">
        <v>107</v>
      </c>
      <c r="G59" s="1581"/>
      <c r="H59" s="1582"/>
      <c r="I59" s="1582"/>
      <c r="J59" s="1582"/>
      <c r="K59" s="1583">
        <v>36.9</v>
      </c>
      <c r="L59" s="1324">
        <f>'통장내역(환율표)'!$D$49</f>
        <v>6.9648000589364321</v>
      </c>
      <c r="M59" s="1096">
        <f t="shared" si="7"/>
        <v>5.2980702515148517</v>
      </c>
      <c r="N59" s="1585">
        <f t="shared" si="9"/>
        <v>326783.75000000064</v>
      </c>
      <c r="O59" s="1585">
        <f t="shared" si="10"/>
        <v>46919.338581848955</v>
      </c>
      <c r="P59" s="1591"/>
      <c r="Q59" s="1587"/>
      <c r="R59" s="1587"/>
      <c r="S59" s="1589">
        <f t="shared" si="8"/>
        <v>46919.338581848955</v>
      </c>
      <c r="T59" s="1478"/>
      <c r="U59" s="1478"/>
      <c r="V59" s="1478"/>
      <c r="W59" s="1478"/>
      <c r="X59" s="1478"/>
      <c r="Y59" s="1478"/>
      <c r="Z59" s="1478"/>
      <c r="AA59" s="1478"/>
      <c r="AB59" s="1478"/>
      <c r="AC59" s="1478"/>
    </row>
    <row r="60" spans="1:29" s="1484" customFormat="1" ht="11.25" customHeight="1">
      <c r="A60" s="1480"/>
      <c r="B60" s="1576">
        <v>46044</v>
      </c>
      <c r="C60" s="1577" t="s">
        <v>19</v>
      </c>
      <c r="D60" s="1578" t="s">
        <v>1394</v>
      </c>
      <c r="E60" s="1695">
        <v>31</v>
      </c>
      <c r="F60" s="1580" t="s">
        <v>116</v>
      </c>
      <c r="G60" s="1581" t="s">
        <v>140</v>
      </c>
      <c r="H60" s="1582"/>
      <c r="I60" s="1582"/>
      <c r="J60" s="1582"/>
      <c r="K60" s="1583">
        <v>400</v>
      </c>
      <c r="L60" s="1324">
        <f>'통장내역(환율표)'!$D$49</f>
        <v>6.9648000589364321</v>
      </c>
      <c r="M60" s="1096">
        <f t="shared" si="7"/>
        <v>57.431655842979424</v>
      </c>
      <c r="N60" s="1585">
        <f t="shared" si="9"/>
        <v>326383.75000000064</v>
      </c>
      <c r="O60" s="1585">
        <f t="shared" si="10"/>
        <v>46861.906926005977</v>
      </c>
      <c r="P60" s="1591"/>
      <c r="Q60" s="1587"/>
      <c r="R60" s="1587"/>
      <c r="S60" s="1589">
        <f t="shared" si="8"/>
        <v>46861.906926005977</v>
      </c>
      <c r="T60" s="1478"/>
      <c r="U60" s="1478"/>
      <c r="V60" s="1478"/>
      <c r="W60" s="1478"/>
      <c r="X60" s="1478"/>
      <c r="Y60" s="1478"/>
      <c r="Z60" s="1478"/>
      <c r="AA60" s="1478"/>
      <c r="AB60" s="1478"/>
      <c r="AC60" s="1478"/>
    </row>
    <row r="61" spans="1:29" s="1484" customFormat="1" ht="11.25" customHeight="1">
      <c r="A61" s="1480"/>
      <c r="B61" s="1576">
        <v>46044</v>
      </c>
      <c r="C61" s="1592" t="s">
        <v>564</v>
      </c>
      <c r="D61" s="1578" t="s">
        <v>1394</v>
      </c>
      <c r="E61" s="1695">
        <v>32</v>
      </c>
      <c r="F61" s="1580" t="s">
        <v>107</v>
      </c>
      <c r="G61" s="1581"/>
      <c r="H61" s="1582"/>
      <c r="I61" s="1582"/>
      <c r="J61" s="1582"/>
      <c r="K61" s="1583">
        <v>338</v>
      </c>
      <c r="L61" s="1324">
        <f>'통장내역(환율표)'!$D$49</f>
        <v>6.9648000589364321</v>
      </c>
      <c r="M61" s="1096">
        <f t="shared" si="7"/>
        <v>48.529749187317613</v>
      </c>
      <c r="N61" s="1585">
        <f t="shared" si="9"/>
        <v>326045.75000000064</v>
      </c>
      <c r="O61" s="1585">
        <f t="shared" si="10"/>
        <v>46813.377176818656</v>
      </c>
      <c r="P61" s="1591"/>
      <c r="Q61" s="1587"/>
      <c r="R61" s="1634"/>
      <c r="S61" s="1589">
        <f t="shared" si="8"/>
        <v>46813.377176818656</v>
      </c>
      <c r="T61" s="1478"/>
      <c r="U61" s="1478"/>
      <c r="V61" s="1478"/>
      <c r="W61" s="1478"/>
      <c r="X61" s="1478"/>
      <c r="Y61" s="1478"/>
      <c r="Z61" s="1478"/>
      <c r="AA61" s="1478"/>
      <c r="AB61" s="1478"/>
      <c r="AC61" s="1478"/>
    </row>
    <row r="62" spans="1:29" s="1484" customFormat="1" ht="11.25" customHeight="1">
      <c r="A62" s="1480"/>
      <c r="B62" s="1576">
        <v>46044</v>
      </c>
      <c r="C62" s="1639" t="s">
        <v>124</v>
      </c>
      <c r="D62" s="1578" t="s">
        <v>1394</v>
      </c>
      <c r="E62" s="1695">
        <v>33</v>
      </c>
      <c r="F62" s="1580" t="s">
        <v>107</v>
      </c>
      <c r="G62" s="1581"/>
      <c r="H62" s="1582"/>
      <c r="I62" s="1582"/>
      <c r="J62" s="1582"/>
      <c r="K62" s="1583">
        <v>183</v>
      </c>
      <c r="L62" s="1324">
        <f>'통장내역(환율표)'!$D$49</f>
        <v>6.9648000589364321</v>
      </c>
      <c r="M62" s="1096">
        <f t="shared" si="7"/>
        <v>26.274982548163088</v>
      </c>
      <c r="N62" s="1585">
        <f t="shared" si="9"/>
        <v>325862.75000000064</v>
      </c>
      <c r="O62" s="1585">
        <f t="shared" si="10"/>
        <v>46787.10219427049</v>
      </c>
      <c r="P62" s="1591"/>
      <c r="Q62" s="1587"/>
      <c r="R62" s="1587"/>
      <c r="S62" s="1589">
        <f t="shared" si="8"/>
        <v>46787.10219427049</v>
      </c>
      <c r="T62" s="1478"/>
      <c r="U62" s="1478"/>
      <c r="V62" s="1478"/>
      <c r="W62" s="1478"/>
      <c r="X62" s="1478"/>
      <c r="Y62" s="1478"/>
      <c r="Z62" s="1478"/>
      <c r="AA62" s="1478"/>
      <c r="AB62" s="1478"/>
      <c r="AC62" s="1478"/>
    </row>
    <row r="63" spans="1:29" s="1484" customFormat="1" ht="11.25" customHeight="1">
      <c r="A63" s="1480"/>
      <c r="B63" s="1576">
        <v>46044</v>
      </c>
      <c r="C63" s="1593" t="s">
        <v>250</v>
      </c>
      <c r="D63" s="1578" t="s">
        <v>1394</v>
      </c>
      <c r="E63" s="1695">
        <v>34</v>
      </c>
      <c r="F63" s="1580" t="s">
        <v>107</v>
      </c>
      <c r="G63" s="1581"/>
      <c r="H63" s="1582"/>
      <c r="I63" s="1582"/>
      <c r="J63" s="1582"/>
      <c r="K63" s="1583">
        <v>3.6</v>
      </c>
      <c r="L63" s="1324">
        <f>'통장내역(환율표)'!$D$49</f>
        <v>6.9648000589364321</v>
      </c>
      <c r="M63" s="1096">
        <f t="shared" si="7"/>
        <v>0.51688490258681485</v>
      </c>
      <c r="N63" s="1585">
        <f t="shared" si="9"/>
        <v>325859.15000000066</v>
      </c>
      <c r="O63" s="1585">
        <f t="shared" si="10"/>
        <v>46786.585309367903</v>
      </c>
      <c r="P63" s="1591"/>
      <c r="Q63" s="1587"/>
      <c r="R63" s="1587"/>
      <c r="S63" s="1589">
        <f t="shared" si="8"/>
        <v>46786.585309367903</v>
      </c>
      <c r="T63" s="1478"/>
      <c r="U63" s="1478"/>
      <c r="V63" s="1478"/>
      <c r="W63" s="1478"/>
      <c r="X63" s="1478"/>
      <c r="Y63" s="1478"/>
      <c r="Z63" s="1478"/>
      <c r="AA63" s="1478"/>
      <c r="AB63" s="1478"/>
      <c r="AC63" s="1478"/>
    </row>
    <row r="64" spans="1:29" s="1484" customFormat="1" ht="11.25" customHeight="1">
      <c r="A64" s="1480"/>
      <c r="B64" s="1576">
        <v>46044</v>
      </c>
      <c r="C64" s="1577" t="s">
        <v>1451</v>
      </c>
      <c r="D64" s="1578" t="s">
        <v>1391</v>
      </c>
      <c r="E64" s="1695">
        <v>35</v>
      </c>
      <c r="F64" s="1580" t="s">
        <v>146</v>
      </c>
      <c r="G64" s="1581" t="s">
        <v>147</v>
      </c>
      <c r="H64" s="1582"/>
      <c r="I64" s="1582"/>
      <c r="J64" s="1582"/>
      <c r="K64" s="1583">
        <v>381.84</v>
      </c>
      <c r="L64" s="1324">
        <f>'통장내역(환율표)'!$D$49</f>
        <v>6.9648000589364321</v>
      </c>
      <c r="M64" s="1096">
        <f t="shared" si="7"/>
        <v>54.824258667708158</v>
      </c>
      <c r="N64" s="1585">
        <f t="shared" si="9"/>
        <v>325477.31000000064</v>
      </c>
      <c r="O64" s="1585">
        <f t="shared" si="10"/>
        <v>46731.761050700195</v>
      </c>
      <c r="P64" s="1591"/>
      <c r="Q64" s="1587"/>
      <c r="R64" s="1587"/>
      <c r="S64" s="1589">
        <f t="shared" si="8"/>
        <v>46731.761050700195</v>
      </c>
      <c r="T64" s="1478"/>
      <c r="U64" s="1478"/>
      <c r="V64" s="1478"/>
      <c r="W64" s="1478"/>
      <c r="X64" s="1478"/>
      <c r="Y64" s="1478"/>
      <c r="Z64" s="1478"/>
      <c r="AA64" s="1478"/>
      <c r="AB64" s="1478"/>
      <c r="AC64" s="1478"/>
    </row>
    <row r="65" spans="1:29" s="1484" customFormat="1" ht="11.25" customHeight="1">
      <c r="A65" s="1480"/>
      <c r="B65" s="1576">
        <v>46044</v>
      </c>
      <c r="C65" s="1577" t="s">
        <v>11</v>
      </c>
      <c r="D65" s="1578" t="s">
        <v>1391</v>
      </c>
      <c r="E65" s="1695">
        <v>36</v>
      </c>
      <c r="F65" s="1580" t="s">
        <v>125</v>
      </c>
      <c r="G65" s="1581" t="s">
        <v>145</v>
      </c>
      <c r="H65" s="1582"/>
      <c r="I65" s="1582"/>
      <c r="J65" s="1582"/>
      <c r="K65" s="1583">
        <v>2083</v>
      </c>
      <c r="L65" s="1324">
        <f>'통장내역(환율표)'!$D$49</f>
        <v>6.9648000589364321</v>
      </c>
      <c r="M65" s="1096">
        <f t="shared" si="7"/>
        <v>299.07534780231538</v>
      </c>
      <c r="N65" s="1585">
        <f t="shared" si="9"/>
        <v>323394.31000000064</v>
      </c>
      <c r="O65" s="1585">
        <f t="shared" si="10"/>
        <v>46432.685702897877</v>
      </c>
      <c r="P65" s="1591"/>
      <c r="Q65" s="1587"/>
      <c r="R65" s="1587"/>
      <c r="S65" s="1589">
        <f t="shared" si="8"/>
        <v>46432.685702897877</v>
      </c>
      <c r="T65" s="1478"/>
      <c r="U65" s="1478"/>
      <c r="V65" s="1478"/>
      <c r="W65" s="1478"/>
      <c r="X65" s="1478"/>
      <c r="Y65" s="1478"/>
      <c r="Z65" s="1478"/>
      <c r="AA65" s="1478"/>
      <c r="AB65" s="1478"/>
      <c r="AC65" s="1478"/>
    </row>
    <row r="66" spans="1:29" s="1484" customFormat="1" ht="11.25" customHeight="1">
      <c r="A66" s="1480"/>
      <c r="B66" s="1576">
        <v>46044</v>
      </c>
      <c r="C66" s="1577" t="s">
        <v>19</v>
      </c>
      <c r="D66" s="1578" t="s">
        <v>1391</v>
      </c>
      <c r="E66" s="1695">
        <v>37</v>
      </c>
      <c r="F66" s="1580" t="s">
        <v>116</v>
      </c>
      <c r="G66" s="1581" t="s">
        <v>140</v>
      </c>
      <c r="H66" s="1582"/>
      <c r="I66" s="1582"/>
      <c r="J66" s="1582"/>
      <c r="K66" s="1583">
        <v>378</v>
      </c>
      <c r="L66" s="1324">
        <f>'통장내역(환율표)'!$D$49</f>
        <v>6.9648000589364321</v>
      </c>
      <c r="M66" s="1096">
        <f t="shared" si="7"/>
        <v>54.272914771615561</v>
      </c>
      <c r="N66" s="1585">
        <f t="shared" si="9"/>
        <v>323016.31000000064</v>
      </c>
      <c r="O66" s="1585">
        <f t="shared" si="10"/>
        <v>46378.412788126261</v>
      </c>
      <c r="P66" s="1591"/>
      <c r="Q66" s="1587"/>
      <c r="R66" s="1587"/>
      <c r="S66" s="1589">
        <f t="shared" si="8"/>
        <v>46378.412788126261</v>
      </c>
      <c r="T66" s="1478"/>
      <c r="U66" s="1478"/>
      <c r="V66" s="1478"/>
      <c r="W66" s="1478"/>
      <c r="X66" s="1478"/>
      <c r="Y66" s="1478"/>
      <c r="Z66" s="1478"/>
      <c r="AA66" s="1478"/>
      <c r="AB66" s="1478"/>
      <c r="AC66" s="1478"/>
    </row>
    <row r="67" spans="1:29" s="1484" customFormat="1" ht="11.25" customHeight="1">
      <c r="A67" s="1480"/>
      <c r="B67" s="1576">
        <v>46044</v>
      </c>
      <c r="C67" s="1592" t="s">
        <v>124</v>
      </c>
      <c r="D67" s="1578" t="s">
        <v>1391</v>
      </c>
      <c r="E67" s="1695">
        <v>38</v>
      </c>
      <c r="F67" s="1580" t="s">
        <v>107</v>
      </c>
      <c r="G67" s="1581"/>
      <c r="H67" s="1582"/>
      <c r="I67" s="1582"/>
      <c r="J67" s="1582"/>
      <c r="K67" s="1583">
        <v>124.25</v>
      </c>
      <c r="L67" s="1324">
        <f>'통장내역(환율표)'!$D$49</f>
        <v>6.9648000589364321</v>
      </c>
      <c r="M67" s="1096">
        <f t="shared" si="7"/>
        <v>17.839708096225486</v>
      </c>
      <c r="N67" s="1585">
        <f t="shared" si="9"/>
        <v>322892.06000000064</v>
      </c>
      <c r="O67" s="1585">
        <f t="shared" si="10"/>
        <v>46360.573080030037</v>
      </c>
      <c r="P67" s="1591"/>
      <c r="Q67" s="1587"/>
      <c r="R67" s="1587"/>
      <c r="S67" s="1589">
        <f t="shared" si="8"/>
        <v>46360.573080030037</v>
      </c>
      <c r="T67" s="1478"/>
      <c r="U67" s="1478"/>
      <c r="V67" s="1478"/>
      <c r="W67" s="1478"/>
      <c r="X67" s="1478"/>
      <c r="Y67" s="1478"/>
      <c r="Z67" s="1478"/>
      <c r="AA67" s="1478"/>
      <c r="AB67" s="1478"/>
      <c r="AC67" s="1478"/>
    </row>
    <row r="68" spans="1:29" s="1484" customFormat="1" ht="11.25" customHeight="1">
      <c r="A68" s="1480"/>
      <c r="B68" s="1576">
        <v>46044</v>
      </c>
      <c r="C68" s="1577" t="s">
        <v>250</v>
      </c>
      <c r="D68" s="1578" t="s">
        <v>1391</v>
      </c>
      <c r="E68" s="1695">
        <v>39</v>
      </c>
      <c r="F68" s="1580" t="s">
        <v>107</v>
      </c>
      <c r="G68" s="1581"/>
      <c r="H68" s="1582"/>
      <c r="I68" s="1582"/>
      <c r="J68" s="1582"/>
      <c r="K68" s="1583">
        <v>3.6</v>
      </c>
      <c r="L68" s="1324">
        <f>'통장내역(환율표)'!$D$49</f>
        <v>6.9648000589364321</v>
      </c>
      <c r="M68" s="1096">
        <f t="shared" si="7"/>
        <v>0.51688490258681485</v>
      </c>
      <c r="N68" s="1585">
        <f t="shared" si="9"/>
        <v>322888.46000000066</v>
      </c>
      <c r="O68" s="1585">
        <f t="shared" si="10"/>
        <v>46360.05619512745</v>
      </c>
      <c r="P68" s="1591"/>
      <c r="Q68" s="1587"/>
      <c r="R68" s="1587"/>
      <c r="S68" s="1589">
        <f t="shared" si="8"/>
        <v>46360.05619512745</v>
      </c>
      <c r="T68" s="1478"/>
      <c r="U68" s="1478"/>
      <c r="V68" s="1478"/>
      <c r="W68" s="1478"/>
      <c r="X68" s="1478"/>
      <c r="Y68" s="1478"/>
      <c r="Z68" s="1478"/>
      <c r="AA68" s="1478"/>
      <c r="AB68" s="1478"/>
      <c r="AC68" s="1478"/>
    </row>
    <row r="69" spans="1:29" s="1484" customFormat="1" ht="11.25" customHeight="1">
      <c r="A69" s="1480"/>
      <c r="B69" s="1576">
        <v>46044</v>
      </c>
      <c r="C69" s="1593" t="s">
        <v>11</v>
      </c>
      <c r="D69" s="1578" t="s">
        <v>1551</v>
      </c>
      <c r="E69" s="1695">
        <v>40</v>
      </c>
      <c r="F69" s="1580" t="s">
        <v>125</v>
      </c>
      <c r="G69" s="1581" t="s">
        <v>145</v>
      </c>
      <c r="H69" s="1582"/>
      <c r="I69" s="1590"/>
      <c r="J69" s="1582"/>
      <c r="K69" s="1583">
        <v>845.5</v>
      </c>
      <c r="L69" s="1324">
        <f>'통장내역(환율표)'!$D$49</f>
        <v>6.9648000589364321</v>
      </c>
      <c r="M69" s="1096">
        <f t="shared" si="7"/>
        <v>121.39616253809777</v>
      </c>
      <c r="N69" s="1585">
        <f t="shared" si="9"/>
        <v>322042.96000000066</v>
      </c>
      <c r="O69" s="1585">
        <f t="shared" si="10"/>
        <v>46238.660032589352</v>
      </c>
      <c r="P69" s="1591"/>
      <c r="Q69" s="1587"/>
      <c r="R69" s="1587"/>
      <c r="S69" s="1589">
        <f t="shared" si="8"/>
        <v>46238.660032589352</v>
      </c>
      <c r="T69" s="1478"/>
      <c r="U69" s="1478"/>
      <c r="V69" s="1478"/>
      <c r="W69" s="1478"/>
      <c r="X69" s="1478"/>
      <c r="Y69" s="1478"/>
      <c r="Z69" s="1478"/>
      <c r="AA69" s="1478"/>
      <c r="AB69" s="1478"/>
      <c r="AC69" s="1478"/>
    </row>
    <row r="70" spans="1:29" s="1484" customFormat="1" ht="11.25" customHeight="1">
      <c r="A70" s="1480"/>
      <c r="B70" s="1576">
        <v>46044</v>
      </c>
      <c r="C70" s="1577" t="s">
        <v>1403</v>
      </c>
      <c r="D70" s="1578" t="s">
        <v>1551</v>
      </c>
      <c r="E70" s="1694">
        <v>41</v>
      </c>
      <c r="F70" s="1580" t="s">
        <v>146</v>
      </c>
      <c r="G70" s="1581" t="s">
        <v>147</v>
      </c>
      <c r="H70" s="1582"/>
      <c r="I70" s="1590"/>
      <c r="J70" s="1582"/>
      <c r="K70" s="1583">
        <v>2916</v>
      </c>
      <c r="L70" s="1324">
        <f>'통장내역(환율표)'!$D$49</f>
        <v>6.9648000589364321</v>
      </c>
      <c r="M70" s="1096">
        <f t="shared" si="7"/>
        <v>418.67677109532002</v>
      </c>
      <c r="N70" s="1585">
        <f t="shared" si="9"/>
        <v>319126.96000000066</v>
      </c>
      <c r="O70" s="1585">
        <f t="shared" si="10"/>
        <v>45819.983261494031</v>
      </c>
      <c r="P70" s="1591"/>
      <c r="Q70" s="1587"/>
      <c r="R70" s="1587"/>
      <c r="S70" s="1589">
        <f t="shared" si="8"/>
        <v>45819.983261494031</v>
      </c>
      <c r="T70" s="1478"/>
      <c r="U70" s="1478"/>
      <c r="V70" s="1478"/>
      <c r="W70" s="1478"/>
      <c r="X70" s="1478"/>
      <c r="Y70" s="1478"/>
      <c r="Z70" s="1478"/>
      <c r="AA70" s="1478"/>
      <c r="AB70" s="1478"/>
      <c r="AC70" s="1478"/>
    </row>
    <row r="71" spans="1:29" s="1484" customFormat="1" ht="11.25" customHeight="1">
      <c r="A71" s="1480"/>
      <c r="B71" s="1576">
        <v>46044</v>
      </c>
      <c r="C71" s="1577" t="s">
        <v>1403</v>
      </c>
      <c r="D71" s="1578" t="s">
        <v>211</v>
      </c>
      <c r="E71" s="1694">
        <v>42</v>
      </c>
      <c r="F71" s="1580" t="s">
        <v>146</v>
      </c>
      <c r="G71" s="1581" t="s">
        <v>147</v>
      </c>
      <c r="H71" s="1582"/>
      <c r="I71" s="1590"/>
      <c r="J71" s="1582"/>
      <c r="K71" s="1583">
        <v>4931.2</v>
      </c>
      <c r="L71" s="1324">
        <f>'통장내역(환율표)'!$D$49</f>
        <v>6.9648000589364321</v>
      </c>
      <c r="M71" s="1096">
        <f t="shared" si="7"/>
        <v>708.01745323225032</v>
      </c>
      <c r="N71" s="1585">
        <f t="shared" si="9"/>
        <v>314195.76000000065</v>
      </c>
      <c r="O71" s="1585">
        <f t="shared" si="10"/>
        <v>45111.965808261783</v>
      </c>
      <c r="P71" s="1591"/>
      <c r="Q71" s="1587"/>
      <c r="R71" s="1587"/>
      <c r="S71" s="1589">
        <f t="shared" si="8"/>
        <v>45111.965808261783</v>
      </c>
      <c r="T71" s="1478"/>
      <c r="U71" s="1478"/>
      <c r="V71" s="1478"/>
      <c r="W71" s="1478"/>
      <c r="X71" s="1478"/>
      <c r="Y71" s="1478"/>
      <c r="Z71" s="1478"/>
      <c r="AA71" s="1478"/>
      <c r="AB71" s="1478"/>
      <c r="AC71" s="1478"/>
    </row>
    <row r="72" spans="1:29" s="1484" customFormat="1" ht="11.25" customHeight="1">
      <c r="A72" s="1480"/>
      <c r="B72" s="1576">
        <v>46044</v>
      </c>
      <c r="C72" s="1593" t="s">
        <v>11</v>
      </c>
      <c r="D72" s="1578" t="s">
        <v>211</v>
      </c>
      <c r="E72" s="1694">
        <v>43</v>
      </c>
      <c r="F72" s="1580" t="s">
        <v>125</v>
      </c>
      <c r="G72" s="1581" t="s">
        <v>145</v>
      </c>
      <c r="H72" s="1582"/>
      <c r="I72" s="1590"/>
      <c r="J72" s="1582"/>
      <c r="K72" s="1583">
        <v>1403.42</v>
      </c>
      <c r="L72" s="1324">
        <f>'통장내역(환율표)'!$D$49</f>
        <v>6.9648000589364321</v>
      </c>
      <c r="M72" s="1096">
        <f t="shared" si="7"/>
        <v>201.50183610788548</v>
      </c>
      <c r="N72" s="1585">
        <f t="shared" si="9"/>
        <v>312792.34000000067</v>
      </c>
      <c r="O72" s="1585">
        <f t="shared" si="10"/>
        <v>44910.463972153899</v>
      </c>
      <c r="P72" s="1591"/>
      <c r="Q72" s="1587"/>
      <c r="R72" s="1587"/>
      <c r="S72" s="1589">
        <f t="shared" si="8"/>
        <v>44910.463972153899</v>
      </c>
      <c r="T72" s="1478"/>
      <c r="U72" s="1478"/>
      <c r="V72" s="1478"/>
      <c r="W72" s="1478"/>
      <c r="X72" s="1478"/>
      <c r="Y72" s="1478"/>
      <c r="Z72" s="1478"/>
      <c r="AA72" s="1478"/>
      <c r="AB72" s="1478"/>
      <c r="AC72" s="1478"/>
    </row>
    <row r="73" spans="1:29" s="1484" customFormat="1" ht="11.25" customHeight="1">
      <c r="A73" s="1480"/>
      <c r="B73" s="1576">
        <v>46044</v>
      </c>
      <c r="C73" s="1577" t="s">
        <v>1451</v>
      </c>
      <c r="D73" s="1578" t="s">
        <v>211</v>
      </c>
      <c r="E73" s="1694">
        <v>44</v>
      </c>
      <c r="F73" s="1580" t="s">
        <v>146</v>
      </c>
      <c r="G73" s="1581" t="s">
        <v>147</v>
      </c>
      <c r="H73" s="1582"/>
      <c r="I73" s="1590"/>
      <c r="J73" s="1582"/>
      <c r="K73" s="1583">
        <v>44.48</v>
      </c>
      <c r="L73" s="1324">
        <f>'통장내역(환율표)'!$D$49</f>
        <v>6.9648000589364321</v>
      </c>
      <c r="M73" s="1096">
        <f t="shared" si="7"/>
        <v>6.3864001297393118</v>
      </c>
      <c r="N73" s="1585">
        <f t="shared" si="9"/>
        <v>312747.86000000068</v>
      </c>
      <c r="O73" s="1585">
        <f t="shared" si="10"/>
        <v>44904.077572024158</v>
      </c>
      <c r="P73" s="1597"/>
      <c r="Q73" s="1587"/>
      <c r="R73" s="1587"/>
      <c r="S73" s="1589">
        <f t="shared" si="8"/>
        <v>44904.077572024158</v>
      </c>
      <c r="T73" s="1478"/>
      <c r="U73" s="1478"/>
      <c r="V73" s="1478"/>
      <c r="W73" s="1478"/>
      <c r="X73" s="1478"/>
      <c r="Y73" s="1478"/>
      <c r="Z73" s="1478"/>
      <c r="AA73" s="1478"/>
      <c r="AB73" s="1478"/>
      <c r="AC73" s="1478"/>
    </row>
    <row r="74" spans="1:29" s="1484" customFormat="1" ht="11.25" customHeight="1">
      <c r="A74" s="1480"/>
      <c r="B74" s="1576">
        <v>46044</v>
      </c>
      <c r="C74" s="1577" t="s">
        <v>19</v>
      </c>
      <c r="D74" s="1578" t="s">
        <v>211</v>
      </c>
      <c r="E74" s="1694">
        <v>45</v>
      </c>
      <c r="F74" s="1580" t="s">
        <v>116</v>
      </c>
      <c r="G74" s="1581" t="s">
        <v>140</v>
      </c>
      <c r="H74" s="1582"/>
      <c r="I74" s="1590"/>
      <c r="J74" s="1582"/>
      <c r="K74" s="1583">
        <v>297</v>
      </c>
      <c r="L74" s="1324">
        <f>'통장내역(환율표)'!$D$49</f>
        <v>6.9648000589364321</v>
      </c>
      <c r="M74" s="1096">
        <v>42.637</v>
      </c>
      <c r="N74" s="1585">
        <f t="shared" si="9"/>
        <v>312450.86000000068</v>
      </c>
      <c r="O74" s="1585">
        <f t="shared" si="10"/>
        <v>44861.440572024156</v>
      </c>
      <c r="P74" s="1591"/>
      <c r="Q74" s="1587"/>
      <c r="R74" s="1587"/>
      <c r="S74" s="1589">
        <f t="shared" si="8"/>
        <v>44861.440572024156</v>
      </c>
      <c r="T74" s="1478"/>
      <c r="U74" s="1478"/>
      <c r="V74" s="1478"/>
      <c r="W74" s="1478"/>
      <c r="X74" s="1478"/>
      <c r="Y74" s="1478"/>
      <c r="Z74" s="1478"/>
      <c r="AA74" s="1478"/>
      <c r="AB74" s="1478"/>
      <c r="AC74" s="1478"/>
    </row>
    <row r="75" spans="1:29" s="1484" customFormat="1" ht="11.25" customHeight="1">
      <c r="A75" s="1480"/>
      <c r="B75" s="1576">
        <v>46044</v>
      </c>
      <c r="C75" s="1593" t="s">
        <v>250</v>
      </c>
      <c r="D75" s="1578" t="s">
        <v>211</v>
      </c>
      <c r="E75" s="1694">
        <v>46</v>
      </c>
      <c r="F75" s="1580" t="s">
        <v>107</v>
      </c>
      <c r="G75" s="1581"/>
      <c r="H75" s="1582"/>
      <c r="I75" s="1590"/>
      <c r="J75" s="1582"/>
      <c r="K75" s="1583">
        <v>3.6</v>
      </c>
      <c r="L75" s="1324">
        <f>'통장내역(환율표)'!$D$49</f>
        <v>6.9648000589364321</v>
      </c>
      <c r="M75" s="1096">
        <f t="shared" ref="M75:M87" si="11">K75/L75</f>
        <v>0.51688490258681485</v>
      </c>
      <c r="N75" s="1585">
        <f t="shared" si="9"/>
        <v>312447.26000000071</v>
      </c>
      <c r="O75" s="1585">
        <f t="shared" si="10"/>
        <v>44860.923687121569</v>
      </c>
      <c r="P75" s="1591"/>
      <c r="Q75" s="1587"/>
      <c r="R75" s="1587"/>
      <c r="S75" s="1589">
        <f t="shared" si="8"/>
        <v>44860.923687121569</v>
      </c>
      <c r="T75" s="1478"/>
      <c r="U75" s="1478"/>
      <c r="V75" s="1478"/>
      <c r="W75" s="1478"/>
      <c r="X75" s="1478"/>
      <c r="Y75" s="1478"/>
      <c r="Z75" s="1478"/>
      <c r="AA75" s="1478"/>
      <c r="AB75" s="1478"/>
      <c r="AC75" s="1478"/>
    </row>
    <row r="76" spans="1:29" s="1484" customFormat="1" ht="11.25" customHeight="1">
      <c r="A76" s="1480"/>
      <c r="B76" s="1576">
        <v>46044</v>
      </c>
      <c r="C76" s="1593" t="s">
        <v>1406</v>
      </c>
      <c r="D76" s="1578" t="s">
        <v>1392</v>
      </c>
      <c r="E76" s="1694">
        <v>47</v>
      </c>
      <c r="F76" s="1580" t="s">
        <v>146</v>
      </c>
      <c r="G76" s="1581" t="s">
        <v>147</v>
      </c>
      <c r="H76" s="1582"/>
      <c r="I76" s="1582"/>
      <c r="J76" s="1582"/>
      <c r="K76" s="1583">
        <v>2185</v>
      </c>
      <c r="L76" s="1324">
        <f>'통장내역(환율표)'!$D$49</f>
        <v>6.9648000589364321</v>
      </c>
      <c r="M76" s="1096">
        <f t="shared" si="11"/>
        <v>313.72042004227512</v>
      </c>
      <c r="N76" s="1585">
        <f t="shared" si="9"/>
        <v>310262.26000000071</v>
      </c>
      <c r="O76" s="1585">
        <f t="shared" si="10"/>
        <v>44547.203267079291</v>
      </c>
      <c r="P76" s="1591"/>
      <c r="Q76" s="1587"/>
      <c r="R76" s="1587"/>
      <c r="S76" s="1589">
        <f t="shared" si="8"/>
        <v>44547.203267079291</v>
      </c>
      <c r="T76" s="1478"/>
      <c r="U76" s="1478"/>
      <c r="V76" s="1478"/>
      <c r="W76" s="1478"/>
      <c r="X76" s="1478"/>
      <c r="Y76" s="1478"/>
      <c r="Z76" s="1478"/>
      <c r="AA76" s="1478"/>
      <c r="AB76" s="1478"/>
      <c r="AC76" s="1478"/>
    </row>
    <row r="77" spans="1:29" s="1484" customFormat="1" ht="11.25" customHeight="1">
      <c r="A77" s="1480"/>
      <c r="B77" s="1576">
        <v>46044</v>
      </c>
      <c r="C77" s="1593" t="s">
        <v>1407</v>
      </c>
      <c r="D77" s="1578" t="s">
        <v>1392</v>
      </c>
      <c r="E77" s="1694">
        <v>48</v>
      </c>
      <c r="F77" s="1580" t="s">
        <v>146</v>
      </c>
      <c r="G77" s="1581" t="s">
        <v>147</v>
      </c>
      <c r="H77" s="1582"/>
      <c r="I77" s="1590"/>
      <c r="J77" s="1582"/>
      <c r="K77" s="1583">
        <v>124</v>
      </c>
      <c r="L77" s="1324">
        <f>'통장내역(환율표)'!$D$49</f>
        <v>6.9648000589364321</v>
      </c>
      <c r="M77" s="1096">
        <f t="shared" si="11"/>
        <v>17.803813311323623</v>
      </c>
      <c r="N77" s="1585">
        <f t="shared" si="9"/>
        <v>310138.26000000071</v>
      </c>
      <c r="O77" s="1585">
        <f t="shared" si="10"/>
        <v>44529.399453767968</v>
      </c>
      <c r="P77" s="1591"/>
      <c r="Q77" s="1587"/>
      <c r="R77" s="1587"/>
      <c r="S77" s="1589">
        <f t="shared" si="8"/>
        <v>44529.399453767968</v>
      </c>
      <c r="T77" s="1478"/>
      <c r="U77" s="1478"/>
      <c r="V77" s="1478"/>
      <c r="W77" s="1478"/>
      <c r="X77" s="1478"/>
      <c r="Y77" s="1478"/>
      <c r="Z77" s="1478"/>
      <c r="AA77" s="1478"/>
      <c r="AB77" s="1478"/>
      <c r="AC77" s="1478"/>
    </row>
    <row r="78" spans="1:29" s="1484" customFormat="1" ht="11.25" customHeight="1">
      <c r="A78" s="1480"/>
      <c r="B78" s="1576">
        <v>46044</v>
      </c>
      <c r="C78" s="1593" t="s">
        <v>1408</v>
      </c>
      <c r="D78" s="1578" t="s">
        <v>1392</v>
      </c>
      <c r="E78" s="1694">
        <v>49</v>
      </c>
      <c r="F78" s="1580" t="s">
        <v>146</v>
      </c>
      <c r="G78" s="1581" t="s">
        <v>147</v>
      </c>
      <c r="H78" s="1582"/>
      <c r="I78" s="1590"/>
      <c r="J78" s="1582"/>
      <c r="K78" s="1583">
        <v>427</v>
      </c>
      <c r="L78" s="1324">
        <f>'통장내역(환율표)'!$D$49</f>
        <v>6.9648000589364321</v>
      </c>
      <c r="M78" s="1096">
        <f t="shared" si="11"/>
        <v>61.308292612380541</v>
      </c>
      <c r="N78" s="1585">
        <f t="shared" si="9"/>
        <v>309711.26000000071</v>
      </c>
      <c r="O78" s="1585">
        <f t="shared" si="10"/>
        <v>44468.091161155586</v>
      </c>
      <c r="P78" s="1591"/>
      <c r="Q78" s="1587"/>
      <c r="R78" s="1587"/>
      <c r="S78" s="1589">
        <f t="shared" si="8"/>
        <v>44468.091161155586</v>
      </c>
      <c r="T78" s="1478"/>
      <c r="U78" s="1478"/>
      <c r="V78" s="1478"/>
      <c r="W78" s="1478"/>
      <c r="X78" s="1478"/>
      <c r="Y78" s="1478"/>
      <c r="Z78" s="1478"/>
      <c r="AA78" s="1478"/>
      <c r="AB78" s="1478"/>
      <c r="AC78" s="1478"/>
    </row>
    <row r="79" spans="1:29" s="1484" customFormat="1" ht="11.25" customHeight="1">
      <c r="A79" s="1480"/>
      <c r="B79" s="1576">
        <v>46044</v>
      </c>
      <c r="C79" s="1593" t="s">
        <v>250</v>
      </c>
      <c r="D79" s="1578" t="s">
        <v>1392</v>
      </c>
      <c r="E79" s="1694">
        <v>50</v>
      </c>
      <c r="F79" s="1580" t="s">
        <v>107</v>
      </c>
      <c r="G79" s="1581"/>
      <c r="H79" s="1582"/>
      <c r="I79" s="1590"/>
      <c r="J79" s="1582"/>
      <c r="K79" s="1583">
        <v>3.6</v>
      </c>
      <c r="L79" s="1324">
        <f>'통장내역(환율표)'!$D$49</f>
        <v>6.9648000589364321</v>
      </c>
      <c r="M79" s="1096">
        <f t="shared" si="11"/>
        <v>0.51688490258681485</v>
      </c>
      <c r="N79" s="1585">
        <f t="shared" si="9"/>
        <v>309707.66000000073</v>
      </c>
      <c r="O79" s="1585">
        <f t="shared" si="10"/>
        <v>44467.574276252999</v>
      </c>
      <c r="P79" s="1591"/>
      <c r="Q79" s="1587"/>
      <c r="R79" s="1587"/>
      <c r="S79" s="1589">
        <f t="shared" si="8"/>
        <v>44467.574276252999</v>
      </c>
      <c r="T79" s="1478"/>
      <c r="U79" s="1478"/>
      <c r="V79" s="1478"/>
      <c r="W79" s="1478"/>
      <c r="X79" s="1478"/>
      <c r="Y79" s="1478"/>
      <c r="Z79" s="1478"/>
      <c r="AA79" s="1478"/>
      <c r="AB79" s="1478"/>
      <c r="AC79" s="1478"/>
    </row>
    <row r="80" spans="1:29" s="1484" customFormat="1" ht="11.25" customHeight="1">
      <c r="A80" s="1480"/>
      <c r="B80" s="1576">
        <v>46044</v>
      </c>
      <c r="C80" s="1593" t="s">
        <v>1408</v>
      </c>
      <c r="D80" s="1578" t="s">
        <v>1393</v>
      </c>
      <c r="E80" s="1694">
        <v>51</v>
      </c>
      <c r="F80" s="1580" t="s">
        <v>146</v>
      </c>
      <c r="G80" s="1581" t="s">
        <v>147</v>
      </c>
      <c r="H80" s="1594"/>
      <c r="I80" s="1595"/>
      <c r="J80" s="1595"/>
      <c r="K80" s="1583">
        <v>468</v>
      </c>
      <c r="L80" s="1324">
        <f>'통장내역(환율표)'!$D$49</f>
        <v>6.9648000589364321</v>
      </c>
      <c r="M80" s="1096">
        <f t="shared" si="11"/>
        <v>67.195037336285935</v>
      </c>
      <c r="N80" s="1585">
        <f t="shared" si="9"/>
        <v>309239.66000000073</v>
      </c>
      <c r="O80" s="1585">
        <f t="shared" si="10"/>
        <v>44400.379238916714</v>
      </c>
      <c r="P80" s="1591"/>
      <c r="Q80" s="1587"/>
      <c r="R80" s="1587"/>
      <c r="S80" s="1589">
        <f t="shared" si="8"/>
        <v>44400.379238916714</v>
      </c>
      <c r="T80" s="1478"/>
      <c r="U80" s="1478"/>
      <c r="V80" s="1478"/>
      <c r="W80" s="1478"/>
      <c r="X80" s="1478"/>
      <c r="Y80" s="1478"/>
      <c r="Z80" s="1478"/>
      <c r="AA80" s="1478"/>
      <c r="AB80" s="1478"/>
      <c r="AC80" s="1478"/>
    </row>
    <row r="81" spans="1:29" s="1484" customFormat="1" ht="11.25" customHeight="1">
      <c r="A81" s="1480"/>
      <c r="B81" s="1576">
        <v>46044</v>
      </c>
      <c r="C81" s="1593" t="s">
        <v>1406</v>
      </c>
      <c r="D81" s="1578" t="s">
        <v>1393</v>
      </c>
      <c r="E81" s="1694">
        <v>52</v>
      </c>
      <c r="F81" s="1580" t="s">
        <v>146</v>
      </c>
      <c r="G81" s="1581" t="s">
        <v>147</v>
      </c>
      <c r="H81" s="1594"/>
      <c r="I81" s="1595"/>
      <c r="J81" s="1595"/>
      <c r="K81" s="1583">
        <v>1690.8</v>
      </c>
      <c r="L81" s="1324">
        <f>'통장내역(환율표)'!$D$49</f>
        <v>6.9648000589364321</v>
      </c>
      <c r="M81" s="1096">
        <f t="shared" si="11"/>
        <v>242.76360924827404</v>
      </c>
      <c r="N81" s="1585">
        <f t="shared" si="9"/>
        <v>307548.86000000074</v>
      </c>
      <c r="O81" s="1585">
        <f t="shared" si="10"/>
        <v>44157.615629668442</v>
      </c>
      <c r="P81" s="1591"/>
      <c r="Q81" s="1587"/>
      <c r="R81" s="1587"/>
      <c r="S81" s="1589">
        <f t="shared" si="8"/>
        <v>44157.615629668442</v>
      </c>
      <c r="T81" s="1478"/>
      <c r="U81" s="1478"/>
      <c r="V81" s="1478"/>
      <c r="W81" s="1478"/>
      <c r="X81" s="1478"/>
      <c r="Y81" s="1478"/>
      <c r="Z81" s="1478"/>
      <c r="AA81" s="1478"/>
      <c r="AB81" s="1478"/>
      <c r="AC81" s="1478"/>
    </row>
    <row r="82" spans="1:29" s="1484" customFormat="1" ht="11.25" customHeight="1">
      <c r="A82" s="1480"/>
      <c r="B82" s="1576">
        <v>46044</v>
      </c>
      <c r="C82" s="1593" t="s">
        <v>1407</v>
      </c>
      <c r="D82" s="1578" t="s">
        <v>1393</v>
      </c>
      <c r="E82" s="1694">
        <v>53</v>
      </c>
      <c r="F82" s="1580" t="s">
        <v>146</v>
      </c>
      <c r="G82" s="1581" t="s">
        <v>147</v>
      </c>
      <c r="H82" s="1594"/>
      <c r="I82" s="1595"/>
      <c r="J82" s="1595"/>
      <c r="K82" s="1583">
        <v>128</v>
      </c>
      <c r="L82" s="1324">
        <f>'통장내역(환율표)'!$D$49</f>
        <v>6.9648000589364321</v>
      </c>
      <c r="M82" s="1096">
        <f t="shared" si="11"/>
        <v>18.378129869753415</v>
      </c>
      <c r="N82" s="1585">
        <f t="shared" si="9"/>
        <v>307420.86000000074</v>
      </c>
      <c r="O82" s="1585">
        <f t="shared" si="10"/>
        <v>44139.237499798692</v>
      </c>
      <c r="P82" s="1591"/>
      <c r="Q82" s="1587"/>
      <c r="R82" s="1587"/>
      <c r="S82" s="1589">
        <f t="shared" si="8"/>
        <v>44139.237499798692</v>
      </c>
      <c r="T82" s="1478"/>
      <c r="U82" s="1478"/>
      <c r="V82" s="1478"/>
      <c r="W82" s="1478"/>
      <c r="X82" s="1478"/>
      <c r="Y82" s="1478"/>
      <c r="Z82" s="1478"/>
      <c r="AA82" s="1478"/>
      <c r="AB82" s="1478"/>
      <c r="AC82" s="1478"/>
    </row>
    <row r="83" spans="1:29" s="1484" customFormat="1" ht="11.25" customHeight="1">
      <c r="A83" s="1480"/>
      <c r="B83" s="1576">
        <v>46044</v>
      </c>
      <c r="C83" s="1593" t="s">
        <v>250</v>
      </c>
      <c r="D83" s="1578" t="s">
        <v>1393</v>
      </c>
      <c r="E83" s="1694">
        <v>54</v>
      </c>
      <c r="F83" s="1580" t="s">
        <v>107</v>
      </c>
      <c r="G83" s="1581"/>
      <c r="H83" s="1594"/>
      <c r="I83" s="1595"/>
      <c r="J83" s="1595"/>
      <c r="K83" s="1583">
        <v>3.6</v>
      </c>
      <c r="L83" s="1324">
        <f>'통장내역(환율표)'!$D$49</f>
        <v>6.9648000589364321</v>
      </c>
      <c r="M83" s="1096">
        <f t="shared" si="11"/>
        <v>0.51688490258681485</v>
      </c>
      <c r="N83" s="1585">
        <f t="shared" si="9"/>
        <v>307417.26000000077</v>
      </c>
      <c r="O83" s="1585">
        <f t="shared" si="10"/>
        <v>44138.720614896105</v>
      </c>
      <c r="P83" s="1591"/>
      <c r="Q83" s="1587"/>
      <c r="R83" s="1587"/>
      <c r="S83" s="1589">
        <f t="shared" si="8"/>
        <v>44138.720614896105</v>
      </c>
      <c r="T83" s="1478"/>
      <c r="U83" s="1478"/>
      <c r="V83" s="1478"/>
      <c r="W83" s="1478"/>
      <c r="X83" s="1478"/>
      <c r="Y83" s="1478"/>
      <c r="Z83" s="1478"/>
      <c r="AA83" s="1478"/>
      <c r="AB83" s="1478"/>
      <c r="AC83" s="1478"/>
    </row>
    <row r="84" spans="1:29" s="1484" customFormat="1" ht="11.25" customHeight="1">
      <c r="A84" s="1480"/>
      <c r="B84" s="1576">
        <v>46044</v>
      </c>
      <c r="C84" s="1593" t="s">
        <v>1406</v>
      </c>
      <c r="D84" s="1578" t="s">
        <v>1460</v>
      </c>
      <c r="E84" s="1694">
        <v>55</v>
      </c>
      <c r="F84" s="1580" t="s">
        <v>146</v>
      </c>
      <c r="G84" s="1581" t="s">
        <v>147</v>
      </c>
      <c r="H84" s="1594"/>
      <c r="I84" s="1595"/>
      <c r="J84" s="1595"/>
      <c r="K84" s="1583">
        <v>1436.07</v>
      </c>
      <c r="L84" s="1324">
        <f>'통장내역(환율표)'!$D$49</f>
        <v>6.9648000589364321</v>
      </c>
      <c r="M84" s="1096">
        <f t="shared" si="11"/>
        <v>206.18969501606867</v>
      </c>
      <c r="N84" s="1585">
        <f t="shared" ref="N84:N89" si="12">N83+H84-K84</f>
        <v>305981.19000000076</v>
      </c>
      <c r="O84" s="1585">
        <f t="shared" ref="O84:O89" si="13">O83+J84-M84</f>
        <v>43932.530919880039</v>
      </c>
      <c r="P84" s="1591"/>
      <c r="Q84" s="1587"/>
      <c r="R84" s="1587"/>
      <c r="S84" s="1589">
        <f t="shared" si="8"/>
        <v>43932.530919880039</v>
      </c>
      <c r="T84" s="1478"/>
      <c r="U84" s="1478"/>
      <c r="V84" s="1478"/>
      <c r="W84" s="1478"/>
      <c r="X84" s="1478"/>
      <c r="Y84" s="1478"/>
      <c r="Z84" s="1478"/>
      <c r="AA84" s="1478"/>
      <c r="AB84" s="1478"/>
      <c r="AC84" s="1478"/>
    </row>
    <row r="85" spans="1:29" s="1484" customFormat="1" ht="11.25" customHeight="1">
      <c r="A85" s="1480"/>
      <c r="B85" s="1576">
        <v>46044</v>
      </c>
      <c r="C85" s="1593" t="s">
        <v>1408</v>
      </c>
      <c r="D85" s="1578" t="s">
        <v>1460</v>
      </c>
      <c r="E85" s="1694">
        <v>56</v>
      </c>
      <c r="F85" s="1580" t="s">
        <v>146</v>
      </c>
      <c r="G85" s="1581" t="s">
        <v>147</v>
      </c>
      <c r="H85" s="1594"/>
      <c r="I85" s="1595"/>
      <c r="J85" s="1595"/>
      <c r="K85" s="1583">
        <v>257</v>
      </c>
      <c r="L85" s="1324">
        <f>'통장내역(환율표)'!$D$49</f>
        <v>6.9648000589364321</v>
      </c>
      <c r="M85" s="1096">
        <f t="shared" si="11"/>
        <v>36.899838879114284</v>
      </c>
      <c r="N85" s="1585">
        <f t="shared" si="12"/>
        <v>305724.19000000076</v>
      </c>
      <c r="O85" s="1585">
        <f t="shared" si="13"/>
        <v>43895.631081000924</v>
      </c>
      <c r="P85" s="1591"/>
      <c r="Q85" s="1587"/>
      <c r="R85" s="1587"/>
      <c r="S85" s="1589">
        <f t="shared" si="8"/>
        <v>43895.631081000924</v>
      </c>
      <c r="T85" s="1478"/>
      <c r="U85" s="1478"/>
      <c r="V85" s="1478"/>
      <c r="W85" s="1478"/>
      <c r="X85" s="1478"/>
      <c r="Y85" s="1478"/>
      <c r="Z85" s="1478"/>
      <c r="AA85" s="1478"/>
      <c r="AB85" s="1478"/>
      <c r="AC85" s="1478"/>
    </row>
    <row r="86" spans="1:29" s="1484" customFormat="1" ht="11.25" customHeight="1">
      <c r="A86" s="1480"/>
      <c r="B86" s="1576">
        <v>46044</v>
      </c>
      <c r="C86" s="1593" t="s">
        <v>1407</v>
      </c>
      <c r="D86" s="1578" t="s">
        <v>1460</v>
      </c>
      <c r="E86" s="1694">
        <v>57</v>
      </c>
      <c r="F86" s="1580" t="s">
        <v>146</v>
      </c>
      <c r="G86" s="1581" t="s">
        <v>147</v>
      </c>
      <c r="H86" s="1594"/>
      <c r="I86" s="1595"/>
      <c r="J86" s="1595"/>
      <c r="K86" s="1583">
        <v>50</v>
      </c>
      <c r="L86" s="1324">
        <f>'통장내역(환율표)'!$D$49</f>
        <v>6.9648000589364321</v>
      </c>
      <c r="M86" s="1096">
        <f t="shared" si="11"/>
        <v>7.178956980372428</v>
      </c>
      <c r="N86" s="1585">
        <f t="shared" si="12"/>
        <v>305674.19000000076</v>
      </c>
      <c r="O86" s="1585">
        <f t="shared" si="13"/>
        <v>43888.45212402055</v>
      </c>
      <c r="P86" s="1591"/>
      <c r="Q86" s="1587"/>
      <c r="R86" s="1587"/>
      <c r="S86" s="1589">
        <f t="shared" si="8"/>
        <v>43888.45212402055</v>
      </c>
      <c r="T86" s="1478"/>
      <c r="U86" s="1478"/>
      <c r="V86" s="1478"/>
      <c r="W86" s="1478"/>
      <c r="X86" s="1478"/>
      <c r="Y86" s="1478"/>
      <c r="Z86" s="1478"/>
      <c r="AA86" s="1478"/>
      <c r="AB86" s="1478"/>
      <c r="AC86" s="1478"/>
    </row>
    <row r="87" spans="1:29" s="1484" customFormat="1" ht="11.25" customHeight="1">
      <c r="A87" s="1480"/>
      <c r="B87" s="1576">
        <v>46044</v>
      </c>
      <c r="C87" s="1593" t="s">
        <v>250</v>
      </c>
      <c r="D87" s="1578" t="s">
        <v>1460</v>
      </c>
      <c r="E87" s="1694">
        <v>58</v>
      </c>
      <c r="F87" s="1580" t="s">
        <v>107</v>
      </c>
      <c r="G87" s="1581"/>
      <c r="H87" s="1582"/>
      <c r="I87" s="1590"/>
      <c r="J87" s="1582"/>
      <c r="K87" s="1583">
        <v>3.6</v>
      </c>
      <c r="L87" s="1324">
        <f>'통장내역(환율표)'!$D$49</f>
        <v>6.9648000589364321</v>
      </c>
      <c r="M87" s="1096">
        <f t="shared" si="11"/>
        <v>0.51688490258681485</v>
      </c>
      <c r="N87" s="1585">
        <f t="shared" si="12"/>
        <v>305670.59000000078</v>
      </c>
      <c r="O87" s="1585">
        <f t="shared" si="13"/>
        <v>43887.935239117964</v>
      </c>
      <c r="P87" s="1591"/>
      <c r="Q87" s="1587"/>
      <c r="R87" s="1587"/>
      <c r="S87" s="1589">
        <f t="shared" si="8"/>
        <v>43887.935239117964</v>
      </c>
      <c r="T87" s="1478"/>
      <c r="U87" s="1478"/>
      <c r="V87" s="1478"/>
      <c r="W87" s="1478"/>
      <c r="X87" s="1478"/>
      <c r="Y87" s="1478"/>
      <c r="Z87" s="1478"/>
      <c r="AA87" s="1478"/>
      <c r="AB87" s="1478"/>
      <c r="AC87" s="1478"/>
    </row>
    <row r="88" spans="1:29" s="1484" customFormat="1" ht="11.25" customHeight="1">
      <c r="A88" s="1480"/>
      <c r="B88" s="1576">
        <v>46044</v>
      </c>
      <c r="C88" s="1593" t="s">
        <v>1462</v>
      </c>
      <c r="D88" s="1578"/>
      <c r="E88" s="1694">
        <v>59</v>
      </c>
      <c r="F88" s="1580" t="s">
        <v>107</v>
      </c>
      <c r="G88" s="1581"/>
      <c r="H88" s="1582"/>
      <c r="I88" s="1590"/>
      <c r="J88" s="1582"/>
      <c r="K88" s="1583">
        <v>264250.48</v>
      </c>
      <c r="L88" s="1324">
        <f>'통장내역(환율표)'!$D$49</f>
        <v>6.9648000589364321</v>
      </c>
      <c r="M88" s="1096">
        <v>37940.856559255291</v>
      </c>
      <c r="N88" s="1585">
        <f t="shared" si="12"/>
        <v>41420.110000000801</v>
      </c>
      <c r="O88" s="1585">
        <f t="shared" si="13"/>
        <v>5947.0786798626723</v>
      </c>
      <c r="P88" s="1591"/>
      <c r="Q88" s="1587"/>
      <c r="R88" s="1587"/>
      <c r="S88" s="1589">
        <f t="shared" si="8"/>
        <v>5947.0786798626723</v>
      </c>
      <c r="T88" s="1478"/>
      <c r="U88" s="1478"/>
      <c r="V88" s="1478"/>
      <c r="W88" s="1478"/>
      <c r="X88" s="1478"/>
      <c r="Y88" s="1478"/>
      <c r="Z88" s="1478"/>
      <c r="AA88" s="1478"/>
      <c r="AB88" s="1478"/>
      <c r="AC88" s="1478"/>
    </row>
    <row r="89" spans="1:29" s="1484" customFormat="1" ht="11.25" customHeight="1">
      <c r="A89" s="1480"/>
      <c r="B89" s="1576">
        <v>46044</v>
      </c>
      <c r="C89" s="1593" t="s">
        <v>250</v>
      </c>
      <c r="D89" s="1578"/>
      <c r="E89" s="1694">
        <v>60</v>
      </c>
      <c r="F89" s="1580" t="s">
        <v>107</v>
      </c>
      <c r="G89" s="1581"/>
      <c r="H89" s="1582"/>
      <c r="I89" s="1590"/>
      <c r="J89" s="1582"/>
      <c r="K89" s="1583">
        <v>12</v>
      </c>
      <c r="L89" s="1324">
        <f>'통장내역(환율표)'!$D$49</f>
        <v>6.9648000589364321</v>
      </c>
      <c r="M89" s="1096">
        <f>K89/L89</f>
        <v>1.7229496752893829</v>
      </c>
      <c r="N89" s="1696">
        <f t="shared" si="12"/>
        <v>41408.110000000801</v>
      </c>
      <c r="O89" s="1696">
        <f t="shared" si="13"/>
        <v>5945.3557301873825</v>
      </c>
      <c r="P89" s="1591"/>
      <c r="Q89" s="1587"/>
      <c r="R89" s="1587"/>
      <c r="S89" s="1697">
        <f t="shared" si="8"/>
        <v>5945.3557301873825</v>
      </c>
      <c r="T89" s="1478"/>
      <c r="U89" s="1478"/>
      <c r="V89" s="1478"/>
      <c r="W89" s="1478"/>
      <c r="X89" s="1478"/>
      <c r="Y89" s="1478"/>
      <c r="Z89" s="1478"/>
      <c r="AA89" s="1478"/>
      <c r="AB89" s="1478"/>
      <c r="AC89" s="1478"/>
    </row>
    <row r="90" spans="1:29" ht="11.25" customHeight="1">
      <c r="H90" s="1612"/>
      <c r="I90" s="1612"/>
      <c r="J90" s="1612"/>
      <c r="K90" s="1612"/>
      <c r="L90" s="1612"/>
      <c r="R90" s="1478"/>
      <c r="S90" s="1478"/>
    </row>
    <row r="91" spans="1:29" ht="11.25" customHeight="1">
      <c r="H91" s="1612"/>
      <c r="I91" s="1612"/>
      <c r="J91" s="1682"/>
      <c r="K91" s="1633"/>
      <c r="L91" s="1612"/>
      <c r="R91" s="1478"/>
      <c r="S91" s="1478"/>
    </row>
    <row r="92" spans="1:29" ht="11.25" customHeight="1">
      <c r="H92" s="1612"/>
      <c r="I92" s="1612"/>
      <c r="J92" s="1682"/>
      <c r="K92" s="1633"/>
      <c r="L92" s="1612"/>
    </row>
    <row r="93" spans="1:29" ht="11.25" customHeight="1">
      <c r="K93" s="1633"/>
    </row>
    <row r="94" spans="1:29" ht="11.25" customHeight="1">
      <c r="K94" s="1633"/>
    </row>
    <row r="95" spans="1:29" ht="11.25" customHeight="1">
      <c r="K95" s="1633"/>
    </row>
    <row r="96" spans="1:29" ht="11.25" customHeight="1">
      <c r="K96" s="1633"/>
    </row>
    <row r="97" spans="11:11" ht="11.25" customHeight="1">
      <c r="K97" s="1633"/>
    </row>
    <row r="98" spans="11:11" ht="11.25" customHeight="1">
      <c r="K98" s="1633"/>
    </row>
    <row r="99" spans="11:11" ht="11.25" customHeight="1">
      <c r="K99" s="1633"/>
    </row>
    <row r="100" spans="11:11" ht="11.25" customHeight="1">
      <c r="K100" s="1633"/>
    </row>
    <row r="101" spans="11:11" ht="11.25" customHeight="1">
      <c r="K101" s="1633"/>
    </row>
    <row r="102" spans="11:11" ht="11.25" customHeight="1">
      <c r="K102" s="1633"/>
    </row>
    <row r="103" spans="11:11" ht="11.25" customHeight="1">
      <c r="K103" s="1633"/>
    </row>
  </sheetData>
  <autoFilter ref="B18:R89" xr:uid="{00000000-0009-0000-0000-000001000000}">
    <filterColumn colId="14" showButton="0"/>
    <sortState xmlns:xlrd2="http://schemas.microsoft.com/office/spreadsheetml/2017/richdata2" ref="B19:R89">
      <sortCondition sortBy="cellColor" ref="M18:M89" dxfId="4"/>
    </sortState>
  </autoFilter>
  <mergeCells count="5">
    <mergeCell ref="H17:J17"/>
    <mergeCell ref="K17:M17"/>
    <mergeCell ref="N17:O17"/>
    <mergeCell ref="P17:Q17"/>
    <mergeCell ref="P18:Q18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B233-DC83-43DE-A192-DCCD956408F6}">
  <sheetPr>
    <tabColor rgb="FFFFC000"/>
  </sheetPr>
  <dimension ref="A1:AC106"/>
  <sheetViews>
    <sheetView showGridLines="0" zoomScale="85" zoomScaleNormal="85" workbookViewId="0">
      <selection activeCell="G5" sqref="G5:G13"/>
    </sheetView>
  </sheetViews>
  <sheetFormatPr defaultColWidth="9" defaultRowHeight="11.25" customHeight="1"/>
  <cols>
    <col min="1" max="1" width="1.69921875" style="1779" customWidth="1"/>
    <col min="2" max="2" width="9.69921875" style="1832" customWidth="1"/>
    <col min="3" max="3" width="24" style="1781" customWidth="1"/>
    <col min="4" max="4" width="15.69921875" style="1777" customWidth="1"/>
    <col min="5" max="5" width="8.5" style="1777" customWidth="1"/>
    <col min="6" max="6" width="15.09765625" style="1777" customWidth="1"/>
    <col min="7" max="7" width="9.796875" style="1782" customWidth="1"/>
    <col min="8" max="8" width="9.69921875" style="1777" customWidth="1"/>
    <col min="9" max="9" width="13.19921875" style="1777" bestFit="1" customWidth="1"/>
    <col min="10" max="10" width="10.5" style="1782" customWidth="1"/>
    <col min="11" max="11" width="11" style="1830" customWidth="1"/>
    <col min="12" max="12" width="11.09765625" style="1777" customWidth="1"/>
    <col min="13" max="13" width="13" style="1777" bestFit="1" customWidth="1"/>
    <col min="14" max="14" width="12.296875" style="1777" customWidth="1"/>
    <col min="15" max="15" width="13.19921875" style="1777" bestFit="1" customWidth="1"/>
    <col min="16" max="16" width="10.69921875" style="1777" customWidth="1"/>
    <col min="17" max="17" width="9.59765625" style="1777" customWidth="1"/>
    <col min="18" max="18" width="31.5" style="1782" customWidth="1"/>
    <col min="19" max="19" width="10.69921875" style="1787" bestFit="1" customWidth="1"/>
    <col min="20" max="20" width="9" style="1777"/>
    <col min="21" max="21" width="16.19921875" style="1778" bestFit="1" customWidth="1"/>
    <col min="22" max="22" width="11.796875" style="1777" bestFit="1" customWidth="1"/>
    <col min="23" max="16384" width="9" style="1777"/>
  </cols>
  <sheetData>
    <row r="1" spans="1:29" ht="1.5" customHeight="1">
      <c r="A1" s="1764"/>
      <c r="B1" s="1765"/>
      <c r="C1" s="1766"/>
      <c r="D1" s="1767"/>
      <c r="E1" s="1768"/>
      <c r="F1" s="1768"/>
      <c r="G1" s="1769"/>
      <c r="H1" s="1768"/>
      <c r="I1" s="1768"/>
      <c r="J1" s="1770"/>
      <c r="K1" s="1771"/>
      <c r="L1" s="1772"/>
      <c r="M1" s="1773"/>
      <c r="N1" s="1773"/>
      <c r="O1" s="1767"/>
      <c r="P1" s="1774"/>
      <c r="Q1" s="1774"/>
      <c r="R1" s="1775"/>
      <c r="S1" s="1776"/>
    </row>
    <row r="2" spans="1:29" ht="15" customHeight="1">
      <c r="B2" s="1780" t="s">
        <v>1650</v>
      </c>
      <c r="D2" s="1781"/>
      <c r="F2" s="139">
        <v>100000301</v>
      </c>
      <c r="G2" s="1782" t="s">
        <v>1047</v>
      </c>
      <c r="H2" s="1783" t="s">
        <v>1398</v>
      </c>
      <c r="I2" s="227"/>
      <c r="J2" s="227"/>
      <c r="K2" s="1931">
        <f>K3*L3</f>
        <v>4196402.7542254124</v>
      </c>
      <c r="L2" s="1932"/>
      <c r="M2" s="227"/>
      <c r="N2" s="1784"/>
      <c r="O2" s="1785"/>
      <c r="Q2" s="1786"/>
    </row>
    <row r="3" spans="1:29" s="1792" customFormat="1" ht="11.25" customHeight="1">
      <c r="A3" s="1788"/>
      <c r="B3" s="1789" t="s">
        <v>1653</v>
      </c>
      <c r="C3" s="1790"/>
      <c r="D3" s="1790"/>
      <c r="E3" s="1790"/>
      <c r="F3" s="1791">
        <v>1449.4</v>
      </c>
      <c r="G3" s="1924">
        <v>40</v>
      </c>
      <c r="H3" s="1789" t="s">
        <v>1654</v>
      </c>
      <c r="I3" s="1790"/>
      <c r="K3" s="1933">
        <v>2891.6777523604001</v>
      </c>
      <c r="L3" s="1934">
        <v>1451.2</v>
      </c>
      <c r="M3" s="1793"/>
      <c r="N3" s="1923"/>
      <c r="O3" s="1793"/>
      <c r="P3" s="1793"/>
      <c r="Q3" s="1793"/>
      <c r="R3" s="1793"/>
      <c r="T3" s="1793"/>
      <c r="U3" s="1790"/>
      <c r="V3" s="1794"/>
      <c r="W3" s="1794"/>
      <c r="X3" s="1795">
        <v>1327.2</v>
      </c>
    </row>
    <row r="4" spans="1:29" ht="11.25" customHeight="1">
      <c r="A4" s="1764"/>
      <c r="B4" s="1796" t="s">
        <v>1</v>
      </c>
      <c r="C4" s="1797" t="s">
        <v>2</v>
      </c>
      <c r="D4" s="1798" t="s">
        <v>1049</v>
      </c>
      <c r="E4" s="1799" t="s">
        <v>1050</v>
      </c>
      <c r="F4" s="1800" t="s">
        <v>1051</v>
      </c>
      <c r="H4" s="1796" t="s">
        <v>1</v>
      </c>
      <c r="I4" s="1797" t="s">
        <v>2</v>
      </c>
      <c r="J4" s="1798" t="s">
        <v>1049</v>
      </c>
      <c r="K4" s="1799" t="s">
        <v>1050</v>
      </c>
      <c r="L4" s="1800" t="s">
        <v>1051</v>
      </c>
      <c r="M4" s="1800" t="s">
        <v>1647</v>
      </c>
      <c r="N4" s="1800" t="s">
        <v>1648</v>
      </c>
      <c r="O4" s="1793"/>
      <c r="P4" s="1793"/>
      <c r="Q4" s="1793"/>
      <c r="R4" s="1793"/>
      <c r="U4" s="1777"/>
    </row>
    <row r="5" spans="1:29" ht="11.25" customHeight="1">
      <c r="A5" s="1787">
        <v>51131050</v>
      </c>
      <c r="B5" s="1801" t="s">
        <v>1052</v>
      </c>
      <c r="C5" s="1802" t="s">
        <v>12</v>
      </c>
      <c r="D5" s="1803"/>
      <c r="E5" s="1804"/>
      <c r="F5" s="1805">
        <f>ROUND(E5*$F$3,0)</f>
        <v>0</v>
      </c>
      <c r="G5" s="1927">
        <v>51131050</v>
      </c>
      <c r="H5" s="1806" t="s">
        <v>11</v>
      </c>
      <c r="I5" s="1806" t="s">
        <v>12</v>
      </c>
      <c r="J5" s="1803">
        <v>8075.0499999999993</v>
      </c>
      <c r="K5" s="1922">
        <v>1167.52</v>
      </c>
      <c r="L5" s="1807">
        <f>ROUND(K5*$L$3,0)</f>
        <v>1694305</v>
      </c>
      <c r="M5" s="117">
        <v>1567001</v>
      </c>
      <c r="N5" s="1808">
        <f>M5-L5</f>
        <v>-127304</v>
      </c>
      <c r="O5" s="1793"/>
      <c r="P5" s="1793"/>
      <c r="Q5" s="1793"/>
      <c r="R5" s="1793"/>
      <c r="S5" s="1809">
        <f>F5+L5+R5</f>
        <v>1694305</v>
      </c>
      <c r="U5" s="1777"/>
    </row>
    <row r="6" spans="1:29" ht="11.25" customHeight="1">
      <c r="A6" s="1787">
        <v>51061030</v>
      </c>
      <c r="B6" s="1801" t="s">
        <v>1053</v>
      </c>
      <c r="C6" s="1802" t="s">
        <v>1054</v>
      </c>
      <c r="D6" s="1803"/>
      <c r="E6" s="1803"/>
      <c r="F6" s="1805">
        <f t="shared" ref="F6:F10" si="0">ROUND(E6*$F$3,0)</f>
        <v>0</v>
      </c>
      <c r="G6" s="1927">
        <v>51061030</v>
      </c>
      <c r="H6" s="1806" t="s">
        <v>13</v>
      </c>
      <c r="I6" s="1806" t="s">
        <v>14</v>
      </c>
      <c r="J6" s="1803">
        <v>38662.060000000005</v>
      </c>
      <c r="K6" s="1922">
        <v>5589.91</v>
      </c>
      <c r="L6" s="1807">
        <f t="shared" ref="L6:L12" si="1">ROUND(K6*$L$3,0)</f>
        <v>8112077</v>
      </c>
      <c r="M6" s="117">
        <v>6593710</v>
      </c>
      <c r="N6" s="1808">
        <f t="shared" ref="N6:N8" si="2">M6-L6</f>
        <v>-1518367</v>
      </c>
      <c r="O6" s="1793"/>
      <c r="P6" s="1793"/>
      <c r="Q6" s="1793"/>
      <c r="R6" s="1793"/>
      <c r="S6" s="1809">
        <f t="shared" ref="S6:S8" si="3">F6+L6+R6</f>
        <v>8112077</v>
      </c>
      <c r="U6" s="1777"/>
      <c r="AB6" s="227"/>
      <c r="AC6" s="1782"/>
    </row>
    <row r="7" spans="1:29" ht="11.25" customHeight="1">
      <c r="A7" s="1787">
        <v>51201020</v>
      </c>
      <c r="B7" s="1801" t="s">
        <v>15</v>
      </c>
      <c r="C7" s="1802" t="s">
        <v>180</v>
      </c>
      <c r="D7" s="1803"/>
      <c r="E7" s="1803"/>
      <c r="F7" s="1805">
        <f t="shared" si="0"/>
        <v>0</v>
      </c>
      <c r="G7" s="1927">
        <v>51201020</v>
      </c>
      <c r="H7" s="1806" t="s">
        <v>15</v>
      </c>
      <c r="I7" s="1806" t="s">
        <v>1055</v>
      </c>
      <c r="J7" s="1810">
        <v>45098</v>
      </c>
      <c r="K7" s="1922">
        <v>6520.44</v>
      </c>
      <c r="L7" s="1807">
        <f t="shared" si="1"/>
        <v>9462463</v>
      </c>
      <c r="M7" s="117">
        <v>4863606</v>
      </c>
      <c r="N7" s="1808">
        <f t="shared" si="2"/>
        <v>-4598857</v>
      </c>
      <c r="O7" s="1793"/>
      <c r="P7" s="1793"/>
      <c r="Q7" s="1793"/>
      <c r="R7" s="1793"/>
      <c r="S7" s="1809">
        <f t="shared" si="3"/>
        <v>9462463</v>
      </c>
      <c r="U7" s="1777"/>
    </row>
    <row r="8" spans="1:29" ht="13.05" customHeight="1">
      <c r="A8" s="1787">
        <v>51201030</v>
      </c>
      <c r="B8" s="1801" t="s">
        <v>1056</v>
      </c>
      <c r="C8" s="1802" t="s">
        <v>17</v>
      </c>
      <c r="D8" s="1803"/>
      <c r="E8" s="1803"/>
      <c r="F8" s="1805">
        <f t="shared" si="0"/>
        <v>0</v>
      </c>
      <c r="G8" s="1927">
        <v>51201030</v>
      </c>
      <c r="H8" s="1806" t="s">
        <v>15</v>
      </c>
      <c r="I8" s="1802" t="s">
        <v>17</v>
      </c>
      <c r="J8" s="1810">
        <v>20000</v>
      </c>
      <c r="K8" s="1922">
        <v>2891.68</v>
      </c>
      <c r="L8" s="1807">
        <f t="shared" si="1"/>
        <v>4196406</v>
      </c>
      <c r="M8" s="117">
        <v>3860002</v>
      </c>
      <c r="N8" s="1808">
        <f t="shared" si="2"/>
        <v>-336404</v>
      </c>
      <c r="O8" s="1793"/>
      <c r="P8" s="1793"/>
      <c r="Q8" s="1793"/>
      <c r="R8" s="1793"/>
      <c r="S8" s="1809">
        <f t="shared" si="3"/>
        <v>4196406</v>
      </c>
      <c r="U8" s="1777"/>
    </row>
    <row r="9" spans="1:29" ht="11.25" customHeight="1">
      <c r="A9" s="1787">
        <v>51071700</v>
      </c>
      <c r="B9" s="1801" t="s">
        <v>19</v>
      </c>
      <c r="C9" s="1802" t="s">
        <v>20</v>
      </c>
      <c r="D9" s="1803"/>
      <c r="E9" s="1803"/>
      <c r="F9" s="1805">
        <f t="shared" si="0"/>
        <v>0</v>
      </c>
      <c r="G9" s="1927">
        <v>51071700</v>
      </c>
      <c r="H9" s="1806" t="s">
        <v>19</v>
      </c>
      <c r="I9" s="1802" t="s">
        <v>20</v>
      </c>
      <c r="J9" s="1810">
        <v>1888.49</v>
      </c>
      <c r="K9" s="1922">
        <v>273.05</v>
      </c>
      <c r="L9" s="1807">
        <f t="shared" si="1"/>
        <v>396250</v>
      </c>
      <c r="M9" s="117">
        <v>535049</v>
      </c>
      <c r="N9" s="1808"/>
      <c r="O9" s="1793"/>
      <c r="P9" s="1793"/>
      <c r="Q9" s="1793"/>
      <c r="R9" s="1793"/>
      <c r="S9" s="1809"/>
      <c r="U9" s="1777"/>
    </row>
    <row r="10" spans="1:29" ht="11.25" customHeight="1">
      <c r="A10" s="1787">
        <v>51321010</v>
      </c>
      <c r="B10" s="1801" t="s">
        <v>21</v>
      </c>
      <c r="C10" s="1802"/>
      <c r="D10" s="1803">
        <v>41408.243678398299</v>
      </c>
      <c r="E10" s="1803">
        <v>5945.36</v>
      </c>
      <c r="F10" s="1805">
        <f t="shared" si="0"/>
        <v>8617205</v>
      </c>
      <c r="G10" s="1928">
        <v>51321010</v>
      </c>
      <c r="H10" s="1806" t="s">
        <v>21</v>
      </c>
      <c r="I10" s="1806"/>
      <c r="J10" s="1803">
        <v>313777.36</v>
      </c>
      <c r="K10" s="1922">
        <v>45392.150023481881</v>
      </c>
      <c r="L10" s="1807">
        <f t="shared" si="1"/>
        <v>65873088</v>
      </c>
      <c r="M10" s="117">
        <v>101006581</v>
      </c>
      <c r="N10" s="1808"/>
      <c r="O10" s="1793"/>
      <c r="P10" s="1793"/>
      <c r="Q10" s="1793"/>
      <c r="R10" s="1793"/>
      <c r="S10" s="1809"/>
      <c r="U10" s="1777"/>
      <c r="AB10" s="227"/>
      <c r="AC10" s="1782"/>
    </row>
    <row r="11" spans="1:29" ht="11.25" customHeight="1">
      <c r="A11" s="1787">
        <v>51031020</v>
      </c>
      <c r="B11" s="1811" t="s">
        <v>1057</v>
      </c>
      <c r="C11" s="1812" t="s">
        <v>1058</v>
      </c>
      <c r="D11" s="1811"/>
      <c r="E11" s="1811"/>
      <c r="F11" s="1813"/>
      <c r="G11" s="1929"/>
      <c r="H11" s="1811" t="s">
        <v>1057</v>
      </c>
      <c r="I11" s="1811" t="s">
        <v>1279</v>
      </c>
      <c r="J11" s="1814"/>
      <c r="K11" s="1815"/>
      <c r="L11" s="1816">
        <f t="shared" si="1"/>
        <v>0</v>
      </c>
      <c r="M11" s="1815"/>
      <c r="N11" s="1815"/>
      <c r="O11" s="1793"/>
      <c r="P11" s="1793"/>
      <c r="Q11" s="1793"/>
      <c r="R11" s="1793"/>
      <c r="S11" s="1809"/>
      <c r="U11" s="1777"/>
      <c r="AB11" s="227"/>
      <c r="AC11" s="1782"/>
    </row>
    <row r="12" spans="1:29" ht="11.25" customHeight="1">
      <c r="A12" s="1787">
        <v>52981010</v>
      </c>
      <c r="B12" s="1806" t="s">
        <v>1651</v>
      </c>
      <c r="C12" s="1802" t="s">
        <v>1060</v>
      </c>
      <c r="D12" s="1803"/>
      <c r="E12" s="1803"/>
      <c r="F12" s="1805"/>
      <c r="G12" s="1929">
        <v>52981010</v>
      </c>
      <c r="H12" s="1806" t="s">
        <v>1651</v>
      </c>
      <c r="I12" s="1806" t="s">
        <v>1060</v>
      </c>
      <c r="J12" s="1817"/>
      <c r="K12" s="1803"/>
      <c r="L12" s="1807">
        <f t="shared" si="1"/>
        <v>0</v>
      </c>
      <c r="M12" s="1818"/>
      <c r="N12" s="1818"/>
      <c r="O12" s="1793"/>
      <c r="P12" s="1793"/>
      <c r="Q12" s="1793"/>
      <c r="R12" s="1793"/>
      <c r="S12" s="1809"/>
      <c r="U12" s="1777"/>
      <c r="AB12" s="227"/>
      <c r="AC12" s="1782"/>
    </row>
    <row r="13" spans="1:29" s="1782" customFormat="1" ht="15.6">
      <c r="A13" s="1819"/>
      <c r="B13" s="1820" t="s">
        <v>22</v>
      </c>
      <c r="C13" s="1821"/>
      <c r="D13" s="1822">
        <f>SUM(D5:D11)</f>
        <v>41408.243678398299</v>
      </c>
      <c r="E13" s="1822">
        <f>SUM(E5:E11)</f>
        <v>5945.36</v>
      </c>
      <c r="F13" s="1823">
        <f>SUM(F5:F11)</f>
        <v>8617205</v>
      </c>
      <c r="G13" s="1929"/>
      <c r="H13" s="1824" t="s">
        <v>22</v>
      </c>
      <c r="I13" s="1825"/>
      <c r="J13" s="1822">
        <f>SUM(J5:J11)-J12</f>
        <v>427500.95999999996</v>
      </c>
      <c r="K13" s="1799">
        <f>SUM(K5:K11)-K12</f>
        <v>61834.75002348188</v>
      </c>
      <c r="L13" s="1826">
        <f>SUM(L5:L11)-L12</f>
        <v>89734589</v>
      </c>
      <c r="M13" s="1826"/>
      <c r="N13" s="1826"/>
      <c r="O13" s="1793"/>
      <c r="P13" s="1792"/>
      <c r="R13" s="1792"/>
      <c r="S13" s="1809"/>
      <c r="U13" s="1827"/>
      <c r="X13" s="1828" t="e">
        <f>F13+#REF!</f>
        <v>#REF!</v>
      </c>
      <c r="Y13" s="1829"/>
      <c r="Z13" s="1830"/>
      <c r="AB13" s="1831"/>
    </row>
    <row r="14" spans="1:29" ht="15.6">
      <c r="A14" s="1764"/>
      <c r="D14" s="1833">
        <f>D13-D12</f>
        <v>41408.243678398299</v>
      </c>
      <c r="E14" s="1833">
        <f>E13-E12</f>
        <v>5945.36</v>
      </c>
      <c r="F14" s="1833">
        <f>F13-F12</f>
        <v>8617205</v>
      </c>
      <c r="G14" s="1930"/>
      <c r="J14" s="1835">
        <f>J13+D13+P13</f>
        <v>468909.20367839828</v>
      </c>
      <c r="K14" s="1835">
        <f t="shared" ref="K14:L14" si="4">K13+E13+Q13</f>
        <v>67780.110023481873</v>
      </c>
      <c r="L14" s="1836">
        <f t="shared" si="4"/>
        <v>98351794</v>
      </c>
      <c r="M14" s="1793"/>
      <c r="N14" s="1793"/>
      <c r="O14" s="1793"/>
      <c r="P14" s="1792"/>
      <c r="Q14" s="1828"/>
      <c r="R14" s="1793"/>
      <c r="X14" s="227"/>
      <c r="Y14" s="227"/>
      <c r="AB14" s="227"/>
      <c r="AC14" s="1782"/>
    </row>
    <row r="15" spans="1:29" ht="11.1" customHeight="1">
      <c r="A15" s="1764"/>
      <c r="D15" s="1833"/>
      <c r="E15" s="1833"/>
      <c r="F15" s="1833"/>
      <c r="G15" s="1927">
        <v>13081010</v>
      </c>
      <c r="H15" s="1777" t="s">
        <v>1649</v>
      </c>
      <c r="J15" s="1837">
        <v>40000</v>
      </c>
      <c r="K15" s="1925">
        <v>5783.3555047208001</v>
      </c>
      <c r="L15" s="1836">
        <f t="shared" ref="L15" si="5">ROUND(K15*$L$3,0)</f>
        <v>8392806</v>
      </c>
      <c r="M15" s="1827"/>
      <c r="O15" s="1828"/>
      <c r="P15" s="1828"/>
      <c r="Q15" s="1828"/>
      <c r="R15" s="1838"/>
      <c r="X15" s="227"/>
      <c r="Y15" s="227"/>
      <c r="AB15" s="227"/>
      <c r="AC15" s="1782"/>
    </row>
    <row r="16" spans="1:29" ht="11.1" customHeight="1">
      <c r="A16" s="1764"/>
      <c r="D16" s="1833"/>
      <c r="E16" s="1833"/>
      <c r="F16" s="1833"/>
      <c r="G16" s="1834"/>
      <c r="J16" s="1837"/>
      <c r="K16" s="1839"/>
      <c r="L16" s="1840"/>
      <c r="M16" s="1827"/>
      <c r="O16" s="1828"/>
      <c r="P16" s="1828"/>
      <c r="Q16" s="1828"/>
      <c r="R16" s="1838"/>
      <c r="X16" s="227"/>
      <c r="Y16" s="227"/>
      <c r="AB16" s="227"/>
      <c r="AC16" s="1782"/>
    </row>
    <row r="17" spans="1:29" ht="11.1" customHeight="1">
      <c r="A17" s="1764"/>
      <c r="D17" s="1781"/>
      <c r="E17" s="197"/>
      <c r="F17" s="197"/>
      <c r="G17" s="1834"/>
      <c r="I17" s="227"/>
      <c r="J17" s="1831"/>
      <c r="K17" s="1841">
        <f>SUBTOTAL(9,K20:K92)</f>
        <v>508909.2</v>
      </c>
      <c r="L17" s="137"/>
      <c r="M17" s="1841">
        <f>SUBTOTAL(9,M20:M92)</f>
        <v>73563.465730119337</v>
      </c>
      <c r="N17" s="227"/>
      <c r="Q17" s="227"/>
      <c r="U17" s="1777"/>
    </row>
    <row r="18" spans="1:29" ht="11.55" customHeight="1">
      <c r="A18" s="1764"/>
      <c r="B18" s="1842" t="s">
        <v>24</v>
      </c>
      <c r="C18" s="1843" t="s">
        <v>25</v>
      </c>
      <c r="D18" s="1844" t="s">
        <v>1061</v>
      </c>
      <c r="E18" s="1845" t="s">
        <v>26</v>
      </c>
      <c r="F18" s="1844" t="s">
        <v>1</v>
      </c>
      <c r="G18" s="1846" t="s">
        <v>2</v>
      </c>
      <c r="H18" s="2101" t="s">
        <v>29</v>
      </c>
      <c r="I18" s="2101"/>
      <c r="J18" s="2101"/>
      <c r="K18" s="2101" t="s">
        <v>30</v>
      </c>
      <c r="L18" s="2101"/>
      <c r="M18" s="2102"/>
      <c r="N18" s="2103" t="s">
        <v>31</v>
      </c>
      <c r="O18" s="2103"/>
      <c r="P18" s="2104"/>
      <c r="Q18" s="2104"/>
      <c r="R18" s="1846" t="s">
        <v>1062</v>
      </c>
      <c r="U18" s="1777"/>
    </row>
    <row r="19" spans="1:29" ht="11.1" customHeight="1">
      <c r="A19" s="1764"/>
      <c r="B19" s="1847" t="s">
        <v>1063</v>
      </c>
      <c r="C19" s="1848" t="s">
        <v>1064</v>
      </c>
      <c r="D19" s="1849" t="s">
        <v>1065</v>
      </c>
      <c r="E19" s="1850" t="s">
        <v>1066</v>
      </c>
      <c r="F19" s="1851" t="s">
        <v>1067</v>
      </c>
      <c r="G19" s="1852" t="s">
        <v>1068</v>
      </c>
      <c r="H19" s="1853" t="s">
        <v>1069</v>
      </c>
      <c r="I19" s="1853" t="s">
        <v>1070</v>
      </c>
      <c r="J19" s="1854" t="s">
        <v>34</v>
      </c>
      <c r="K19" s="1854" t="s">
        <v>1069</v>
      </c>
      <c r="L19" s="1853" t="s">
        <v>1070</v>
      </c>
      <c r="M19" s="1855" t="s">
        <v>34</v>
      </c>
      <c r="N19" s="1856" t="s">
        <v>1069</v>
      </c>
      <c r="O19" s="1856" t="s">
        <v>34</v>
      </c>
      <c r="P19" s="2105" t="s">
        <v>32</v>
      </c>
      <c r="Q19" s="2105"/>
      <c r="R19" s="1857" t="s">
        <v>1062</v>
      </c>
      <c r="U19" s="1777"/>
    </row>
    <row r="20" spans="1:29" s="1478" customFormat="1" ht="11.25" customHeight="1">
      <c r="A20" s="1480"/>
      <c r="B20" s="1698" t="s">
        <v>1636</v>
      </c>
      <c r="C20" s="1564"/>
      <c r="D20" s="1565"/>
      <c r="E20" s="1564"/>
      <c r="F20" s="1566"/>
      <c r="G20" s="1567"/>
      <c r="H20" s="1568"/>
      <c r="I20" s="1565"/>
      <c r="J20" s="1567"/>
      <c r="K20" s="1569"/>
      <c r="L20" s="1570"/>
      <c r="M20" s="1571"/>
      <c r="N20" s="1572">
        <v>41408.110000000801</v>
      </c>
      <c r="O20" s="1572">
        <v>5945.3557301873825</v>
      </c>
      <c r="P20" s="1573"/>
      <c r="Q20" s="1564"/>
      <c r="R20" s="1574"/>
      <c r="S20" s="1575">
        <v>5945.36</v>
      </c>
    </row>
    <row r="21" spans="1:29" s="1479" customFormat="1" ht="11.25" customHeight="1">
      <c r="A21" s="1480"/>
      <c r="B21" s="1576">
        <v>46055</v>
      </c>
      <c r="C21" s="1577" t="s">
        <v>1641</v>
      </c>
      <c r="D21" s="1578"/>
      <c r="E21" s="1694">
        <v>1</v>
      </c>
      <c r="F21" s="1580" t="s">
        <v>107</v>
      </c>
      <c r="G21" s="1581"/>
      <c r="H21" s="1582"/>
      <c r="I21" s="1582"/>
      <c r="J21" s="1582"/>
      <c r="K21" s="1734">
        <v>140</v>
      </c>
      <c r="L21" s="1324">
        <f>'통장내역(환율표)'!$D$49</f>
        <v>6.9648000589364321</v>
      </c>
      <c r="M21" s="1096">
        <f t="shared" ref="M21:M84" si="6">K21/L21</f>
        <v>20.101079545042801</v>
      </c>
      <c r="N21" s="1585">
        <f t="shared" ref="N21" si="7">N20+H21-K21</f>
        <v>41268.110000000801</v>
      </c>
      <c r="O21" s="1585">
        <f t="shared" ref="O21" si="8">O20+J21-M21</f>
        <v>5925.2546506423396</v>
      </c>
      <c r="P21" s="1586"/>
      <c r="Q21" s="1587"/>
      <c r="R21" s="1588"/>
      <c r="S21" s="1589">
        <f t="shared" ref="S21" si="9">S20-M21</f>
        <v>5925.2589204549568</v>
      </c>
      <c r="T21" s="1478"/>
      <c r="U21" s="1478"/>
      <c r="V21" s="1478"/>
      <c r="W21" s="1478"/>
      <c r="X21" s="1478"/>
      <c r="Y21" s="1478"/>
      <c r="Z21" s="1478"/>
      <c r="AA21" s="1478"/>
      <c r="AB21" s="1478"/>
      <c r="AC21" s="1478"/>
    </row>
    <row r="22" spans="1:29" s="1479" customFormat="1" ht="11.25" customHeight="1">
      <c r="A22" s="1480"/>
      <c r="B22" s="1735">
        <v>46062</v>
      </c>
      <c r="C22" s="1736" t="s">
        <v>1088</v>
      </c>
      <c r="D22" s="1737"/>
      <c r="E22" s="1738">
        <v>2</v>
      </c>
      <c r="F22" s="1739"/>
      <c r="G22" s="1740"/>
      <c r="H22" s="1741">
        <v>522918.71</v>
      </c>
      <c r="I22" s="1741"/>
      <c r="J22" s="1741">
        <v>75630.62</v>
      </c>
      <c r="K22" s="1742"/>
      <c r="L22" s="1743"/>
      <c r="M22" s="1744"/>
      <c r="N22" s="1745">
        <f t="shared" ref="N22:N85" si="10">N21+H22-K22</f>
        <v>564186.82000000076</v>
      </c>
      <c r="O22" s="1745">
        <f t="shared" ref="O22:O85" si="11">O21+J22-M22</f>
        <v>81555.874650642334</v>
      </c>
      <c r="P22" s="1746"/>
      <c r="Q22" s="1747"/>
      <c r="R22" s="1748"/>
      <c r="S22" s="1589"/>
      <c r="T22" s="1478"/>
      <c r="U22" s="1478"/>
      <c r="V22" s="1478"/>
      <c r="W22" s="1478"/>
      <c r="X22" s="1478"/>
      <c r="Y22" s="1478"/>
      <c r="Z22" s="1478"/>
      <c r="AA22" s="1478"/>
      <c r="AB22" s="1478"/>
      <c r="AC22" s="1478"/>
    </row>
    <row r="23" spans="1:29" s="1778" customFormat="1" ht="11.25" customHeight="1">
      <c r="A23" s="1779"/>
      <c r="B23" s="1858">
        <v>46062</v>
      </c>
      <c r="C23" s="1859" t="s">
        <v>1088</v>
      </c>
      <c r="D23" s="1860"/>
      <c r="E23" s="1861"/>
      <c r="F23" s="1862" t="s">
        <v>21</v>
      </c>
      <c r="G23" s="1863"/>
      <c r="H23" s="1864"/>
      <c r="I23" s="1864"/>
      <c r="J23" s="1864"/>
      <c r="K23" s="1865"/>
      <c r="L23" s="1866"/>
      <c r="M23" s="1867">
        <v>25</v>
      </c>
      <c r="N23" s="1868">
        <f t="shared" si="10"/>
        <v>564186.82000000076</v>
      </c>
      <c r="O23" s="1868">
        <f t="shared" si="11"/>
        <v>81530.874650642334</v>
      </c>
      <c r="P23" s="1869"/>
      <c r="Q23" s="1870"/>
      <c r="R23" s="1870"/>
      <c r="S23" s="1871"/>
      <c r="T23" s="1777"/>
      <c r="U23" s="1777"/>
      <c r="V23" s="1777"/>
      <c r="W23" s="1777"/>
      <c r="X23" s="1777"/>
      <c r="Y23" s="1777"/>
      <c r="Z23" s="1777"/>
      <c r="AA23" s="1777"/>
      <c r="AB23" s="1777"/>
      <c r="AC23" s="1777"/>
    </row>
    <row r="24" spans="1:29" s="1479" customFormat="1" ht="11.25" customHeight="1">
      <c r="A24" s="1480"/>
      <c r="B24" s="1699">
        <v>46063</v>
      </c>
      <c r="C24" s="1700" t="s">
        <v>1642</v>
      </c>
      <c r="D24" s="1701"/>
      <c r="E24" s="1702">
        <v>3</v>
      </c>
      <c r="F24" s="1703" t="s">
        <v>107</v>
      </c>
      <c r="G24" s="1704"/>
      <c r="H24" s="1705"/>
      <c r="I24" s="1705"/>
      <c r="J24" s="1705"/>
      <c r="K24" s="1706">
        <f>M24*L24</f>
        <v>41268.243678398299</v>
      </c>
      <c r="L24" s="1707">
        <f>'통장내역(환율표)'!$D$49</f>
        <v>6.9648000589364321</v>
      </c>
      <c r="M24" s="1096">
        <v>5925.2589204549568</v>
      </c>
      <c r="N24" s="1696">
        <f t="shared" si="10"/>
        <v>522918.57632160245</v>
      </c>
      <c r="O24" s="1696">
        <f t="shared" si="11"/>
        <v>75605.615730187375</v>
      </c>
      <c r="P24" s="1749"/>
      <c r="Q24" s="1709"/>
      <c r="R24" s="1750"/>
      <c r="S24" s="1589">
        <f>S21-M24</f>
        <v>0</v>
      </c>
      <c r="T24" s="1478"/>
      <c r="U24" s="1478"/>
      <c r="V24" s="1478"/>
      <c r="W24" s="1478"/>
      <c r="X24" s="1478"/>
      <c r="Y24" s="1478"/>
      <c r="Z24" s="1478"/>
      <c r="AA24" s="1478"/>
      <c r="AB24" s="1478"/>
      <c r="AC24" s="1478"/>
    </row>
    <row r="25" spans="1:29" s="1778" customFormat="1" ht="11.25" customHeight="1">
      <c r="A25" s="1779"/>
      <c r="B25" s="1872">
        <v>46063</v>
      </c>
      <c r="C25" s="1873" t="s">
        <v>1652</v>
      </c>
      <c r="D25" s="1874"/>
      <c r="E25" s="1875">
        <v>3</v>
      </c>
      <c r="F25" s="1876" t="s">
        <v>107</v>
      </c>
      <c r="G25" s="1877"/>
      <c r="H25" s="1878"/>
      <c r="I25" s="1878"/>
      <c r="J25" s="1878"/>
      <c r="K25" s="1879">
        <f>80839-K24</f>
        <v>39570.756321601701</v>
      </c>
      <c r="L25" s="1880">
        <f>'통장내역(환율표)'!$D$58</f>
        <v>6.916399997777944</v>
      </c>
      <c r="M25" s="1867">
        <f t="shared" si="6"/>
        <v>5721.293784962515</v>
      </c>
      <c r="N25" s="1881">
        <f t="shared" si="10"/>
        <v>483347.82000000076</v>
      </c>
      <c r="O25" s="1881">
        <f t="shared" si="11"/>
        <v>69884.32194522486</v>
      </c>
      <c r="P25" s="1882"/>
      <c r="Q25" s="1883"/>
      <c r="R25" s="1883"/>
      <c r="S25" s="1871">
        <f>75605.62-M25</f>
        <v>69884.326215037479</v>
      </c>
      <c r="T25" s="1777"/>
      <c r="U25" s="1777"/>
      <c r="V25" s="1777"/>
      <c r="W25" s="1777"/>
      <c r="X25" s="1777"/>
      <c r="Y25" s="1777"/>
      <c r="Z25" s="1777"/>
      <c r="AA25" s="1777"/>
      <c r="AB25" s="1777"/>
      <c r="AC25" s="1777"/>
    </row>
    <row r="26" spans="1:29" s="1778" customFormat="1" ht="11.25" customHeight="1">
      <c r="A26" s="1779"/>
      <c r="B26" s="1884">
        <v>46063</v>
      </c>
      <c r="C26" s="1105" t="s">
        <v>250</v>
      </c>
      <c r="D26" s="1885"/>
      <c r="E26" s="1886">
        <v>4</v>
      </c>
      <c r="F26" s="1887" t="s">
        <v>107</v>
      </c>
      <c r="G26" s="1888"/>
      <c r="H26" s="1889"/>
      <c r="I26" s="1889"/>
      <c r="J26" s="1889"/>
      <c r="K26" s="1890">
        <v>7.2</v>
      </c>
      <c r="L26" s="1891">
        <f>'통장내역(환율표)'!$D$58</f>
        <v>6.916399997777944</v>
      </c>
      <c r="M26" s="1867">
        <f t="shared" si="6"/>
        <v>1.0410039908497439</v>
      </c>
      <c r="N26" s="1892">
        <f t="shared" si="10"/>
        <v>483340.62000000075</v>
      </c>
      <c r="O26" s="1892">
        <f t="shared" si="11"/>
        <v>69883.280941234014</v>
      </c>
      <c r="P26" s="1893"/>
      <c r="Q26" s="1894"/>
      <c r="R26" s="1894"/>
      <c r="S26" s="1871">
        <f>S25-M26</f>
        <v>69883.285211046634</v>
      </c>
      <c r="T26" s="1777"/>
      <c r="U26" s="1777"/>
      <c r="V26" s="1777"/>
      <c r="W26" s="1777"/>
      <c r="X26" s="1777"/>
      <c r="Y26" s="1777"/>
      <c r="Z26" s="1777"/>
      <c r="AA26" s="1777"/>
      <c r="AB26" s="1777"/>
      <c r="AC26" s="1777"/>
    </row>
    <row r="27" spans="1:29" s="1778" customFormat="1" ht="11.25" customHeight="1">
      <c r="A27" s="1779"/>
      <c r="B27" s="1884">
        <v>46065</v>
      </c>
      <c r="C27" s="1105" t="s">
        <v>1643</v>
      </c>
      <c r="D27" s="1885"/>
      <c r="E27" s="1886">
        <v>5</v>
      </c>
      <c r="F27" s="1887" t="s">
        <v>105</v>
      </c>
      <c r="G27" s="1888" t="s">
        <v>1122</v>
      </c>
      <c r="H27" s="1889"/>
      <c r="I27" s="1889"/>
      <c r="J27" s="1889"/>
      <c r="K27" s="1890">
        <v>20000</v>
      </c>
      <c r="L27" s="1891">
        <f>'통장내역(환율표)'!$D$58</f>
        <v>6.916399997777944</v>
      </c>
      <c r="M27" s="1867">
        <f t="shared" si="6"/>
        <v>2891.6777523604001</v>
      </c>
      <c r="N27" s="1892">
        <f t="shared" si="10"/>
        <v>463340.62000000075</v>
      </c>
      <c r="O27" s="1892">
        <f t="shared" si="11"/>
        <v>66991.603188873618</v>
      </c>
      <c r="P27" s="1895"/>
      <c r="Q27" s="1896"/>
      <c r="R27" s="1896"/>
      <c r="S27" s="1871">
        <f t="shared" ref="S27:S90" si="12">S26-M27</f>
        <v>66991.607458686238</v>
      </c>
      <c r="T27" s="1777"/>
      <c r="U27" s="1777"/>
      <c r="V27" s="1777"/>
      <c r="W27" s="1777"/>
      <c r="X27" s="1777"/>
      <c r="Y27" s="1777"/>
      <c r="Z27" s="1777"/>
      <c r="AA27" s="1777"/>
      <c r="AB27" s="1777"/>
      <c r="AC27" s="1777"/>
    </row>
    <row r="28" spans="1:29" s="1778" customFormat="1" ht="11.25" customHeight="1">
      <c r="A28" s="1779"/>
      <c r="B28" s="1884">
        <v>46065</v>
      </c>
      <c r="C28" s="1105" t="s">
        <v>250</v>
      </c>
      <c r="D28" s="1885"/>
      <c r="E28" s="1886">
        <v>6</v>
      </c>
      <c r="F28" s="1887" t="s">
        <v>107</v>
      </c>
      <c r="G28" s="1888"/>
      <c r="H28" s="1889"/>
      <c r="I28" s="1889"/>
      <c r="J28" s="1889"/>
      <c r="K28" s="1890">
        <v>7.2</v>
      </c>
      <c r="L28" s="1891">
        <f>'통장내역(환율표)'!$D$58</f>
        <v>6.916399997777944</v>
      </c>
      <c r="M28" s="1867">
        <f t="shared" si="6"/>
        <v>1.0410039908497439</v>
      </c>
      <c r="N28" s="1892">
        <f t="shared" si="10"/>
        <v>463333.42000000074</v>
      </c>
      <c r="O28" s="1892">
        <f t="shared" si="11"/>
        <v>66990.562184882772</v>
      </c>
      <c r="P28" s="1895"/>
      <c r="Q28" s="1896"/>
      <c r="R28" s="1896"/>
      <c r="S28" s="1871">
        <f t="shared" si="12"/>
        <v>66990.566454695392</v>
      </c>
      <c r="T28" s="1777"/>
      <c r="U28" s="1777"/>
      <c r="V28" s="1777"/>
      <c r="W28" s="1777"/>
      <c r="X28" s="1777"/>
      <c r="Y28" s="1777"/>
      <c r="Z28" s="1777"/>
      <c r="AA28" s="1777"/>
      <c r="AB28" s="1777"/>
      <c r="AC28" s="1777"/>
    </row>
    <row r="29" spans="1:29" s="1479" customFormat="1" ht="11.25" customHeight="1">
      <c r="A29" s="1480"/>
      <c r="B29" s="1751">
        <v>46066</v>
      </c>
      <c r="C29" s="1752" t="s">
        <v>1155</v>
      </c>
      <c r="D29" s="1753"/>
      <c r="E29" s="1754">
        <v>7</v>
      </c>
      <c r="F29" s="1755" t="s">
        <v>69</v>
      </c>
      <c r="G29" s="1756" t="s">
        <v>69</v>
      </c>
      <c r="H29" s="1757"/>
      <c r="I29" s="1757"/>
      <c r="J29" s="1757"/>
      <c r="K29" s="1758">
        <v>40000</v>
      </c>
      <c r="L29" s="1759">
        <f>'통장내역(환율표)'!$D$58</f>
        <v>6.916399997777944</v>
      </c>
      <c r="M29" s="1760">
        <f t="shared" si="6"/>
        <v>5783.3555047208001</v>
      </c>
      <c r="N29" s="1761">
        <f t="shared" si="10"/>
        <v>423333.42000000074</v>
      </c>
      <c r="O29" s="1761">
        <f t="shared" si="11"/>
        <v>61207.206680161973</v>
      </c>
      <c r="P29" s="1762"/>
      <c r="Q29" s="1763"/>
      <c r="R29" s="1763"/>
      <c r="S29" s="1589">
        <f t="shared" si="12"/>
        <v>61207.210949974593</v>
      </c>
      <c r="T29" s="1777"/>
      <c r="U29" s="1777"/>
      <c r="V29" s="1777"/>
      <c r="W29" s="1478"/>
      <c r="X29" s="1478"/>
      <c r="Y29" s="1478"/>
      <c r="Z29" s="1478"/>
      <c r="AA29" s="1478"/>
      <c r="AB29" s="1478"/>
      <c r="AC29" s="1478"/>
    </row>
    <row r="30" spans="1:29" s="1778" customFormat="1" ht="11.25" customHeight="1">
      <c r="A30" s="1779"/>
      <c r="B30" s="1884">
        <v>46066</v>
      </c>
      <c r="C30" s="1105" t="s">
        <v>250</v>
      </c>
      <c r="D30" s="1885"/>
      <c r="E30" s="1886">
        <v>8</v>
      </c>
      <c r="F30" s="1887" t="s">
        <v>107</v>
      </c>
      <c r="G30" s="1888"/>
      <c r="H30" s="1889"/>
      <c r="I30" s="1889"/>
      <c r="J30" s="1889"/>
      <c r="K30" s="1890">
        <v>7.2</v>
      </c>
      <c r="L30" s="1891">
        <f>'통장내역(환율표)'!$D$58</f>
        <v>6.916399997777944</v>
      </c>
      <c r="M30" s="1867">
        <f t="shared" si="6"/>
        <v>1.0410039908497439</v>
      </c>
      <c r="N30" s="1892">
        <f t="shared" si="10"/>
        <v>423326.22000000073</v>
      </c>
      <c r="O30" s="1892">
        <f t="shared" si="11"/>
        <v>61206.16567617112</v>
      </c>
      <c r="P30" s="1895"/>
      <c r="Q30" s="1896"/>
      <c r="R30" s="1896"/>
      <c r="S30" s="1871">
        <f t="shared" si="12"/>
        <v>61206.16994598374</v>
      </c>
      <c r="T30" s="1777"/>
      <c r="U30" s="1777"/>
      <c r="V30" s="1777"/>
      <c r="W30" s="1777"/>
      <c r="X30" s="1777"/>
      <c r="Y30" s="1777"/>
      <c r="Z30" s="1777"/>
      <c r="AA30" s="1777"/>
      <c r="AB30" s="1777"/>
      <c r="AC30" s="1777"/>
    </row>
    <row r="31" spans="1:29" s="1778" customFormat="1" ht="11.25" customHeight="1">
      <c r="A31" s="1779"/>
      <c r="B31" s="1884">
        <v>46066</v>
      </c>
      <c r="C31" s="1897" t="s">
        <v>1464</v>
      </c>
      <c r="D31" s="1898"/>
      <c r="E31" s="1886">
        <v>9</v>
      </c>
      <c r="F31" s="1899" t="s">
        <v>105</v>
      </c>
      <c r="G31" s="1900" t="s">
        <v>1122</v>
      </c>
      <c r="H31" s="1901"/>
      <c r="I31" s="1901"/>
      <c r="J31" s="1901"/>
      <c r="K31" s="1890">
        <v>25098</v>
      </c>
      <c r="L31" s="1891">
        <f>'통장내역(환율표)'!$D$58</f>
        <v>6.916399997777944</v>
      </c>
      <c r="M31" s="1867">
        <f t="shared" si="6"/>
        <v>3628.7664114370659</v>
      </c>
      <c r="N31" s="1892">
        <f t="shared" si="10"/>
        <v>398228.22000000073</v>
      </c>
      <c r="O31" s="1892">
        <f t="shared" si="11"/>
        <v>57577.399264734056</v>
      </c>
      <c r="P31" s="1895"/>
      <c r="Q31" s="1896"/>
      <c r="R31" s="1896"/>
      <c r="S31" s="1871">
        <f t="shared" si="12"/>
        <v>57577.403534546676</v>
      </c>
      <c r="T31" s="1777"/>
      <c r="U31" s="1777"/>
      <c r="V31" s="1777"/>
      <c r="W31" s="1777"/>
      <c r="X31" s="1777"/>
      <c r="Y31" s="1777"/>
      <c r="Z31" s="1777"/>
      <c r="AA31" s="1777"/>
      <c r="AB31" s="1777"/>
      <c r="AC31" s="1777"/>
    </row>
    <row r="32" spans="1:29" s="1778" customFormat="1" ht="11.25" customHeight="1">
      <c r="A32" s="1779"/>
      <c r="B32" s="1884">
        <v>46066</v>
      </c>
      <c r="C32" s="1897" t="s">
        <v>250</v>
      </c>
      <c r="D32" s="1898"/>
      <c r="E32" s="1886">
        <v>10</v>
      </c>
      <c r="F32" s="1899" t="s">
        <v>107</v>
      </c>
      <c r="G32" s="1900"/>
      <c r="H32" s="1901"/>
      <c r="I32" s="1901"/>
      <c r="J32" s="1901"/>
      <c r="K32" s="1890">
        <v>7.2</v>
      </c>
      <c r="L32" s="1891">
        <f>'통장내역(환율표)'!$D$58</f>
        <v>6.916399997777944</v>
      </c>
      <c r="M32" s="1867">
        <f t="shared" si="6"/>
        <v>1.0410039908497439</v>
      </c>
      <c r="N32" s="1892">
        <f t="shared" si="10"/>
        <v>398221.02000000072</v>
      </c>
      <c r="O32" s="1892">
        <f t="shared" si="11"/>
        <v>57576.358260743204</v>
      </c>
      <c r="P32" s="1895"/>
      <c r="Q32" s="1896"/>
      <c r="R32" s="1896"/>
      <c r="S32" s="1871">
        <f t="shared" si="12"/>
        <v>57576.362530555823</v>
      </c>
      <c r="T32" s="1777"/>
      <c r="U32" s="1777"/>
      <c r="V32" s="1777"/>
      <c r="W32" s="1777"/>
      <c r="X32" s="1777"/>
      <c r="Y32" s="1777"/>
      <c r="Z32" s="1777"/>
      <c r="AA32" s="1777"/>
      <c r="AB32" s="1777"/>
      <c r="AC32" s="1777"/>
    </row>
    <row r="33" spans="1:29" s="1778" customFormat="1" ht="11.25" customHeight="1">
      <c r="A33" s="1779"/>
      <c r="B33" s="1884">
        <v>46067</v>
      </c>
      <c r="C33" s="1105" t="s">
        <v>352</v>
      </c>
      <c r="D33" s="1885"/>
      <c r="E33" s="1886">
        <v>11</v>
      </c>
      <c r="F33" s="1887" t="s">
        <v>107</v>
      </c>
      <c r="G33" s="1888"/>
      <c r="H33" s="1889"/>
      <c r="I33" s="1902"/>
      <c r="J33" s="1889"/>
      <c r="K33" s="1890">
        <v>1010</v>
      </c>
      <c r="L33" s="1891">
        <f>'통장내역(환율표)'!$D$58</f>
        <v>6.916399997777944</v>
      </c>
      <c r="M33" s="1867">
        <f t="shared" si="6"/>
        <v>146.02972649420019</v>
      </c>
      <c r="N33" s="1892">
        <f t="shared" si="10"/>
        <v>397211.02000000072</v>
      </c>
      <c r="O33" s="1892">
        <f t="shared" si="11"/>
        <v>57430.328534249005</v>
      </c>
      <c r="P33" s="1896"/>
      <c r="Q33" s="1896"/>
      <c r="R33" s="1896"/>
      <c r="S33" s="1871">
        <f t="shared" si="12"/>
        <v>57430.332804061625</v>
      </c>
      <c r="T33" s="1777"/>
      <c r="U33" s="1777"/>
      <c r="V33" s="1777"/>
      <c r="W33" s="1777"/>
      <c r="X33" s="1777"/>
      <c r="Y33" s="1777"/>
      <c r="Z33" s="1777"/>
      <c r="AA33" s="1777"/>
      <c r="AB33" s="1777"/>
      <c r="AC33" s="1777"/>
    </row>
    <row r="34" spans="1:29" s="1778" customFormat="1" ht="11.25" customHeight="1">
      <c r="A34" s="1779"/>
      <c r="B34" s="1884">
        <v>46067</v>
      </c>
      <c r="C34" s="1105" t="s">
        <v>250</v>
      </c>
      <c r="D34" s="1885"/>
      <c r="E34" s="1886">
        <v>12</v>
      </c>
      <c r="F34" s="1887" t="s">
        <v>107</v>
      </c>
      <c r="G34" s="1888"/>
      <c r="H34" s="1889"/>
      <c r="I34" s="1902"/>
      <c r="J34" s="1889"/>
      <c r="K34" s="1890">
        <v>3.6</v>
      </c>
      <c r="L34" s="1891">
        <f>'통장내역(환율표)'!$D$58</f>
        <v>6.916399997777944</v>
      </c>
      <c r="M34" s="1867">
        <f t="shared" si="6"/>
        <v>0.52050199542487197</v>
      </c>
      <c r="N34" s="1892">
        <f t="shared" si="10"/>
        <v>397207.42000000074</v>
      </c>
      <c r="O34" s="1892">
        <f t="shared" si="11"/>
        <v>57429.808032253582</v>
      </c>
      <c r="P34" s="1896"/>
      <c r="Q34" s="1896"/>
      <c r="R34" s="1896"/>
      <c r="S34" s="1871">
        <f t="shared" si="12"/>
        <v>57429.812302066202</v>
      </c>
      <c r="T34" s="1777"/>
      <c r="U34" s="1777"/>
      <c r="V34" s="1777"/>
      <c r="W34" s="1777"/>
      <c r="X34" s="1777"/>
      <c r="Y34" s="1777"/>
      <c r="Z34" s="1777"/>
      <c r="AA34" s="1777"/>
      <c r="AB34" s="1777"/>
      <c r="AC34" s="1777"/>
    </row>
    <row r="35" spans="1:29" s="1778" customFormat="1" ht="11.25" customHeight="1">
      <c r="A35" s="1779"/>
      <c r="B35" s="1884">
        <v>46067</v>
      </c>
      <c r="C35" s="669" t="s">
        <v>305</v>
      </c>
      <c r="D35" s="1885"/>
      <c r="E35" s="1886">
        <v>13</v>
      </c>
      <c r="F35" s="1887" t="s">
        <v>105</v>
      </c>
      <c r="G35" s="1888" t="s">
        <v>227</v>
      </c>
      <c r="H35" s="1889"/>
      <c r="I35" s="1902"/>
      <c r="J35" s="1889"/>
      <c r="K35" s="1890">
        <v>7000</v>
      </c>
      <c r="L35" s="1891">
        <f>'통장내역(환율표)'!$D$58</f>
        <v>6.916399997777944</v>
      </c>
      <c r="M35" s="1867">
        <f t="shared" si="6"/>
        <v>1012.0872133261399</v>
      </c>
      <c r="N35" s="1892">
        <f t="shared" si="10"/>
        <v>390207.42000000074</v>
      </c>
      <c r="O35" s="1892">
        <f t="shared" si="11"/>
        <v>56417.720818927446</v>
      </c>
      <c r="P35" s="1894"/>
      <c r="Q35" s="1894"/>
      <c r="R35" s="1894"/>
      <c r="S35" s="1871">
        <f t="shared" si="12"/>
        <v>56417.725088740066</v>
      </c>
      <c r="T35" s="1777"/>
      <c r="U35" s="1777"/>
      <c r="V35" s="1777"/>
      <c r="W35" s="1777"/>
      <c r="X35" s="1777"/>
      <c r="Y35" s="1777"/>
      <c r="Z35" s="1777"/>
      <c r="AA35" s="1777"/>
      <c r="AB35" s="1777"/>
      <c r="AC35" s="1777"/>
    </row>
    <row r="36" spans="1:29" s="1778" customFormat="1" ht="11.25" customHeight="1">
      <c r="A36" s="1779"/>
      <c r="B36" s="1884">
        <v>46067</v>
      </c>
      <c r="C36" s="669" t="s">
        <v>1107</v>
      </c>
      <c r="D36" s="1885"/>
      <c r="E36" s="1886">
        <v>13</v>
      </c>
      <c r="F36" s="1887" t="s">
        <v>107</v>
      </c>
      <c r="G36" s="1888"/>
      <c r="H36" s="1889"/>
      <c r="I36" s="1902"/>
      <c r="J36" s="1889"/>
      <c r="K36" s="1890">
        <v>6000</v>
      </c>
      <c r="L36" s="1891">
        <f>'통장내역(환율표)'!$D$58</f>
        <v>6.916399997777944</v>
      </c>
      <c r="M36" s="1867">
        <f t="shared" si="6"/>
        <v>867.50332570811997</v>
      </c>
      <c r="N36" s="1892">
        <f t="shared" si="10"/>
        <v>384207.42000000074</v>
      </c>
      <c r="O36" s="1892">
        <f t="shared" si="11"/>
        <v>55550.217493219323</v>
      </c>
      <c r="P36" s="1894"/>
      <c r="Q36" s="1894"/>
      <c r="R36" s="1894"/>
      <c r="S36" s="1871">
        <f t="shared" si="12"/>
        <v>55550.221763031943</v>
      </c>
      <c r="T36" s="1777"/>
      <c r="U36" s="1777"/>
      <c r="V36" s="1777"/>
      <c r="W36" s="1777"/>
      <c r="X36" s="1777"/>
      <c r="Y36" s="1777"/>
      <c r="Z36" s="1777"/>
      <c r="AA36" s="1777"/>
      <c r="AB36" s="1777"/>
      <c r="AC36" s="1777"/>
    </row>
    <row r="37" spans="1:29" s="1778" customFormat="1" ht="11.25" customHeight="1">
      <c r="A37" s="1779"/>
      <c r="B37" s="1884">
        <v>46067</v>
      </c>
      <c r="C37" s="669" t="s">
        <v>1108</v>
      </c>
      <c r="D37" s="1885"/>
      <c r="E37" s="1886">
        <v>13</v>
      </c>
      <c r="F37" s="1887" t="s">
        <v>107</v>
      </c>
      <c r="G37" s="1888"/>
      <c r="H37" s="1889"/>
      <c r="I37" s="1902"/>
      <c r="J37" s="1889"/>
      <c r="K37" s="1890">
        <v>950</v>
      </c>
      <c r="L37" s="1891">
        <f>'통장내역(환율표)'!$D$58</f>
        <v>6.916399997777944</v>
      </c>
      <c r="M37" s="1867">
        <f t="shared" si="6"/>
        <v>137.35469323711899</v>
      </c>
      <c r="N37" s="1892">
        <f t="shared" si="10"/>
        <v>383257.42000000074</v>
      </c>
      <c r="O37" s="1892">
        <f t="shared" si="11"/>
        <v>55412.862799982206</v>
      </c>
      <c r="P37" s="1894"/>
      <c r="Q37" s="1894"/>
      <c r="R37" s="1894"/>
      <c r="S37" s="1871">
        <f t="shared" si="12"/>
        <v>55412.867069794826</v>
      </c>
      <c r="T37" s="1777"/>
      <c r="U37" s="1777"/>
      <c r="V37" s="1777"/>
      <c r="W37" s="1777"/>
      <c r="X37" s="1777"/>
      <c r="Y37" s="1777"/>
      <c r="Z37" s="1777"/>
      <c r="AA37" s="1777"/>
      <c r="AB37" s="1777"/>
      <c r="AC37" s="1777"/>
    </row>
    <row r="38" spans="1:29" s="1778" customFormat="1" ht="11.25" customHeight="1">
      <c r="A38" s="1779"/>
      <c r="B38" s="1884">
        <v>46067</v>
      </c>
      <c r="C38" s="669" t="s">
        <v>305</v>
      </c>
      <c r="D38" s="1885"/>
      <c r="E38" s="1886">
        <v>13</v>
      </c>
      <c r="F38" s="1887" t="s">
        <v>105</v>
      </c>
      <c r="G38" s="1888" t="s">
        <v>227</v>
      </c>
      <c r="H38" s="1889"/>
      <c r="I38" s="1902"/>
      <c r="J38" s="1889"/>
      <c r="K38" s="1890">
        <v>7000</v>
      </c>
      <c r="L38" s="1891">
        <f>'통장내역(환율표)'!$D$58</f>
        <v>6.916399997777944</v>
      </c>
      <c r="M38" s="1867">
        <f t="shared" si="6"/>
        <v>1012.0872133261399</v>
      </c>
      <c r="N38" s="1892">
        <f t="shared" si="10"/>
        <v>376257.42000000074</v>
      </c>
      <c r="O38" s="1892">
        <f t="shared" si="11"/>
        <v>54400.775586656069</v>
      </c>
      <c r="P38" s="1903"/>
      <c r="Q38" s="1894"/>
      <c r="R38" s="1894"/>
      <c r="S38" s="1871">
        <f t="shared" si="12"/>
        <v>54400.779856468689</v>
      </c>
      <c r="T38" s="1777"/>
      <c r="U38" s="1777"/>
      <c r="V38" s="1777"/>
      <c r="W38" s="1777"/>
      <c r="X38" s="1777"/>
      <c r="Y38" s="1777"/>
      <c r="Z38" s="1777"/>
      <c r="AA38" s="1777"/>
      <c r="AB38" s="1777"/>
      <c r="AC38" s="1777"/>
    </row>
    <row r="39" spans="1:29" s="1778" customFormat="1" ht="11.25" customHeight="1">
      <c r="A39" s="1779"/>
      <c r="B39" s="1884">
        <v>46067</v>
      </c>
      <c r="C39" s="669" t="s">
        <v>347</v>
      </c>
      <c r="D39" s="1885"/>
      <c r="E39" s="1886">
        <v>13</v>
      </c>
      <c r="F39" s="1887" t="s">
        <v>107</v>
      </c>
      <c r="G39" s="1888"/>
      <c r="H39" s="1889"/>
      <c r="I39" s="1902"/>
      <c r="J39" s="1889"/>
      <c r="K39" s="1890">
        <v>6000</v>
      </c>
      <c r="L39" s="1891">
        <f>'통장내역(환율표)'!$D$58</f>
        <v>6.916399997777944</v>
      </c>
      <c r="M39" s="1867">
        <f t="shared" si="6"/>
        <v>867.50332570811997</v>
      </c>
      <c r="N39" s="1892">
        <f t="shared" si="10"/>
        <v>370257.42000000074</v>
      </c>
      <c r="O39" s="1892">
        <f t="shared" si="11"/>
        <v>53533.272260947946</v>
      </c>
      <c r="P39" s="1903"/>
      <c r="Q39" s="1894"/>
      <c r="R39" s="1894"/>
      <c r="S39" s="1871">
        <f t="shared" si="12"/>
        <v>53533.276530760566</v>
      </c>
      <c r="T39" s="1777"/>
      <c r="U39" s="1777"/>
      <c r="V39" s="1777"/>
      <c r="W39" s="1777"/>
      <c r="X39" s="1777"/>
      <c r="Y39" s="1777"/>
      <c r="Z39" s="1777"/>
      <c r="AA39" s="1777"/>
      <c r="AB39" s="1777"/>
      <c r="AC39" s="1777"/>
    </row>
    <row r="40" spans="1:29" s="1778" customFormat="1" ht="12" customHeight="1">
      <c r="A40" s="1779"/>
      <c r="B40" s="1884">
        <v>46067</v>
      </c>
      <c r="C40" s="669" t="s">
        <v>1108</v>
      </c>
      <c r="D40" s="1885"/>
      <c r="E40" s="1886">
        <v>13</v>
      </c>
      <c r="F40" s="1887" t="s">
        <v>107</v>
      </c>
      <c r="G40" s="1888"/>
      <c r="H40" s="1889"/>
      <c r="I40" s="1902"/>
      <c r="J40" s="1889"/>
      <c r="K40" s="1890">
        <v>460</v>
      </c>
      <c r="L40" s="1891">
        <f>'통장내역(환율표)'!$D$58</f>
        <v>6.916399997777944</v>
      </c>
      <c r="M40" s="1867">
        <f t="shared" si="6"/>
        <v>66.508588304289191</v>
      </c>
      <c r="N40" s="1892">
        <f t="shared" si="10"/>
        <v>369797.42000000074</v>
      </c>
      <c r="O40" s="1892">
        <f t="shared" si="11"/>
        <v>53466.763672643654</v>
      </c>
      <c r="P40" s="1903"/>
      <c r="Q40" s="1894"/>
      <c r="R40" s="1894"/>
      <c r="S40" s="1871">
        <f t="shared" si="12"/>
        <v>53466.767942456274</v>
      </c>
      <c r="T40" s="1777"/>
      <c r="U40" s="1777"/>
      <c r="V40" s="1777"/>
      <c r="W40" s="1777"/>
      <c r="X40" s="1777"/>
      <c r="Y40" s="1777"/>
      <c r="Z40" s="1777"/>
      <c r="AA40" s="1777"/>
      <c r="AB40" s="1777"/>
      <c r="AC40" s="1777"/>
    </row>
    <row r="41" spans="1:29" s="1778" customFormat="1" ht="12" customHeight="1">
      <c r="A41" s="1779"/>
      <c r="B41" s="1884">
        <v>46067</v>
      </c>
      <c r="C41" s="669" t="s">
        <v>305</v>
      </c>
      <c r="D41" s="1885"/>
      <c r="E41" s="1886">
        <v>13</v>
      </c>
      <c r="F41" s="1887" t="s">
        <v>105</v>
      </c>
      <c r="G41" s="1888" t="s">
        <v>227</v>
      </c>
      <c r="H41" s="1889"/>
      <c r="I41" s="1902"/>
      <c r="J41" s="1889"/>
      <c r="K41" s="1890">
        <v>6000</v>
      </c>
      <c r="L41" s="1891">
        <f>'통장내역(환율표)'!$D$58</f>
        <v>6.916399997777944</v>
      </c>
      <c r="M41" s="1867">
        <f t="shared" si="6"/>
        <v>867.50332570811997</v>
      </c>
      <c r="N41" s="1892">
        <f t="shared" si="10"/>
        <v>363797.42000000074</v>
      </c>
      <c r="O41" s="1892">
        <f t="shared" si="11"/>
        <v>52599.260346935531</v>
      </c>
      <c r="P41" s="1903"/>
      <c r="Q41" s="1894"/>
      <c r="R41" s="1894"/>
      <c r="S41" s="1871">
        <f t="shared" si="12"/>
        <v>52599.264616748151</v>
      </c>
      <c r="T41" s="1777"/>
      <c r="U41" s="1777"/>
      <c r="V41" s="1777"/>
      <c r="W41" s="1777"/>
      <c r="X41" s="1777"/>
      <c r="Y41" s="1777"/>
      <c r="Z41" s="1777"/>
      <c r="AA41" s="1777"/>
      <c r="AB41" s="1777"/>
      <c r="AC41" s="1777"/>
    </row>
    <row r="42" spans="1:29" s="1778" customFormat="1" ht="12" customHeight="1">
      <c r="A42" s="1779"/>
      <c r="B42" s="1884">
        <v>46067</v>
      </c>
      <c r="C42" s="669" t="s">
        <v>1107</v>
      </c>
      <c r="D42" s="1885"/>
      <c r="E42" s="1886">
        <v>13</v>
      </c>
      <c r="F42" s="1887" t="s">
        <v>107</v>
      </c>
      <c r="G42" s="1888"/>
      <c r="H42" s="1889"/>
      <c r="I42" s="1902"/>
      <c r="J42" s="1889"/>
      <c r="K42" s="1890">
        <v>6000</v>
      </c>
      <c r="L42" s="1891">
        <f>'통장내역(환율표)'!$D$58</f>
        <v>6.916399997777944</v>
      </c>
      <c r="M42" s="1867">
        <f t="shared" si="6"/>
        <v>867.50332570811997</v>
      </c>
      <c r="N42" s="1892">
        <f t="shared" si="10"/>
        <v>357797.42000000074</v>
      </c>
      <c r="O42" s="1892">
        <f t="shared" si="11"/>
        <v>51731.757021227408</v>
      </c>
      <c r="P42" s="1903"/>
      <c r="Q42" s="1894"/>
      <c r="R42" s="1894"/>
      <c r="S42" s="1871">
        <f t="shared" si="12"/>
        <v>51731.761291040028</v>
      </c>
      <c r="T42" s="1777"/>
      <c r="U42" s="1777"/>
      <c r="V42" s="1777"/>
      <c r="W42" s="1777"/>
      <c r="X42" s="1777"/>
      <c r="Y42" s="1777"/>
      <c r="Z42" s="1777"/>
      <c r="AA42" s="1777"/>
      <c r="AB42" s="1777"/>
      <c r="AC42" s="1777"/>
    </row>
    <row r="43" spans="1:29" s="1778" customFormat="1" ht="12" customHeight="1">
      <c r="A43" s="1779"/>
      <c r="B43" s="1884">
        <v>46067</v>
      </c>
      <c r="C43" s="669" t="s">
        <v>1108</v>
      </c>
      <c r="D43" s="1885"/>
      <c r="E43" s="1886">
        <v>13</v>
      </c>
      <c r="F43" s="1887" t="s">
        <v>107</v>
      </c>
      <c r="G43" s="1888"/>
      <c r="H43" s="1889"/>
      <c r="I43" s="1902"/>
      <c r="J43" s="1889"/>
      <c r="K43" s="1890">
        <v>100</v>
      </c>
      <c r="L43" s="1891">
        <f>'통장내역(환율표)'!$D$58</f>
        <v>6.916399997777944</v>
      </c>
      <c r="M43" s="1867">
        <f t="shared" si="6"/>
        <v>14.458388761802</v>
      </c>
      <c r="N43" s="1892">
        <f t="shared" si="10"/>
        <v>357697.42000000074</v>
      </c>
      <c r="O43" s="1892">
        <f t="shared" si="11"/>
        <v>51717.298632465609</v>
      </c>
      <c r="P43" s="1903"/>
      <c r="Q43" s="1894"/>
      <c r="R43" s="1894"/>
      <c r="S43" s="1871">
        <f t="shared" si="12"/>
        <v>51717.302902278228</v>
      </c>
      <c r="T43" s="1777"/>
      <c r="U43" s="1777"/>
      <c r="V43" s="1777"/>
      <c r="W43" s="1777"/>
      <c r="X43" s="1777"/>
      <c r="Y43" s="1777"/>
      <c r="Z43" s="1777"/>
      <c r="AA43" s="1777"/>
      <c r="AB43" s="1777"/>
      <c r="AC43" s="1777"/>
    </row>
    <row r="44" spans="1:29" s="1778" customFormat="1" ht="12" customHeight="1">
      <c r="A44" s="1779"/>
      <c r="B44" s="1884">
        <v>46067</v>
      </c>
      <c r="C44" s="669" t="s">
        <v>250</v>
      </c>
      <c r="D44" s="1885"/>
      <c r="E44" s="1886">
        <v>14</v>
      </c>
      <c r="F44" s="1887" t="s">
        <v>107</v>
      </c>
      <c r="G44" s="1888"/>
      <c r="H44" s="1889"/>
      <c r="I44" s="1902"/>
      <c r="J44" s="1889"/>
      <c r="K44" s="1890">
        <v>7.2</v>
      </c>
      <c r="L44" s="1891">
        <f>'통장내역(환율표)'!$D$58</f>
        <v>6.916399997777944</v>
      </c>
      <c r="M44" s="1867">
        <f t="shared" si="6"/>
        <v>1.0410039908497439</v>
      </c>
      <c r="N44" s="1892">
        <f t="shared" si="10"/>
        <v>357690.22000000073</v>
      </c>
      <c r="O44" s="1892">
        <f t="shared" si="11"/>
        <v>51716.257628474756</v>
      </c>
      <c r="P44" s="1903"/>
      <c r="Q44" s="1894"/>
      <c r="R44" s="1903"/>
      <c r="S44" s="1871">
        <f t="shared" si="12"/>
        <v>51716.261898287376</v>
      </c>
      <c r="T44" s="1777"/>
      <c r="U44" s="1777"/>
      <c r="V44" s="1777"/>
      <c r="W44" s="1777"/>
      <c r="X44" s="1777"/>
      <c r="Y44" s="1777"/>
      <c r="Z44" s="1777"/>
      <c r="AA44" s="1777"/>
      <c r="AB44" s="1777"/>
      <c r="AC44" s="1777"/>
    </row>
    <row r="45" spans="1:29" s="1778" customFormat="1" ht="12" customHeight="1">
      <c r="A45" s="1779"/>
      <c r="B45" s="1884">
        <v>46067</v>
      </c>
      <c r="C45" s="1105" t="s">
        <v>1461</v>
      </c>
      <c r="D45" s="1885" t="s">
        <v>188</v>
      </c>
      <c r="E45" s="1886">
        <v>15</v>
      </c>
      <c r="F45" s="1887" t="s">
        <v>116</v>
      </c>
      <c r="G45" s="1888" t="s">
        <v>140</v>
      </c>
      <c r="H45" s="1889"/>
      <c r="I45" s="1902"/>
      <c r="J45" s="1889"/>
      <c r="K45" s="1890">
        <v>419</v>
      </c>
      <c r="L45" s="1891">
        <f>'통장내역(환율표)'!$D$58</f>
        <v>6.916399997777944</v>
      </c>
      <c r="M45" s="1867">
        <f t="shared" si="6"/>
        <v>60.580648911950377</v>
      </c>
      <c r="N45" s="1892">
        <f t="shared" si="10"/>
        <v>357271.22000000073</v>
      </c>
      <c r="O45" s="1892">
        <f t="shared" si="11"/>
        <v>51655.676979562806</v>
      </c>
      <c r="P45" s="1903"/>
      <c r="Q45" s="1894"/>
      <c r="R45" s="1894"/>
      <c r="S45" s="1871">
        <f t="shared" si="12"/>
        <v>51655.681249375426</v>
      </c>
      <c r="T45" s="1777"/>
      <c r="U45" s="1777"/>
      <c r="V45" s="1777"/>
      <c r="W45" s="1777"/>
      <c r="X45" s="1777"/>
      <c r="Y45" s="1777"/>
      <c r="Z45" s="1777"/>
      <c r="AA45" s="1777"/>
      <c r="AB45" s="1777"/>
      <c r="AC45" s="1777"/>
    </row>
    <row r="46" spans="1:29" s="1778" customFormat="1" ht="12" customHeight="1">
      <c r="A46" s="1779"/>
      <c r="B46" s="1884">
        <v>46067</v>
      </c>
      <c r="C46" s="1105" t="s">
        <v>125</v>
      </c>
      <c r="D46" s="1885" t="s">
        <v>188</v>
      </c>
      <c r="E46" s="1886">
        <v>16</v>
      </c>
      <c r="F46" s="1887" t="s">
        <v>125</v>
      </c>
      <c r="G46" s="1888" t="s">
        <v>145</v>
      </c>
      <c r="H46" s="1889"/>
      <c r="I46" s="1889"/>
      <c r="J46" s="1889"/>
      <c r="K46" s="1890">
        <v>1263.5999999999999</v>
      </c>
      <c r="L46" s="1891">
        <f>'통장내역(환율표)'!$D$58</f>
        <v>6.916399997777944</v>
      </c>
      <c r="M46" s="1867">
        <f t="shared" si="6"/>
        <v>182.69620039413005</v>
      </c>
      <c r="N46" s="1892">
        <f t="shared" si="10"/>
        <v>356007.62000000075</v>
      </c>
      <c r="O46" s="1892">
        <f t="shared" si="11"/>
        <v>51472.980779168676</v>
      </c>
      <c r="P46" s="1903"/>
      <c r="Q46" s="1894"/>
      <c r="R46" s="1894"/>
      <c r="S46" s="1871">
        <f t="shared" si="12"/>
        <v>51472.985048981296</v>
      </c>
      <c r="T46" s="1777"/>
      <c r="U46" s="1777"/>
      <c r="V46" s="1777"/>
      <c r="W46" s="1777"/>
      <c r="X46" s="1777"/>
      <c r="Y46" s="1777"/>
      <c r="Z46" s="1777"/>
      <c r="AA46" s="1777"/>
      <c r="AB46" s="1777"/>
      <c r="AC46" s="1777"/>
    </row>
    <row r="47" spans="1:29" s="1778" customFormat="1" ht="12" customHeight="1">
      <c r="A47" s="1779"/>
      <c r="B47" s="1884">
        <v>46067</v>
      </c>
      <c r="C47" s="1105" t="s">
        <v>1403</v>
      </c>
      <c r="D47" s="1885" t="s">
        <v>188</v>
      </c>
      <c r="E47" s="1886">
        <v>17</v>
      </c>
      <c r="F47" s="1887" t="s">
        <v>146</v>
      </c>
      <c r="G47" s="1888" t="s">
        <v>147</v>
      </c>
      <c r="H47" s="1889"/>
      <c r="I47" s="1889"/>
      <c r="J47" s="1889"/>
      <c r="K47" s="1890">
        <v>1858.03</v>
      </c>
      <c r="L47" s="1891">
        <f>'통장내역(환율표)'!$D$58</f>
        <v>6.916399997777944</v>
      </c>
      <c r="M47" s="1867">
        <f t="shared" si="6"/>
        <v>268.64120071090969</v>
      </c>
      <c r="N47" s="1892">
        <f t="shared" si="10"/>
        <v>354149.59000000072</v>
      </c>
      <c r="O47" s="1892">
        <f t="shared" si="11"/>
        <v>51204.339578457766</v>
      </c>
      <c r="P47" s="1903"/>
      <c r="Q47" s="1894"/>
      <c r="R47" s="1894"/>
      <c r="S47" s="1871">
        <f t="shared" si="12"/>
        <v>51204.343848270386</v>
      </c>
      <c r="T47" s="1777"/>
      <c r="U47" s="1777"/>
      <c r="V47" s="1777"/>
      <c r="W47" s="1777"/>
      <c r="X47" s="1777"/>
      <c r="Y47" s="1777"/>
      <c r="Z47" s="1777"/>
      <c r="AA47" s="1777"/>
      <c r="AB47" s="1777"/>
      <c r="AC47" s="1777"/>
    </row>
    <row r="48" spans="1:29" s="1778" customFormat="1" ht="12" customHeight="1">
      <c r="A48" s="1779"/>
      <c r="B48" s="1884">
        <v>46067</v>
      </c>
      <c r="C48" s="1105" t="s">
        <v>1451</v>
      </c>
      <c r="D48" s="1885" t="s">
        <v>188</v>
      </c>
      <c r="E48" s="1886">
        <v>18</v>
      </c>
      <c r="F48" s="1887" t="s">
        <v>146</v>
      </c>
      <c r="G48" s="1888" t="s">
        <v>147</v>
      </c>
      <c r="H48" s="1889"/>
      <c r="I48" s="1889"/>
      <c r="J48" s="1889"/>
      <c r="K48" s="1890">
        <v>204</v>
      </c>
      <c r="L48" s="1891">
        <f>'통장내역(환율표)'!$D$58</f>
        <v>6.916399997777944</v>
      </c>
      <c r="M48" s="1867">
        <f t="shared" si="6"/>
        <v>29.49511307407608</v>
      </c>
      <c r="N48" s="1892">
        <f t="shared" si="10"/>
        <v>353945.59000000072</v>
      </c>
      <c r="O48" s="1892">
        <f t="shared" si="11"/>
        <v>51174.844465383692</v>
      </c>
      <c r="P48" s="1903"/>
      <c r="Q48" s="1894"/>
      <c r="R48" s="1894"/>
      <c r="S48" s="1871">
        <f t="shared" si="12"/>
        <v>51174.848735196312</v>
      </c>
      <c r="T48" s="1777"/>
      <c r="U48" s="1777"/>
      <c r="V48" s="1777"/>
      <c r="W48" s="1777"/>
      <c r="X48" s="1777"/>
      <c r="Y48" s="1777"/>
      <c r="Z48" s="1777"/>
      <c r="AA48" s="1777"/>
      <c r="AB48" s="1777"/>
      <c r="AC48" s="1777"/>
    </row>
    <row r="49" spans="1:29" s="1778" customFormat="1" ht="12" customHeight="1">
      <c r="A49" s="1779"/>
      <c r="B49" s="1884">
        <v>46067</v>
      </c>
      <c r="C49" s="1105" t="s">
        <v>1644</v>
      </c>
      <c r="D49" s="1885" t="s">
        <v>188</v>
      </c>
      <c r="E49" s="1886">
        <v>19</v>
      </c>
      <c r="F49" s="1887" t="s">
        <v>107</v>
      </c>
      <c r="G49" s="1888"/>
      <c r="H49" s="1889"/>
      <c r="I49" s="1889"/>
      <c r="J49" s="1889"/>
      <c r="K49" s="1890">
        <v>48</v>
      </c>
      <c r="L49" s="1891">
        <f>'통장내역(환율표)'!$D$58</f>
        <v>6.916399997777944</v>
      </c>
      <c r="M49" s="1867">
        <f t="shared" si="6"/>
        <v>6.9400266056649595</v>
      </c>
      <c r="N49" s="1892">
        <f t="shared" si="10"/>
        <v>353897.59000000072</v>
      </c>
      <c r="O49" s="1892">
        <f t="shared" si="11"/>
        <v>51167.90443877803</v>
      </c>
      <c r="Q49" s="1894"/>
      <c r="R49" s="1903" t="s">
        <v>1646</v>
      </c>
      <c r="S49" s="1871">
        <f t="shared" si="12"/>
        <v>51167.90870859065</v>
      </c>
      <c r="T49" s="1777"/>
      <c r="U49" s="1777"/>
      <c r="V49" s="1777"/>
      <c r="W49" s="1777"/>
      <c r="X49" s="1777"/>
      <c r="Y49" s="1777"/>
      <c r="Z49" s="1777"/>
      <c r="AA49" s="1777"/>
      <c r="AB49" s="1777"/>
      <c r="AC49" s="1777"/>
    </row>
    <row r="50" spans="1:29" s="1778" customFormat="1" ht="12" customHeight="1">
      <c r="A50" s="1779"/>
      <c r="B50" s="1884">
        <v>46067</v>
      </c>
      <c r="C50" s="1105" t="s">
        <v>250</v>
      </c>
      <c r="D50" s="1885" t="s">
        <v>188</v>
      </c>
      <c r="E50" s="1886">
        <v>20</v>
      </c>
      <c r="F50" s="1887" t="s">
        <v>107</v>
      </c>
      <c r="G50" s="1888"/>
      <c r="H50" s="1889"/>
      <c r="I50" s="1889"/>
      <c r="J50" s="1889"/>
      <c r="K50" s="1890">
        <v>3.6</v>
      </c>
      <c r="L50" s="1891">
        <f>'통장내역(환율표)'!$D$58</f>
        <v>6.916399997777944</v>
      </c>
      <c r="M50" s="1867">
        <f t="shared" si="6"/>
        <v>0.52050199542487197</v>
      </c>
      <c r="N50" s="1892">
        <f t="shared" si="10"/>
        <v>353893.99000000075</v>
      </c>
      <c r="O50" s="1892">
        <f t="shared" si="11"/>
        <v>51167.383936782608</v>
      </c>
      <c r="P50" s="1903"/>
      <c r="Q50" s="1894"/>
      <c r="R50" s="1903"/>
      <c r="S50" s="1871">
        <f t="shared" si="12"/>
        <v>51167.388206595228</v>
      </c>
      <c r="T50" s="1777"/>
      <c r="U50" s="1777"/>
      <c r="V50" s="1777"/>
      <c r="W50" s="1777"/>
      <c r="X50" s="1777"/>
      <c r="Y50" s="1777"/>
      <c r="Z50" s="1777"/>
      <c r="AA50" s="1777"/>
      <c r="AB50" s="1777"/>
      <c r="AC50" s="1777"/>
    </row>
    <row r="51" spans="1:29" s="1778" customFormat="1" ht="12" customHeight="1">
      <c r="A51" s="1779"/>
      <c r="B51" s="1884">
        <v>46067</v>
      </c>
      <c r="C51" s="1105" t="s">
        <v>1403</v>
      </c>
      <c r="D51" s="1885" t="s">
        <v>1390</v>
      </c>
      <c r="E51" s="1886">
        <v>21</v>
      </c>
      <c r="F51" s="1887" t="s">
        <v>146</v>
      </c>
      <c r="G51" s="1888" t="s">
        <v>147</v>
      </c>
      <c r="H51" s="1904"/>
      <c r="I51" s="1905"/>
      <c r="J51" s="1905"/>
      <c r="K51" s="1890">
        <v>13846.58</v>
      </c>
      <c r="L51" s="1891">
        <f>'통장내역(환율표)'!$D$58</f>
        <v>6.916399997777944</v>
      </c>
      <c r="M51" s="1867">
        <f t="shared" si="6"/>
        <v>2001.9923666139232</v>
      </c>
      <c r="N51" s="1892">
        <f t="shared" si="10"/>
        <v>340047.41000000073</v>
      </c>
      <c r="O51" s="1892">
        <f t="shared" si="11"/>
        <v>49165.391570168686</v>
      </c>
      <c r="P51" s="1903"/>
      <c r="Q51" s="1894"/>
      <c r="R51" s="1894"/>
      <c r="S51" s="1871">
        <f t="shared" si="12"/>
        <v>49165.395839981305</v>
      </c>
      <c r="T51" s="1777"/>
      <c r="U51" s="1777"/>
      <c r="V51" s="1777"/>
      <c r="W51" s="1777"/>
      <c r="X51" s="1777"/>
      <c r="Y51" s="1777"/>
      <c r="Z51" s="1777"/>
      <c r="AA51" s="1777"/>
      <c r="AB51" s="1777"/>
      <c r="AC51" s="1777"/>
    </row>
    <row r="52" spans="1:29" s="1778" customFormat="1" ht="12" customHeight="1">
      <c r="A52" s="1779"/>
      <c r="B52" s="1884">
        <v>46067</v>
      </c>
      <c r="C52" s="1105" t="s">
        <v>11</v>
      </c>
      <c r="D52" s="1885" t="s">
        <v>1390</v>
      </c>
      <c r="E52" s="1886">
        <v>22</v>
      </c>
      <c r="F52" s="1887" t="s">
        <v>125</v>
      </c>
      <c r="G52" s="1888" t="s">
        <v>145</v>
      </c>
      <c r="H52" s="1904"/>
      <c r="I52" s="1905"/>
      <c r="J52" s="1905"/>
      <c r="K52" s="1890">
        <v>900</v>
      </c>
      <c r="L52" s="1891">
        <f>'통장내역(환율표)'!$D$58</f>
        <v>6.916399997777944</v>
      </c>
      <c r="M52" s="1867">
        <f t="shared" si="6"/>
        <v>130.125498856218</v>
      </c>
      <c r="N52" s="1892">
        <f t="shared" si="10"/>
        <v>339147.41000000073</v>
      </c>
      <c r="O52" s="1892">
        <f t="shared" si="11"/>
        <v>49035.266071312464</v>
      </c>
      <c r="P52" s="1903"/>
      <c r="Q52" s="1894"/>
      <c r="R52" s="1894"/>
      <c r="S52" s="1871">
        <f t="shared" si="12"/>
        <v>49035.270341125084</v>
      </c>
      <c r="T52" s="1777"/>
      <c r="U52" s="1777"/>
      <c r="V52" s="1777"/>
      <c r="W52" s="1777"/>
      <c r="X52" s="1777"/>
      <c r="Y52" s="1777"/>
      <c r="Z52" s="1777"/>
      <c r="AA52" s="1777"/>
      <c r="AB52" s="1777"/>
      <c r="AC52" s="1777"/>
    </row>
    <row r="53" spans="1:29" s="1778" customFormat="1" ht="12" customHeight="1">
      <c r="A53" s="1779"/>
      <c r="B53" s="1884">
        <v>46067</v>
      </c>
      <c r="C53" s="1105" t="s">
        <v>19</v>
      </c>
      <c r="D53" s="1885" t="s">
        <v>1390</v>
      </c>
      <c r="E53" s="1886">
        <v>23</v>
      </c>
      <c r="F53" s="1887" t="s">
        <v>116</v>
      </c>
      <c r="G53" s="1888" t="s">
        <v>140</v>
      </c>
      <c r="H53" s="1904"/>
      <c r="I53" s="1905"/>
      <c r="J53" s="1905"/>
      <c r="K53" s="1890">
        <v>238</v>
      </c>
      <c r="L53" s="1891">
        <f>'통장내역(환율표)'!$D$58</f>
        <v>6.916399997777944</v>
      </c>
      <c r="M53" s="1867">
        <f t="shared" si="6"/>
        <v>34.410965253088762</v>
      </c>
      <c r="N53" s="1892">
        <f t="shared" si="10"/>
        <v>338909.41000000073</v>
      </c>
      <c r="O53" s="1892">
        <f t="shared" si="11"/>
        <v>49000.855106059375</v>
      </c>
      <c r="P53" s="1903"/>
      <c r="Q53" s="1894"/>
      <c r="R53" s="1894"/>
      <c r="S53" s="1871">
        <f t="shared" si="12"/>
        <v>49000.859375871994</v>
      </c>
      <c r="T53" s="1777"/>
      <c r="U53" s="1777"/>
      <c r="V53" s="1777"/>
      <c r="W53" s="1777"/>
      <c r="X53" s="1777"/>
      <c r="Y53" s="1777"/>
      <c r="Z53" s="1777"/>
      <c r="AA53" s="1777"/>
      <c r="AB53" s="1777"/>
      <c r="AC53" s="1777"/>
    </row>
    <row r="54" spans="1:29" s="1778" customFormat="1" ht="12" customHeight="1">
      <c r="A54" s="1779"/>
      <c r="B54" s="1884">
        <v>46067</v>
      </c>
      <c r="C54" s="1105" t="s">
        <v>1405</v>
      </c>
      <c r="D54" s="1885" t="s">
        <v>1390</v>
      </c>
      <c r="E54" s="1886">
        <v>24</v>
      </c>
      <c r="F54" s="1887" t="s">
        <v>21</v>
      </c>
      <c r="G54" s="1888"/>
      <c r="H54" s="1904"/>
      <c r="I54" s="1905"/>
      <c r="J54" s="1905"/>
      <c r="K54" s="1890">
        <v>43</v>
      </c>
      <c r="L54" s="1891">
        <f>'통장내역(환율표)'!$D$58</f>
        <v>6.916399997777944</v>
      </c>
      <c r="M54" s="1867">
        <f t="shared" si="6"/>
        <v>6.2171071675748601</v>
      </c>
      <c r="N54" s="1892">
        <f t="shared" si="10"/>
        <v>338866.41000000073</v>
      </c>
      <c r="O54" s="1892">
        <f t="shared" si="11"/>
        <v>48994.637998891798</v>
      </c>
      <c r="P54" s="1903"/>
      <c r="Q54" s="1894"/>
      <c r="R54" s="1894"/>
      <c r="S54" s="1871">
        <f t="shared" si="12"/>
        <v>48994.642268704418</v>
      </c>
      <c r="T54" s="1777"/>
      <c r="U54" s="1777"/>
      <c r="V54" s="1777"/>
      <c r="W54" s="1777"/>
      <c r="X54" s="1777"/>
      <c r="Y54" s="1777"/>
      <c r="Z54" s="1777"/>
      <c r="AA54" s="1777"/>
      <c r="AB54" s="1777"/>
      <c r="AC54" s="1777"/>
    </row>
    <row r="55" spans="1:29" s="1778" customFormat="1" ht="12" customHeight="1">
      <c r="A55" s="1779"/>
      <c r="B55" s="1884">
        <v>46067</v>
      </c>
      <c r="C55" s="1105" t="s">
        <v>250</v>
      </c>
      <c r="D55" s="1885" t="s">
        <v>1390</v>
      </c>
      <c r="E55" s="1886">
        <v>25</v>
      </c>
      <c r="F55" s="1887" t="s">
        <v>107</v>
      </c>
      <c r="G55" s="1888"/>
      <c r="H55" s="1889"/>
      <c r="I55" s="1889"/>
      <c r="J55" s="1889"/>
      <c r="K55" s="1890">
        <v>7.2</v>
      </c>
      <c r="L55" s="1891">
        <f>'통장내역(환율표)'!$D$58</f>
        <v>6.916399997777944</v>
      </c>
      <c r="M55" s="1867">
        <f t="shared" si="6"/>
        <v>1.0410039908497439</v>
      </c>
      <c r="N55" s="1892">
        <f t="shared" si="10"/>
        <v>338859.21000000072</v>
      </c>
      <c r="O55" s="1892">
        <f t="shared" si="11"/>
        <v>48993.596994900945</v>
      </c>
      <c r="P55" s="1903"/>
      <c r="Q55" s="1894"/>
      <c r="R55" s="1894"/>
      <c r="S55" s="1871">
        <f t="shared" si="12"/>
        <v>48993.601264713565</v>
      </c>
      <c r="T55" s="1777"/>
      <c r="U55" s="1777"/>
      <c r="V55" s="1777"/>
      <c r="W55" s="1777"/>
      <c r="X55" s="1777"/>
      <c r="Y55" s="1777"/>
      <c r="Z55" s="1777"/>
      <c r="AA55" s="1777"/>
      <c r="AB55" s="1777"/>
      <c r="AC55" s="1777"/>
    </row>
    <row r="56" spans="1:29" s="1778" customFormat="1" ht="12" customHeight="1">
      <c r="A56" s="1779"/>
      <c r="B56" s="1884">
        <v>46067</v>
      </c>
      <c r="C56" s="1105" t="s">
        <v>1451</v>
      </c>
      <c r="D56" s="1885" t="s">
        <v>1591</v>
      </c>
      <c r="E56" s="1886">
        <v>26</v>
      </c>
      <c r="F56" s="1887" t="s">
        <v>146</v>
      </c>
      <c r="G56" s="1888" t="s">
        <v>147</v>
      </c>
      <c r="H56" s="1889"/>
      <c r="I56" s="1889"/>
      <c r="J56" s="1889"/>
      <c r="K56" s="1890">
        <v>327.37</v>
      </c>
      <c r="L56" s="1891">
        <f>'통장내역(환율표)'!$D$58</f>
        <v>6.916399997777944</v>
      </c>
      <c r="M56" s="1867">
        <f t="shared" si="6"/>
        <v>47.332427289511209</v>
      </c>
      <c r="N56" s="1892">
        <f t="shared" si="10"/>
        <v>338531.84000000072</v>
      </c>
      <c r="O56" s="1892">
        <f t="shared" si="11"/>
        <v>48946.264567611433</v>
      </c>
      <c r="P56" s="1903"/>
      <c r="Q56" s="1894"/>
      <c r="R56" s="1894"/>
      <c r="S56" s="1871">
        <f t="shared" si="12"/>
        <v>48946.268837424053</v>
      </c>
      <c r="T56" s="1777"/>
      <c r="U56" s="1777"/>
      <c r="V56" s="1777"/>
      <c r="W56" s="1777"/>
      <c r="X56" s="1777"/>
      <c r="Y56" s="1777"/>
      <c r="Z56" s="1777"/>
      <c r="AA56" s="1777"/>
      <c r="AB56" s="1777"/>
      <c r="AC56" s="1777"/>
    </row>
    <row r="57" spans="1:29" s="1778" customFormat="1" ht="12" customHeight="1">
      <c r="A57" s="1779"/>
      <c r="B57" s="1884">
        <v>46067</v>
      </c>
      <c r="C57" s="1105" t="s">
        <v>1403</v>
      </c>
      <c r="D57" s="1885" t="s">
        <v>1591</v>
      </c>
      <c r="E57" s="1886">
        <v>27</v>
      </c>
      <c r="F57" s="1887" t="s">
        <v>13</v>
      </c>
      <c r="G57" s="1888" t="s">
        <v>14</v>
      </c>
      <c r="H57" s="1889"/>
      <c r="I57" s="1889"/>
      <c r="J57" s="1889"/>
      <c r="K57" s="1890">
        <v>7375.02</v>
      </c>
      <c r="L57" s="1891">
        <f>'통장내역(환율표)'!$D$58</f>
        <v>6.916399997777944</v>
      </c>
      <c r="M57" s="1867">
        <f t="shared" si="6"/>
        <v>1066.3090628606499</v>
      </c>
      <c r="N57" s="1892">
        <f t="shared" si="10"/>
        <v>331156.82000000071</v>
      </c>
      <c r="O57" s="1892">
        <f t="shared" si="11"/>
        <v>47879.955504750782</v>
      </c>
      <c r="Q57" s="1894"/>
      <c r="R57" s="1894"/>
      <c r="S57" s="1871">
        <f t="shared" si="12"/>
        <v>47879.959774563402</v>
      </c>
      <c r="T57" s="1777"/>
      <c r="U57" s="1777"/>
      <c r="V57" s="1777"/>
      <c r="W57" s="1777"/>
      <c r="X57" s="1777"/>
      <c r="Y57" s="1777"/>
      <c r="Z57" s="1777"/>
      <c r="AA57" s="1777"/>
      <c r="AB57" s="1777"/>
      <c r="AC57" s="1777"/>
    </row>
    <row r="58" spans="1:29" s="1778" customFormat="1" ht="12" customHeight="1">
      <c r="A58" s="1779"/>
      <c r="B58" s="1884">
        <v>46067</v>
      </c>
      <c r="C58" s="1105" t="s">
        <v>11</v>
      </c>
      <c r="D58" s="1885" t="s">
        <v>1591</v>
      </c>
      <c r="E58" s="1886">
        <v>28</v>
      </c>
      <c r="F58" s="1887" t="s">
        <v>125</v>
      </c>
      <c r="G58" s="1888" t="s">
        <v>145</v>
      </c>
      <c r="H58" s="1889"/>
      <c r="I58" s="1889"/>
      <c r="J58" s="1889"/>
      <c r="K58" s="1890">
        <v>90</v>
      </c>
      <c r="L58" s="1891">
        <f>'통장내역(환율표)'!$D$58</f>
        <v>6.916399997777944</v>
      </c>
      <c r="M58" s="1867">
        <f t="shared" si="6"/>
        <v>13.0125498856218</v>
      </c>
      <c r="N58" s="1892">
        <f t="shared" si="10"/>
        <v>331066.82000000071</v>
      </c>
      <c r="O58" s="1892">
        <f t="shared" si="11"/>
        <v>47866.942954865161</v>
      </c>
      <c r="P58" s="1903"/>
      <c r="Q58" s="1894"/>
      <c r="R58" s="1894"/>
      <c r="S58" s="1871">
        <f t="shared" si="12"/>
        <v>47866.94722467778</v>
      </c>
      <c r="T58" s="1777"/>
      <c r="U58" s="1777"/>
      <c r="V58" s="1777"/>
      <c r="W58" s="1777"/>
      <c r="X58" s="1777"/>
      <c r="Y58" s="1777"/>
      <c r="Z58" s="1777"/>
      <c r="AA58" s="1777"/>
      <c r="AB58" s="1777"/>
      <c r="AC58" s="1777"/>
    </row>
    <row r="59" spans="1:29" s="1782" customFormat="1" ht="11.25" customHeight="1">
      <c r="A59" s="1779"/>
      <c r="B59" s="1884">
        <v>46067</v>
      </c>
      <c r="C59" s="1105" t="s">
        <v>1405</v>
      </c>
      <c r="D59" s="1885" t="s">
        <v>1591</v>
      </c>
      <c r="E59" s="1886">
        <v>29</v>
      </c>
      <c r="F59" s="1887" t="s">
        <v>21</v>
      </c>
      <c r="G59" s="1888"/>
      <c r="H59" s="1889"/>
      <c r="I59" s="1889"/>
      <c r="J59" s="1889"/>
      <c r="K59" s="1890">
        <v>760.92</v>
      </c>
      <c r="L59" s="1891">
        <f>'통장내역(환율표)'!$D$58</f>
        <v>6.916399997777944</v>
      </c>
      <c r="M59" s="1867">
        <f t="shared" si="6"/>
        <v>110.01677176630376</v>
      </c>
      <c r="N59" s="1892">
        <f t="shared" si="10"/>
        <v>330305.90000000072</v>
      </c>
      <c r="O59" s="1892">
        <f t="shared" si="11"/>
        <v>47756.926183098854</v>
      </c>
      <c r="P59" s="1903"/>
      <c r="Q59" s="1894"/>
      <c r="R59" s="1894"/>
      <c r="S59" s="1871">
        <f t="shared" si="12"/>
        <v>47756.930452911474</v>
      </c>
      <c r="T59" s="1777"/>
      <c r="U59" s="1777"/>
      <c r="V59" s="1777"/>
      <c r="W59" s="1777"/>
      <c r="X59" s="1777"/>
      <c r="Y59" s="1777"/>
      <c r="Z59" s="1777"/>
      <c r="AA59" s="1777"/>
      <c r="AB59" s="1777"/>
      <c r="AC59" s="1777"/>
    </row>
    <row r="60" spans="1:29" s="1782" customFormat="1" ht="11.25" customHeight="1">
      <c r="A60" s="1779"/>
      <c r="B60" s="1884">
        <v>46067</v>
      </c>
      <c r="C60" s="1105" t="s">
        <v>19</v>
      </c>
      <c r="D60" s="1885" t="s">
        <v>1591</v>
      </c>
      <c r="E60" s="1886">
        <v>30</v>
      </c>
      <c r="F60" s="1887" t="s">
        <v>116</v>
      </c>
      <c r="G60" s="1888" t="s">
        <v>140</v>
      </c>
      <c r="H60" s="1889"/>
      <c r="I60" s="1889"/>
      <c r="J60" s="1889"/>
      <c r="K60" s="1890">
        <v>300</v>
      </c>
      <c r="L60" s="1891">
        <f>'통장내역(환율표)'!$D$58</f>
        <v>6.916399997777944</v>
      </c>
      <c r="M60" s="1867">
        <f t="shared" si="6"/>
        <v>43.375166285405996</v>
      </c>
      <c r="N60" s="1892">
        <f t="shared" si="10"/>
        <v>330005.90000000072</v>
      </c>
      <c r="O60" s="1892">
        <f t="shared" si="11"/>
        <v>47713.55101681345</v>
      </c>
      <c r="P60" s="1903"/>
      <c r="Q60" s="1894"/>
      <c r="R60" s="1894"/>
      <c r="S60" s="1871">
        <f t="shared" si="12"/>
        <v>47713.55528662607</v>
      </c>
      <c r="T60" s="1777"/>
      <c r="U60" s="1777"/>
      <c r="V60" s="1777"/>
      <c r="W60" s="1777"/>
      <c r="X60" s="1777"/>
      <c r="Y60" s="1777"/>
      <c r="Z60" s="1777"/>
      <c r="AA60" s="1777"/>
      <c r="AB60" s="1777"/>
      <c r="AC60" s="1777"/>
    </row>
    <row r="61" spans="1:29" s="1782" customFormat="1" ht="11.25" customHeight="1">
      <c r="A61" s="1779"/>
      <c r="B61" s="1884">
        <v>46067</v>
      </c>
      <c r="C61" s="1105" t="s">
        <v>250</v>
      </c>
      <c r="D61" s="1885" t="s">
        <v>1591</v>
      </c>
      <c r="E61" s="1886">
        <v>31</v>
      </c>
      <c r="F61" s="1887" t="s">
        <v>107</v>
      </c>
      <c r="G61" s="1888"/>
      <c r="H61" s="1889"/>
      <c r="I61" s="1889"/>
      <c r="J61" s="1889"/>
      <c r="K61" s="1890">
        <v>3.6</v>
      </c>
      <c r="L61" s="1891">
        <f>'통장내역(환율표)'!$D$58</f>
        <v>6.916399997777944</v>
      </c>
      <c r="M61" s="1867">
        <f t="shared" si="6"/>
        <v>0.52050199542487197</v>
      </c>
      <c r="N61" s="1892">
        <f t="shared" si="10"/>
        <v>330002.30000000075</v>
      </c>
      <c r="O61" s="1892">
        <f t="shared" si="11"/>
        <v>47713.030514818027</v>
      </c>
      <c r="P61" s="1903"/>
      <c r="Q61" s="1894"/>
      <c r="R61" s="1894"/>
      <c r="S61" s="1871">
        <f t="shared" si="12"/>
        <v>47713.034784630647</v>
      </c>
      <c r="T61" s="1777"/>
      <c r="U61" s="1777"/>
      <c r="V61" s="1777"/>
      <c r="W61" s="1777"/>
      <c r="X61" s="1777"/>
      <c r="Y61" s="1777"/>
      <c r="Z61" s="1777"/>
      <c r="AA61" s="1777"/>
      <c r="AB61" s="1777"/>
      <c r="AC61" s="1777"/>
    </row>
    <row r="62" spans="1:29" s="1782" customFormat="1" ht="11.25" customHeight="1">
      <c r="A62" s="1779"/>
      <c r="B62" s="1884">
        <v>46067</v>
      </c>
      <c r="C62" s="1105" t="s">
        <v>11</v>
      </c>
      <c r="D62" s="1885" t="s">
        <v>1394</v>
      </c>
      <c r="E62" s="1886">
        <v>32</v>
      </c>
      <c r="F62" s="1887" t="s">
        <v>125</v>
      </c>
      <c r="G62" s="1888" t="s">
        <v>145</v>
      </c>
      <c r="H62" s="1889"/>
      <c r="I62" s="1889"/>
      <c r="J62" s="1889"/>
      <c r="K62" s="1890">
        <v>1438.61</v>
      </c>
      <c r="L62" s="1891">
        <f>'통장내역(환율표)'!$D$58</f>
        <v>6.916399997777944</v>
      </c>
      <c r="M62" s="1867">
        <f t="shared" si="6"/>
        <v>207.99982656615973</v>
      </c>
      <c r="N62" s="1892">
        <f t="shared" si="10"/>
        <v>328563.69000000076</v>
      </c>
      <c r="O62" s="1892">
        <f t="shared" si="11"/>
        <v>47505.030688251871</v>
      </c>
      <c r="P62" s="1903"/>
      <c r="Q62" s="1894"/>
      <c r="R62" s="1894"/>
      <c r="S62" s="1871">
        <f t="shared" si="12"/>
        <v>47505.034958064491</v>
      </c>
      <c r="T62" s="1777"/>
      <c r="U62" s="1777"/>
      <c r="V62" s="1777"/>
      <c r="W62" s="1777"/>
      <c r="X62" s="1777"/>
      <c r="Y62" s="1777"/>
      <c r="Z62" s="1777"/>
      <c r="AA62" s="1777"/>
      <c r="AB62" s="1777"/>
      <c r="AC62" s="1777"/>
    </row>
    <row r="63" spans="1:29" s="1782" customFormat="1" ht="11.25" customHeight="1">
      <c r="A63" s="1779"/>
      <c r="B63" s="1884">
        <v>46067</v>
      </c>
      <c r="C63" s="1105" t="s">
        <v>1451</v>
      </c>
      <c r="D63" s="1885" t="s">
        <v>1394</v>
      </c>
      <c r="E63" s="1886">
        <v>33</v>
      </c>
      <c r="F63" s="1887" t="s">
        <v>146</v>
      </c>
      <c r="G63" s="1888" t="s">
        <v>147</v>
      </c>
      <c r="H63" s="1889"/>
      <c r="I63" s="1889"/>
      <c r="J63" s="1889"/>
      <c r="K63" s="1890">
        <v>32.5</v>
      </c>
      <c r="L63" s="1891">
        <f>'통장내역(환율표)'!$D$58</f>
        <v>6.916399997777944</v>
      </c>
      <c r="M63" s="1867">
        <f t="shared" si="6"/>
        <v>4.6989763475856501</v>
      </c>
      <c r="N63" s="1892">
        <f t="shared" si="10"/>
        <v>328531.19000000076</v>
      </c>
      <c r="O63" s="1892">
        <f t="shared" si="11"/>
        <v>47500.331711904284</v>
      </c>
      <c r="P63" s="1903"/>
      <c r="Q63" s="1894"/>
      <c r="R63" s="1894"/>
      <c r="S63" s="1871">
        <f t="shared" si="12"/>
        <v>47500.335981716904</v>
      </c>
      <c r="T63" s="1777"/>
      <c r="U63" s="1777"/>
      <c r="V63" s="1777"/>
      <c r="W63" s="1777"/>
      <c r="X63" s="1777"/>
      <c r="Y63" s="1777"/>
      <c r="Z63" s="1777"/>
      <c r="AA63" s="1777"/>
      <c r="AB63" s="1777"/>
      <c r="AC63" s="1777"/>
    </row>
    <row r="64" spans="1:29" s="1782" customFormat="1" ht="11.25" customHeight="1">
      <c r="A64" s="1779"/>
      <c r="B64" s="1884">
        <v>46067</v>
      </c>
      <c r="C64" s="1105" t="s">
        <v>19</v>
      </c>
      <c r="D64" s="1885" t="s">
        <v>1394</v>
      </c>
      <c r="E64" s="1886">
        <v>34</v>
      </c>
      <c r="F64" s="1887" t="s">
        <v>116</v>
      </c>
      <c r="G64" s="1888" t="s">
        <v>140</v>
      </c>
      <c r="H64" s="1889"/>
      <c r="I64" s="1889"/>
      <c r="J64" s="1889"/>
      <c r="K64" s="1890">
        <v>380</v>
      </c>
      <c r="L64" s="1891">
        <f>'통장내역(환율표)'!$D$58</f>
        <v>6.916399997777944</v>
      </c>
      <c r="M64" s="1867">
        <f t="shared" si="6"/>
        <v>54.9418772948476</v>
      </c>
      <c r="N64" s="1892">
        <f t="shared" si="10"/>
        <v>328151.19000000076</v>
      </c>
      <c r="O64" s="1892">
        <f t="shared" si="11"/>
        <v>47445.389834609436</v>
      </c>
      <c r="P64" s="1903"/>
      <c r="Q64" s="1894"/>
      <c r="R64" s="1894"/>
      <c r="S64" s="1871">
        <f t="shared" si="12"/>
        <v>47445.394104422056</v>
      </c>
      <c r="T64" s="1777"/>
      <c r="U64" s="1777"/>
      <c r="V64" s="1777"/>
      <c r="W64" s="1777"/>
      <c r="X64" s="1777"/>
      <c r="Y64" s="1777"/>
      <c r="Z64" s="1777"/>
      <c r="AA64" s="1777"/>
      <c r="AB64" s="1777"/>
      <c r="AC64" s="1777"/>
    </row>
    <row r="65" spans="1:29" s="1782" customFormat="1" ht="11.25" customHeight="1">
      <c r="A65" s="1779"/>
      <c r="B65" s="1884">
        <v>46067</v>
      </c>
      <c r="C65" s="1105" t="s">
        <v>564</v>
      </c>
      <c r="D65" s="1885" t="s">
        <v>1394</v>
      </c>
      <c r="E65" s="1886">
        <v>35</v>
      </c>
      <c r="F65" s="1887" t="s">
        <v>107</v>
      </c>
      <c r="G65" s="1888"/>
      <c r="H65" s="1889"/>
      <c r="I65" s="1889"/>
      <c r="J65" s="1889"/>
      <c r="K65" s="1890">
        <v>283.24</v>
      </c>
      <c r="L65" s="1891">
        <f>'통장내역(환율표)'!$D$58</f>
        <v>6.916399997777944</v>
      </c>
      <c r="M65" s="1867">
        <f t="shared" si="6"/>
        <v>40.951940328927982</v>
      </c>
      <c r="N65" s="1892">
        <f t="shared" si="10"/>
        <v>327867.95000000077</v>
      </c>
      <c r="O65" s="1892">
        <f t="shared" si="11"/>
        <v>47404.437894280505</v>
      </c>
      <c r="P65" s="1903"/>
      <c r="Q65" s="1894"/>
      <c r="R65" s="1894"/>
      <c r="S65" s="1871">
        <f t="shared" si="12"/>
        <v>47404.442164093125</v>
      </c>
      <c r="T65" s="1777"/>
      <c r="U65" s="1777"/>
      <c r="V65" s="1777"/>
      <c r="W65" s="1777"/>
      <c r="X65" s="1777"/>
      <c r="Y65" s="1777"/>
      <c r="Z65" s="1777"/>
      <c r="AA65" s="1777"/>
      <c r="AB65" s="1777"/>
      <c r="AC65" s="1777"/>
    </row>
    <row r="66" spans="1:29" s="1782" customFormat="1" ht="11.25" customHeight="1">
      <c r="A66" s="1779"/>
      <c r="B66" s="1884">
        <v>46067</v>
      </c>
      <c r="C66" s="669" t="s">
        <v>250</v>
      </c>
      <c r="D66" s="1885" t="s">
        <v>1394</v>
      </c>
      <c r="E66" s="1886">
        <v>36</v>
      </c>
      <c r="F66" s="1887" t="s">
        <v>107</v>
      </c>
      <c r="G66" s="1888"/>
      <c r="H66" s="1889"/>
      <c r="I66" s="1889"/>
      <c r="J66" s="1889"/>
      <c r="K66" s="1890">
        <v>3.6</v>
      </c>
      <c r="L66" s="1891">
        <f>'통장내역(환율표)'!$D$58</f>
        <v>6.916399997777944</v>
      </c>
      <c r="M66" s="1867">
        <f t="shared" si="6"/>
        <v>0.52050199542487197</v>
      </c>
      <c r="N66" s="1892">
        <f t="shared" si="10"/>
        <v>327864.35000000079</v>
      </c>
      <c r="O66" s="1892">
        <f t="shared" si="11"/>
        <v>47403.917392285082</v>
      </c>
      <c r="P66" s="1903"/>
      <c r="Q66" s="1894"/>
      <c r="R66" s="1894"/>
      <c r="S66" s="1871">
        <f t="shared" si="12"/>
        <v>47403.921662097702</v>
      </c>
      <c r="T66" s="1777"/>
      <c r="U66" s="1777"/>
      <c r="V66" s="1777"/>
      <c r="W66" s="1777"/>
      <c r="X66" s="1777"/>
      <c r="Y66" s="1777"/>
      <c r="Z66" s="1777"/>
      <c r="AA66" s="1777"/>
      <c r="AB66" s="1777"/>
      <c r="AC66" s="1777"/>
    </row>
    <row r="67" spans="1:29" s="1782" customFormat="1" ht="11.25" customHeight="1">
      <c r="A67" s="1779"/>
      <c r="B67" s="1884">
        <v>46067</v>
      </c>
      <c r="C67" s="1105" t="s">
        <v>1451</v>
      </c>
      <c r="D67" s="1885" t="s">
        <v>1391</v>
      </c>
      <c r="E67" s="1886">
        <v>37</v>
      </c>
      <c r="F67" s="1887" t="s">
        <v>146</v>
      </c>
      <c r="G67" s="1888" t="s">
        <v>147</v>
      </c>
      <c r="H67" s="1889"/>
      <c r="I67" s="1889"/>
      <c r="J67" s="1889"/>
      <c r="K67" s="1890">
        <v>109.4</v>
      </c>
      <c r="L67" s="1891">
        <f>'통장내역(환율표)'!$D$58</f>
        <v>6.916399997777944</v>
      </c>
      <c r="M67" s="1867">
        <f t="shared" si="6"/>
        <v>15.817477305411389</v>
      </c>
      <c r="N67" s="1892">
        <f t="shared" si="10"/>
        <v>327754.95000000077</v>
      </c>
      <c r="O67" s="1892">
        <f t="shared" si="11"/>
        <v>47388.09991497967</v>
      </c>
      <c r="P67" s="1903"/>
      <c r="Q67" s="1894"/>
      <c r="R67" s="1894"/>
      <c r="S67" s="1871">
        <f t="shared" si="12"/>
        <v>47388.10418479229</v>
      </c>
      <c r="T67" s="1777"/>
      <c r="U67" s="1777"/>
      <c r="V67" s="1777"/>
      <c r="W67" s="1777"/>
      <c r="X67" s="1777"/>
      <c r="Y67" s="1777"/>
      <c r="Z67" s="1777"/>
      <c r="AA67" s="1777"/>
      <c r="AB67" s="1777"/>
      <c r="AC67" s="1777"/>
    </row>
    <row r="68" spans="1:29" s="1782" customFormat="1" ht="11.25" customHeight="1">
      <c r="A68" s="1779"/>
      <c r="B68" s="1884">
        <v>46067</v>
      </c>
      <c r="C68" s="1105" t="s">
        <v>11</v>
      </c>
      <c r="D68" s="1885" t="s">
        <v>1391</v>
      </c>
      <c r="E68" s="1886">
        <v>38</v>
      </c>
      <c r="F68" s="1887" t="s">
        <v>125</v>
      </c>
      <c r="G68" s="1888" t="s">
        <v>145</v>
      </c>
      <c r="H68" s="1889"/>
      <c r="I68" s="1889"/>
      <c r="J68" s="1889"/>
      <c r="K68" s="1890">
        <v>392.6</v>
      </c>
      <c r="L68" s="1891">
        <f>'통장내역(환율표)'!$D$58</f>
        <v>6.916399997777944</v>
      </c>
      <c r="M68" s="1867">
        <f t="shared" si="6"/>
        <v>56.763634278834651</v>
      </c>
      <c r="N68" s="1892">
        <f t="shared" si="10"/>
        <v>327362.35000000079</v>
      </c>
      <c r="O68" s="1892">
        <f t="shared" si="11"/>
        <v>47331.336280700838</v>
      </c>
      <c r="P68" s="1903"/>
      <c r="Q68" s="1894"/>
      <c r="R68" s="1894"/>
      <c r="S68" s="1871">
        <f t="shared" si="12"/>
        <v>47331.340550513458</v>
      </c>
      <c r="T68" s="1777"/>
      <c r="U68" s="1777"/>
      <c r="V68" s="1777"/>
      <c r="W68" s="1777"/>
      <c r="X68" s="1777"/>
      <c r="Y68" s="1777"/>
      <c r="Z68" s="1777"/>
      <c r="AA68" s="1777"/>
      <c r="AB68" s="1777"/>
      <c r="AC68" s="1777"/>
    </row>
    <row r="69" spans="1:29" s="1782" customFormat="1" ht="11.25" customHeight="1">
      <c r="A69" s="1779"/>
      <c r="B69" s="1884">
        <v>46067</v>
      </c>
      <c r="C69" s="1105" t="s">
        <v>19</v>
      </c>
      <c r="D69" s="1885" t="s">
        <v>1391</v>
      </c>
      <c r="E69" s="1886">
        <v>39</v>
      </c>
      <c r="F69" s="1887" t="s">
        <v>116</v>
      </c>
      <c r="G69" s="1888" t="s">
        <v>140</v>
      </c>
      <c r="H69" s="1889"/>
      <c r="I69" s="1889"/>
      <c r="J69" s="1889"/>
      <c r="K69" s="1890">
        <v>448</v>
      </c>
      <c r="L69" s="1891">
        <f>'통장내역(환율표)'!$D$58</f>
        <v>6.916399997777944</v>
      </c>
      <c r="M69" s="1867">
        <f t="shared" si="6"/>
        <v>64.773581652872963</v>
      </c>
      <c r="N69" s="1892">
        <f t="shared" si="10"/>
        <v>326914.35000000079</v>
      </c>
      <c r="O69" s="1892">
        <f t="shared" si="11"/>
        <v>47266.562699047965</v>
      </c>
      <c r="P69" s="1903"/>
      <c r="Q69" s="1894"/>
      <c r="R69" s="1894"/>
      <c r="S69" s="1871">
        <f t="shared" si="12"/>
        <v>47266.566968860585</v>
      </c>
      <c r="T69" s="1777"/>
      <c r="U69" s="1777"/>
      <c r="V69" s="1777"/>
      <c r="W69" s="1777"/>
      <c r="X69" s="1777"/>
      <c r="Y69" s="1777"/>
      <c r="Z69" s="1777"/>
      <c r="AA69" s="1777"/>
      <c r="AB69" s="1777"/>
      <c r="AC69" s="1777"/>
    </row>
    <row r="70" spans="1:29" s="1782" customFormat="1" ht="11.25" customHeight="1">
      <c r="A70" s="1779"/>
      <c r="B70" s="1884">
        <v>46067</v>
      </c>
      <c r="C70" s="1105" t="s">
        <v>250</v>
      </c>
      <c r="D70" s="1885" t="s">
        <v>1391</v>
      </c>
      <c r="E70" s="1886">
        <v>40</v>
      </c>
      <c r="F70" s="1887" t="s">
        <v>107</v>
      </c>
      <c r="G70" s="1888"/>
      <c r="H70" s="1889"/>
      <c r="I70" s="1889"/>
      <c r="J70" s="1889"/>
      <c r="K70" s="1890">
        <v>3.6</v>
      </c>
      <c r="L70" s="1891">
        <f>'통장내역(환율표)'!$D$58</f>
        <v>6.916399997777944</v>
      </c>
      <c r="M70" s="1867">
        <f t="shared" si="6"/>
        <v>0.52050199542487197</v>
      </c>
      <c r="N70" s="1892">
        <f t="shared" si="10"/>
        <v>326910.75000000081</v>
      </c>
      <c r="O70" s="1892">
        <f t="shared" si="11"/>
        <v>47266.042197052542</v>
      </c>
      <c r="P70" s="1903"/>
      <c r="Q70" s="1894"/>
      <c r="R70" s="1894"/>
      <c r="S70" s="1871">
        <f t="shared" si="12"/>
        <v>47266.046466865162</v>
      </c>
      <c r="T70" s="1777"/>
      <c r="U70" s="1777"/>
      <c r="V70" s="1777"/>
      <c r="W70" s="1777"/>
      <c r="X70" s="1777"/>
      <c r="Y70" s="1777"/>
      <c r="Z70" s="1777"/>
      <c r="AA70" s="1777"/>
      <c r="AB70" s="1777"/>
      <c r="AC70" s="1777"/>
    </row>
    <row r="71" spans="1:29" s="1782" customFormat="1" ht="11.25" customHeight="1">
      <c r="A71" s="1779"/>
      <c r="B71" s="1884">
        <v>46067</v>
      </c>
      <c r="C71" s="669" t="s">
        <v>11</v>
      </c>
      <c r="D71" s="1885" t="s">
        <v>1551</v>
      </c>
      <c r="E71" s="1886">
        <v>41</v>
      </c>
      <c r="F71" s="1887" t="s">
        <v>125</v>
      </c>
      <c r="G71" s="1888" t="s">
        <v>145</v>
      </c>
      <c r="H71" s="1889"/>
      <c r="I71" s="1902"/>
      <c r="J71" s="1889"/>
      <c r="K71" s="1890">
        <v>2819.5</v>
      </c>
      <c r="L71" s="1891">
        <f>'통장내역(환율표)'!$D$58</f>
        <v>6.916399997777944</v>
      </c>
      <c r="M71" s="1867">
        <f t="shared" si="6"/>
        <v>407.65427113900739</v>
      </c>
      <c r="N71" s="1892">
        <f t="shared" si="10"/>
        <v>324091.25000000081</v>
      </c>
      <c r="O71" s="1892">
        <f t="shared" si="11"/>
        <v>46858.387925913536</v>
      </c>
      <c r="P71" s="1903"/>
      <c r="Q71" s="1894"/>
      <c r="R71" s="1894"/>
      <c r="S71" s="1871">
        <f t="shared" si="12"/>
        <v>46858.392195726155</v>
      </c>
      <c r="T71" s="1777"/>
      <c r="U71" s="1777"/>
      <c r="V71" s="1777"/>
      <c r="W71" s="1777"/>
      <c r="X71" s="1777"/>
      <c r="Y71" s="1777"/>
      <c r="Z71" s="1777"/>
      <c r="AA71" s="1777"/>
      <c r="AB71" s="1777"/>
      <c r="AC71" s="1777"/>
    </row>
    <row r="72" spans="1:29" s="1782" customFormat="1" ht="11.25" customHeight="1">
      <c r="A72" s="1779"/>
      <c r="B72" s="1884">
        <v>46067</v>
      </c>
      <c r="C72" s="1105" t="s">
        <v>19</v>
      </c>
      <c r="D72" s="1885" t="s">
        <v>1551</v>
      </c>
      <c r="E72" s="1886">
        <v>42</v>
      </c>
      <c r="F72" s="1887" t="s">
        <v>19</v>
      </c>
      <c r="G72" s="1888" t="s">
        <v>1609</v>
      </c>
      <c r="H72" s="1889"/>
      <c r="I72" s="1902"/>
      <c r="J72" s="1889"/>
      <c r="K72" s="1890">
        <v>103.49000000000001</v>
      </c>
      <c r="L72" s="1891">
        <f>'통장내역(환율표)'!$D$58</f>
        <v>6.916399997777944</v>
      </c>
      <c r="M72" s="1867">
        <f t="shared" si="6"/>
        <v>14.962986529588891</v>
      </c>
      <c r="N72" s="1892">
        <f t="shared" si="10"/>
        <v>323987.76000000082</v>
      </c>
      <c r="O72" s="1892">
        <f t="shared" si="11"/>
        <v>46843.424939383949</v>
      </c>
      <c r="P72" s="1903"/>
      <c r="Q72" s="1894"/>
      <c r="R72" s="1894"/>
      <c r="S72" s="1871">
        <f t="shared" si="12"/>
        <v>46843.429209196569</v>
      </c>
      <c r="T72" s="1777"/>
      <c r="U72" s="1777"/>
      <c r="V72" s="1777"/>
      <c r="W72" s="1777"/>
      <c r="X72" s="1777"/>
      <c r="Y72" s="1777"/>
      <c r="Z72" s="1777"/>
      <c r="AA72" s="1777"/>
      <c r="AB72" s="1777"/>
      <c r="AC72" s="1777"/>
    </row>
    <row r="73" spans="1:29" s="1782" customFormat="1" ht="11.25" customHeight="1">
      <c r="A73" s="1779"/>
      <c r="B73" s="1884">
        <v>46067</v>
      </c>
      <c r="C73" s="1105" t="s">
        <v>1403</v>
      </c>
      <c r="D73" s="1885" t="s">
        <v>211</v>
      </c>
      <c r="E73" s="1886">
        <v>43</v>
      </c>
      <c r="F73" s="1899" t="s">
        <v>146</v>
      </c>
      <c r="G73" s="1900" t="s">
        <v>147</v>
      </c>
      <c r="H73" s="1901"/>
      <c r="I73" s="1906"/>
      <c r="J73" s="1901"/>
      <c r="K73" s="1890">
        <v>7730.22</v>
      </c>
      <c r="L73" s="1891">
        <f>'통장내역(환율표)'!$D$58</f>
        <v>6.916399997777944</v>
      </c>
      <c r="M73" s="1867">
        <f t="shared" si="6"/>
        <v>1117.6652597425705</v>
      </c>
      <c r="N73" s="1892">
        <f t="shared" si="10"/>
        <v>316257.54000000085</v>
      </c>
      <c r="O73" s="1892">
        <f t="shared" si="11"/>
        <v>45725.759679641378</v>
      </c>
      <c r="P73" s="1903"/>
      <c r="Q73" s="1894"/>
      <c r="R73" s="1894"/>
      <c r="S73" s="1871">
        <f t="shared" si="12"/>
        <v>45725.763949453998</v>
      </c>
      <c r="T73" s="1777"/>
      <c r="U73" s="1777"/>
      <c r="V73" s="1777"/>
      <c r="W73" s="1777"/>
      <c r="X73" s="1777"/>
      <c r="Y73" s="1777"/>
      <c r="Z73" s="1777"/>
      <c r="AA73" s="1777"/>
      <c r="AB73" s="1777"/>
      <c r="AC73" s="1777"/>
    </row>
    <row r="74" spans="1:29" s="1782" customFormat="1" ht="11.25" customHeight="1">
      <c r="A74" s="1779"/>
      <c r="B74" s="1884">
        <v>46067</v>
      </c>
      <c r="C74" s="669" t="s">
        <v>11</v>
      </c>
      <c r="D74" s="1885" t="s">
        <v>211</v>
      </c>
      <c r="E74" s="1886">
        <v>44</v>
      </c>
      <c r="F74" s="1899" t="s">
        <v>125</v>
      </c>
      <c r="G74" s="1900" t="s">
        <v>145</v>
      </c>
      <c r="H74" s="1901"/>
      <c r="I74" s="1906"/>
      <c r="J74" s="1901"/>
      <c r="K74" s="1890">
        <v>1170.74</v>
      </c>
      <c r="L74" s="1891">
        <f>'통장내역(환율표)'!$D$58</f>
        <v>6.916399997777944</v>
      </c>
      <c r="M74" s="1867">
        <f t="shared" si="6"/>
        <v>169.27014058992074</v>
      </c>
      <c r="N74" s="1892">
        <f t="shared" si="10"/>
        <v>315086.80000000086</v>
      </c>
      <c r="O74" s="1892">
        <f t="shared" si="11"/>
        <v>45556.489539051458</v>
      </c>
      <c r="P74" s="1903"/>
      <c r="Q74" s="1894"/>
      <c r="R74" s="1894"/>
      <c r="S74" s="1871">
        <f t="shared" si="12"/>
        <v>45556.493808864077</v>
      </c>
      <c r="T74" s="1777"/>
      <c r="U74" s="1777"/>
      <c r="V74" s="1777"/>
      <c r="W74" s="1777"/>
      <c r="X74" s="1777"/>
      <c r="Y74" s="1777"/>
      <c r="Z74" s="1777"/>
      <c r="AA74" s="1777"/>
      <c r="AB74" s="1777"/>
      <c r="AC74" s="1777"/>
    </row>
    <row r="75" spans="1:29" s="1782" customFormat="1" ht="11.25" customHeight="1">
      <c r="A75" s="1779"/>
      <c r="B75" s="1884">
        <v>46067</v>
      </c>
      <c r="C75" s="1105" t="s">
        <v>1451</v>
      </c>
      <c r="D75" s="1885" t="s">
        <v>211</v>
      </c>
      <c r="E75" s="1886">
        <v>45</v>
      </c>
      <c r="F75" s="1899" t="s">
        <v>146</v>
      </c>
      <c r="G75" s="1900" t="s">
        <v>147</v>
      </c>
      <c r="H75" s="1901"/>
      <c r="I75" s="1906"/>
      <c r="J75" s="1901"/>
      <c r="K75" s="1890">
        <v>34.950000000000003</v>
      </c>
      <c r="L75" s="1891">
        <f>'통장내역(환율표)'!$D$58</f>
        <v>6.916399997777944</v>
      </c>
      <c r="M75" s="1867">
        <f t="shared" si="6"/>
        <v>5.0532068722497989</v>
      </c>
      <c r="N75" s="1892">
        <f t="shared" si="10"/>
        <v>315051.85000000085</v>
      </c>
      <c r="O75" s="1892">
        <f t="shared" si="11"/>
        <v>45551.436332179204</v>
      </c>
      <c r="P75" s="1903"/>
      <c r="Q75" s="1894"/>
      <c r="R75" s="1894"/>
      <c r="S75" s="1871">
        <f t="shared" si="12"/>
        <v>45551.440601991824</v>
      </c>
      <c r="T75" s="1777"/>
      <c r="U75" s="1777"/>
      <c r="V75" s="1777"/>
      <c r="W75" s="1777"/>
      <c r="X75" s="1777"/>
      <c r="Y75" s="1777"/>
      <c r="Z75" s="1777"/>
      <c r="AA75" s="1777"/>
      <c r="AB75" s="1777"/>
      <c r="AC75" s="1777"/>
    </row>
    <row r="76" spans="1:29" s="1782" customFormat="1" ht="11.25" customHeight="1">
      <c r="A76" s="1779"/>
      <c r="B76" s="1884">
        <v>46067</v>
      </c>
      <c r="C76" s="669" t="s">
        <v>250</v>
      </c>
      <c r="D76" s="1885" t="s">
        <v>211</v>
      </c>
      <c r="E76" s="1886">
        <v>46</v>
      </c>
      <c r="F76" s="1899" t="s">
        <v>107</v>
      </c>
      <c r="G76" s="1900"/>
      <c r="H76" s="1901"/>
      <c r="I76" s="1906"/>
      <c r="J76" s="1901"/>
      <c r="K76" s="1890">
        <v>3.6</v>
      </c>
      <c r="L76" s="1891">
        <f>'통장내역(환율표)'!$D$58</f>
        <v>6.916399997777944</v>
      </c>
      <c r="M76" s="1867">
        <f t="shared" si="6"/>
        <v>0.52050199542487197</v>
      </c>
      <c r="N76" s="1892">
        <f t="shared" si="10"/>
        <v>315048.25000000087</v>
      </c>
      <c r="O76" s="1892">
        <f t="shared" si="11"/>
        <v>45550.915830183782</v>
      </c>
      <c r="P76" s="1903"/>
      <c r="Q76" s="1894"/>
      <c r="R76" s="1894"/>
      <c r="S76" s="1871">
        <f t="shared" si="12"/>
        <v>45550.920099996401</v>
      </c>
      <c r="T76" s="1777"/>
      <c r="U76" s="1777"/>
      <c r="V76" s="1777"/>
      <c r="W76" s="1777"/>
      <c r="X76" s="1777"/>
      <c r="Y76" s="1777"/>
      <c r="Z76" s="1777"/>
      <c r="AA76" s="1777"/>
      <c r="AB76" s="1777"/>
      <c r="AC76" s="1777"/>
    </row>
    <row r="77" spans="1:29" s="1782" customFormat="1" ht="11.25" customHeight="1">
      <c r="A77" s="1779"/>
      <c r="B77" s="1884">
        <v>46067</v>
      </c>
      <c r="C77" s="669" t="s">
        <v>1406</v>
      </c>
      <c r="D77" s="1885" t="s">
        <v>1392</v>
      </c>
      <c r="E77" s="639">
        <v>47</v>
      </c>
      <c r="F77" s="639" t="s">
        <v>146</v>
      </c>
      <c r="G77" s="639" t="s">
        <v>147</v>
      </c>
      <c r="H77" s="639"/>
      <c r="I77" s="639"/>
      <c r="J77" s="639"/>
      <c r="K77" s="1890">
        <v>1636.99</v>
      </c>
      <c r="L77" s="1891">
        <f>'통장내역(환율표)'!$D$58</f>
        <v>6.916399997777944</v>
      </c>
      <c r="M77" s="1867">
        <f t="shared" si="6"/>
        <v>236.68237819182255</v>
      </c>
      <c r="N77" s="1892">
        <f t="shared" si="10"/>
        <v>313411.26000000088</v>
      </c>
      <c r="O77" s="1892">
        <f t="shared" si="11"/>
        <v>45314.23345199196</v>
      </c>
      <c r="P77" s="1903"/>
      <c r="Q77" s="1894"/>
      <c r="R77" s="1894"/>
      <c r="S77" s="1871">
        <f t="shared" si="12"/>
        <v>45314.23772180458</v>
      </c>
      <c r="T77" s="1777"/>
      <c r="U77" s="1777"/>
      <c r="V77" s="1777"/>
      <c r="W77" s="1777"/>
      <c r="X77" s="1777"/>
      <c r="Y77" s="1777"/>
      <c r="Z77" s="1777"/>
      <c r="AA77" s="1777"/>
      <c r="AB77" s="1777"/>
      <c r="AC77" s="1777"/>
    </row>
    <row r="78" spans="1:29" s="1782" customFormat="1" ht="11.25" customHeight="1">
      <c r="A78" s="1779"/>
      <c r="B78" s="1884">
        <v>46067</v>
      </c>
      <c r="C78" s="669" t="s">
        <v>1407</v>
      </c>
      <c r="D78" s="1885" t="s">
        <v>1392</v>
      </c>
      <c r="E78" s="1886">
        <v>48</v>
      </c>
      <c r="F78" s="1899" t="s">
        <v>146</v>
      </c>
      <c r="G78" s="1900" t="s">
        <v>147</v>
      </c>
      <c r="H78" s="1901"/>
      <c r="I78" s="1906"/>
      <c r="J78" s="1901"/>
      <c r="K78" s="1890">
        <v>334</v>
      </c>
      <c r="L78" s="1891">
        <f>'통장내역(환율표)'!$D$58</f>
        <v>6.916399997777944</v>
      </c>
      <c r="M78" s="1867">
        <f t="shared" si="6"/>
        <v>48.291018464418677</v>
      </c>
      <c r="N78" s="1892">
        <f t="shared" si="10"/>
        <v>313077.26000000088</v>
      </c>
      <c r="O78" s="1892">
        <f t="shared" si="11"/>
        <v>45265.94243352754</v>
      </c>
      <c r="P78" s="1903"/>
      <c r="Q78" s="1894"/>
      <c r="R78" s="1894"/>
      <c r="S78" s="1871">
        <f t="shared" si="12"/>
        <v>45265.94670334016</v>
      </c>
      <c r="T78" s="1777"/>
      <c r="U78" s="1777"/>
      <c r="V78" s="1777"/>
      <c r="W78" s="1777"/>
      <c r="X78" s="1777"/>
      <c r="Y78" s="1777"/>
      <c r="Z78" s="1777"/>
      <c r="AA78" s="1777"/>
      <c r="AB78" s="1777"/>
      <c r="AC78" s="1777"/>
    </row>
    <row r="79" spans="1:29" s="1782" customFormat="1" ht="11.25" customHeight="1">
      <c r="A79" s="1779"/>
      <c r="B79" s="1884">
        <v>46067</v>
      </c>
      <c r="C79" s="669" t="s">
        <v>1408</v>
      </c>
      <c r="D79" s="1885" t="s">
        <v>1392</v>
      </c>
      <c r="E79" s="1886">
        <v>49</v>
      </c>
      <c r="F79" s="1899" t="s">
        <v>146</v>
      </c>
      <c r="G79" s="1900" t="s">
        <v>147</v>
      </c>
      <c r="H79" s="1901"/>
      <c r="I79" s="1906"/>
      <c r="J79" s="1901"/>
      <c r="K79" s="1890">
        <v>192</v>
      </c>
      <c r="L79" s="1891">
        <f>'통장내역(환율표)'!$D$58</f>
        <v>6.916399997777944</v>
      </c>
      <c r="M79" s="1867">
        <f t="shared" si="6"/>
        <v>27.760106422659838</v>
      </c>
      <c r="N79" s="1892">
        <f t="shared" si="10"/>
        <v>312885.26000000088</v>
      </c>
      <c r="O79" s="1892">
        <f t="shared" si="11"/>
        <v>45238.182327104878</v>
      </c>
      <c r="P79" s="1903"/>
      <c r="Q79" s="1894"/>
      <c r="R79" s="1894"/>
      <c r="S79" s="1871">
        <f t="shared" si="12"/>
        <v>45238.186596917498</v>
      </c>
      <c r="T79" s="1777"/>
      <c r="U79" s="1777"/>
      <c r="V79" s="1777"/>
      <c r="W79" s="1777"/>
      <c r="X79" s="1777"/>
      <c r="Y79" s="1777"/>
      <c r="Z79" s="1777"/>
      <c r="AA79" s="1777"/>
      <c r="AB79" s="1777"/>
      <c r="AC79" s="1777"/>
    </row>
    <row r="80" spans="1:29" s="1782" customFormat="1" ht="11.25" customHeight="1">
      <c r="A80" s="1779"/>
      <c r="B80" s="1884">
        <v>46067</v>
      </c>
      <c r="C80" s="669" t="s">
        <v>250</v>
      </c>
      <c r="D80" s="1885" t="s">
        <v>1392</v>
      </c>
      <c r="E80" s="1886">
        <v>50</v>
      </c>
      <c r="F80" s="1899" t="s">
        <v>107</v>
      </c>
      <c r="G80" s="1900"/>
      <c r="H80" s="1901"/>
      <c r="I80" s="1906"/>
      <c r="J80" s="1901"/>
      <c r="K80" s="1890">
        <v>3.6</v>
      </c>
      <c r="L80" s="1891">
        <f>'통장내역(환율표)'!$D$58</f>
        <v>6.916399997777944</v>
      </c>
      <c r="M80" s="1867">
        <f t="shared" si="6"/>
        <v>0.52050199542487197</v>
      </c>
      <c r="N80" s="1892">
        <f t="shared" si="10"/>
        <v>312881.66000000091</v>
      </c>
      <c r="O80" s="1892">
        <f t="shared" si="11"/>
        <v>45237.661825109455</v>
      </c>
      <c r="P80" s="1903"/>
      <c r="Q80" s="1894"/>
      <c r="R80" s="1894"/>
      <c r="S80" s="1871">
        <f t="shared" si="12"/>
        <v>45237.666094922075</v>
      </c>
      <c r="T80" s="1777"/>
      <c r="U80" s="1777"/>
      <c r="V80" s="1777"/>
      <c r="W80" s="1777"/>
      <c r="X80" s="1777"/>
      <c r="Y80" s="1777"/>
      <c r="Z80" s="1777"/>
      <c r="AA80" s="1777"/>
      <c r="AB80" s="1777"/>
      <c r="AC80" s="1777"/>
    </row>
    <row r="81" spans="1:29" s="1782" customFormat="1" ht="11.25" customHeight="1">
      <c r="A81" s="1779"/>
      <c r="B81" s="1884">
        <v>46067</v>
      </c>
      <c r="C81" s="669" t="s">
        <v>1408</v>
      </c>
      <c r="D81" s="1885" t="s">
        <v>1393</v>
      </c>
      <c r="E81" s="1886">
        <v>51</v>
      </c>
      <c r="F81" s="1899" t="s">
        <v>146</v>
      </c>
      <c r="G81" s="1900" t="s">
        <v>147</v>
      </c>
      <c r="H81" s="1907"/>
      <c r="I81" s="1908"/>
      <c r="J81" s="1908"/>
      <c r="K81" s="1890">
        <v>915</v>
      </c>
      <c r="L81" s="1891">
        <f>'통장내역(환율표)'!$D$58</f>
        <v>6.916399997777944</v>
      </c>
      <c r="M81" s="1867">
        <f t="shared" si="6"/>
        <v>132.29425717048829</v>
      </c>
      <c r="N81" s="1892">
        <f t="shared" si="10"/>
        <v>311966.66000000091</v>
      </c>
      <c r="O81" s="1892">
        <f t="shared" si="11"/>
        <v>45105.367567938963</v>
      </c>
      <c r="P81" s="1903"/>
      <c r="Q81" s="1894"/>
      <c r="R81" s="1894"/>
      <c r="S81" s="1871">
        <f t="shared" si="12"/>
        <v>45105.371837751583</v>
      </c>
      <c r="T81" s="1777"/>
      <c r="U81" s="1777"/>
      <c r="V81" s="1777"/>
      <c r="W81" s="1777"/>
      <c r="X81" s="1777"/>
      <c r="Y81" s="1777"/>
      <c r="Z81" s="1777"/>
      <c r="AA81" s="1777"/>
      <c r="AB81" s="1777"/>
      <c r="AC81" s="1777"/>
    </row>
    <row r="82" spans="1:29" s="1782" customFormat="1" ht="11.25" customHeight="1">
      <c r="A82" s="1779"/>
      <c r="B82" s="1884">
        <v>46067</v>
      </c>
      <c r="C82" s="669" t="s">
        <v>1406</v>
      </c>
      <c r="D82" s="1885" t="s">
        <v>1393</v>
      </c>
      <c r="E82" s="1886">
        <v>52</v>
      </c>
      <c r="F82" s="1887" t="s">
        <v>146</v>
      </c>
      <c r="G82" s="1888" t="s">
        <v>147</v>
      </c>
      <c r="H82" s="1904"/>
      <c r="I82" s="1905"/>
      <c r="J82" s="1905"/>
      <c r="K82" s="1890">
        <v>2147</v>
      </c>
      <c r="L82" s="1891">
        <f>'통장내역(환율표)'!$D$58</f>
        <v>6.916399997777944</v>
      </c>
      <c r="M82" s="1867">
        <f t="shared" si="6"/>
        <v>310.42160671588891</v>
      </c>
      <c r="N82" s="1892">
        <f t="shared" si="10"/>
        <v>309819.66000000091</v>
      </c>
      <c r="O82" s="1892">
        <f t="shared" si="11"/>
        <v>44794.945961223071</v>
      </c>
      <c r="P82" s="1903"/>
      <c r="Q82" s="1894"/>
      <c r="R82" s="1894"/>
      <c r="S82" s="1871">
        <f t="shared" si="12"/>
        <v>44794.950231035691</v>
      </c>
      <c r="T82" s="1777"/>
      <c r="U82" s="1777"/>
      <c r="V82" s="1777"/>
      <c r="W82" s="1777"/>
      <c r="X82" s="1777"/>
      <c r="Y82" s="1777"/>
      <c r="Z82" s="1777"/>
      <c r="AA82" s="1777"/>
      <c r="AB82" s="1777"/>
      <c r="AC82" s="1777"/>
    </row>
    <row r="83" spans="1:29" s="1782" customFormat="1" ht="11.25" customHeight="1">
      <c r="A83" s="1779"/>
      <c r="B83" s="1884">
        <v>46067</v>
      </c>
      <c r="C83" s="669" t="s">
        <v>1407</v>
      </c>
      <c r="D83" s="1885" t="s">
        <v>1393</v>
      </c>
      <c r="E83" s="1886">
        <v>53</v>
      </c>
      <c r="F83" s="1887" t="s">
        <v>146</v>
      </c>
      <c r="G83" s="1888" t="s">
        <v>147</v>
      </c>
      <c r="H83" s="1904"/>
      <c r="I83" s="1905"/>
      <c r="J83" s="1905"/>
      <c r="K83" s="1890">
        <v>70</v>
      </c>
      <c r="L83" s="1891">
        <f>'통장내역(환율표)'!$D$58</f>
        <v>6.916399997777944</v>
      </c>
      <c r="M83" s="1867">
        <f t="shared" si="6"/>
        <v>10.1208721332614</v>
      </c>
      <c r="N83" s="1892">
        <f t="shared" si="10"/>
        <v>309749.66000000091</v>
      </c>
      <c r="O83" s="1892">
        <f t="shared" si="11"/>
        <v>44784.825089089813</v>
      </c>
      <c r="P83" s="1903"/>
      <c r="Q83" s="1894"/>
      <c r="R83" s="1894"/>
      <c r="S83" s="1871">
        <f t="shared" si="12"/>
        <v>44784.829358902432</v>
      </c>
      <c r="T83" s="1777"/>
      <c r="U83" s="1777"/>
      <c r="V83" s="1777"/>
      <c r="W83" s="1777"/>
      <c r="X83" s="1777"/>
      <c r="Y83" s="1777"/>
      <c r="Z83" s="1777"/>
      <c r="AA83" s="1777"/>
      <c r="AB83" s="1777"/>
      <c r="AC83" s="1777"/>
    </row>
    <row r="84" spans="1:29" s="1782" customFormat="1" ht="11.25" customHeight="1">
      <c r="A84" s="1779"/>
      <c r="B84" s="1884">
        <v>46067</v>
      </c>
      <c r="C84" s="669" t="s">
        <v>250</v>
      </c>
      <c r="D84" s="1885" t="s">
        <v>1393</v>
      </c>
      <c r="E84" s="1886">
        <v>54</v>
      </c>
      <c r="F84" s="1887" t="s">
        <v>107</v>
      </c>
      <c r="G84" s="1888"/>
      <c r="H84" s="1904"/>
      <c r="I84" s="1905"/>
      <c r="J84" s="1905"/>
      <c r="K84" s="1890">
        <v>3.6</v>
      </c>
      <c r="L84" s="1891">
        <f>'통장내역(환율표)'!$D$58</f>
        <v>6.916399997777944</v>
      </c>
      <c r="M84" s="1867">
        <f t="shared" si="6"/>
        <v>0.52050199542487197</v>
      </c>
      <c r="N84" s="1892">
        <f t="shared" si="10"/>
        <v>309746.06000000093</v>
      </c>
      <c r="O84" s="1892">
        <f t="shared" si="11"/>
        <v>44784.30458709439</v>
      </c>
      <c r="P84" s="1903"/>
      <c r="Q84" s="1894"/>
      <c r="R84" s="1894"/>
      <c r="S84" s="1871">
        <f t="shared" si="12"/>
        <v>44784.30885690701</v>
      </c>
      <c r="T84" s="1777"/>
      <c r="U84" s="1777"/>
      <c r="V84" s="1777"/>
      <c r="W84" s="1777"/>
      <c r="X84" s="1777"/>
      <c r="Y84" s="1777"/>
      <c r="Z84" s="1777"/>
      <c r="AA84" s="1777"/>
      <c r="AB84" s="1777"/>
      <c r="AC84" s="1777"/>
    </row>
    <row r="85" spans="1:29" s="1782" customFormat="1" ht="11.25" customHeight="1">
      <c r="A85" s="1779"/>
      <c r="B85" s="1884">
        <v>46067</v>
      </c>
      <c r="C85" s="669" t="s">
        <v>1406</v>
      </c>
      <c r="D85" s="1885" t="s">
        <v>1460</v>
      </c>
      <c r="E85" s="1886">
        <v>55</v>
      </c>
      <c r="F85" s="1887" t="s">
        <v>146</v>
      </c>
      <c r="G85" s="1888" t="s">
        <v>147</v>
      </c>
      <c r="H85" s="1904"/>
      <c r="I85" s="1905"/>
      <c r="J85" s="1905"/>
      <c r="K85" s="1890">
        <v>985</v>
      </c>
      <c r="L85" s="1891">
        <f>'통장내역(환율표)'!$D$58</f>
        <v>6.916399997777944</v>
      </c>
      <c r="M85" s="1867">
        <f t="shared" ref="M85:M92" si="13">K85/L85</f>
        <v>142.41512930374969</v>
      </c>
      <c r="N85" s="1892">
        <f t="shared" si="10"/>
        <v>308761.06000000093</v>
      </c>
      <c r="O85" s="1892">
        <f t="shared" si="11"/>
        <v>44641.889457790639</v>
      </c>
      <c r="P85" s="1903"/>
      <c r="Q85" s="1894"/>
      <c r="R85" s="1894"/>
      <c r="S85" s="1871">
        <f t="shared" si="12"/>
        <v>44641.893727603259</v>
      </c>
      <c r="T85" s="1777"/>
      <c r="U85" s="1777"/>
      <c r="V85" s="1777"/>
      <c r="W85" s="1777"/>
      <c r="X85" s="1777"/>
      <c r="Y85" s="1777"/>
      <c r="Z85" s="1777"/>
      <c r="AA85" s="1777"/>
      <c r="AB85" s="1777"/>
      <c r="AC85" s="1777"/>
    </row>
    <row r="86" spans="1:29" s="1782" customFormat="1" ht="11.25" customHeight="1">
      <c r="A86" s="1779"/>
      <c r="B86" s="1884">
        <v>46067</v>
      </c>
      <c r="C86" s="669" t="s">
        <v>1408</v>
      </c>
      <c r="D86" s="1885" t="s">
        <v>1460</v>
      </c>
      <c r="E86" s="1886">
        <v>56</v>
      </c>
      <c r="F86" s="1887" t="s">
        <v>146</v>
      </c>
      <c r="G86" s="1888" t="s">
        <v>147</v>
      </c>
      <c r="H86" s="1904"/>
      <c r="I86" s="1905"/>
      <c r="J86" s="1905"/>
      <c r="K86" s="1890">
        <v>240</v>
      </c>
      <c r="L86" s="1891">
        <f>'통장내역(환율표)'!$D$58</f>
        <v>6.916399997777944</v>
      </c>
      <c r="M86" s="1867">
        <f t="shared" si="13"/>
        <v>34.7001330283248</v>
      </c>
      <c r="N86" s="1892">
        <f t="shared" ref="N86:N92" si="14">N85+H86-K86</f>
        <v>308521.06000000093</v>
      </c>
      <c r="O86" s="1892">
        <f t="shared" ref="O86:O92" si="15">O85+J86-M86</f>
        <v>44607.189324762316</v>
      </c>
      <c r="P86" s="1903"/>
      <c r="Q86" s="1894"/>
      <c r="R86" s="1894"/>
      <c r="S86" s="1871">
        <f t="shared" si="12"/>
        <v>44607.193594574936</v>
      </c>
      <c r="T86" s="1777"/>
      <c r="U86" s="1777"/>
      <c r="V86" s="1777"/>
      <c r="W86" s="1777"/>
      <c r="X86" s="1777"/>
      <c r="Y86" s="1777"/>
      <c r="Z86" s="1777"/>
      <c r="AA86" s="1777"/>
      <c r="AB86" s="1777"/>
      <c r="AC86" s="1777"/>
    </row>
    <row r="87" spans="1:29" s="1782" customFormat="1" ht="11.25" customHeight="1">
      <c r="A87" s="1779"/>
      <c r="B87" s="1884">
        <v>46067</v>
      </c>
      <c r="C87" s="669" t="s">
        <v>1407</v>
      </c>
      <c r="D87" s="1885" t="s">
        <v>1460</v>
      </c>
      <c r="E87" s="1886">
        <v>57</v>
      </c>
      <c r="F87" s="1887" t="s">
        <v>146</v>
      </c>
      <c r="G87" s="1888" t="s">
        <v>147</v>
      </c>
      <c r="H87" s="1904"/>
      <c r="I87" s="1905"/>
      <c r="J87" s="1905"/>
      <c r="K87" s="1890">
        <v>74</v>
      </c>
      <c r="L87" s="1891">
        <f>'통장내역(환율표)'!$D$58</f>
        <v>6.916399997777944</v>
      </c>
      <c r="M87" s="1867">
        <f t="shared" si="13"/>
        <v>10.69920768373348</v>
      </c>
      <c r="N87" s="1892">
        <f t="shared" si="14"/>
        <v>308447.06000000093</v>
      </c>
      <c r="O87" s="1892">
        <f t="shared" si="15"/>
        <v>44596.490117078582</v>
      </c>
      <c r="P87" s="1903"/>
      <c r="Q87" s="1894"/>
      <c r="R87" s="1894"/>
      <c r="S87" s="1871">
        <f t="shared" si="12"/>
        <v>44596.494386891201</v>
      </c>
      <c r="T87" s="1777"/>
      <c r="U87" s="1777"/>
      <c r="V87" s="1777"/>
      <c r="W87" s="1777"/>
      <c r="X87" s="1777"/>
      <c r="Y87" s="1777"/>
      <c r="Z87" s="1777"/>
      <c r="AA87" s="1777"/>
      <c r="AB87" s="1777"/>
      <c r="AC87" s="1777"/>
    </row>
    <row r="88" spans="1:29" s="1782" customFormat="1" ht="11.25" customHeight="1">
      <c r="A88" s="1779"/>
      <c r="B88" s="1884">
        <v>46067</v>
      </c>
      <c r="C88" s="669" t="s">
        <v>250</v>
      </c>
      <c r="D88" s="1885" t="s">
        <v>1460</v>
      </c>
      <c r="E88" s="1886">
        <v>58</v>
      </c>
      <c r="F88" s="1887" t="s">
        <v>107</v>
      </c>
      <c r="G88" s="1888"/>
      <c r="H88" s="1889"/>
      <c r="I88" s="1902"/>
      <c r="J88" s="1889"/>
      <c r="K88" s="1890">
        <v>3.6</v>
      </c>
      <c r="L88" s="1891">
        <f>'통장내역(환율표)'!$D$58</f>
        <v>6.916399997777944</v>
      </c>
      <c r="M88" s="1867">
        <f t="shared" si="13"/>
        <v>0.52050199542487197</v>
      </c>
      <c r="N88" s="1892">
        <f t="shared" si="14"/>
        <v>308443.46000000095</v>
      </c>
      <c r="O88" s="1892">
        <f t="shared" si="15"/>
        <v>44595.969615083159</v>
      </c>
      <c r="P88" s="1903"/>
      <c r="Q88" s="1894"/>
      <c r="R88" s="1894"/>
      <c r="S88" s="1871">
        <f t="shared" si="12"/>
        <v>44595.973884895779</v>
      </c>
      <c r="T88" s="1777"/>
      <c r="U88" s="1777"/>
      <c r="V88" s="1777"/>
      <c r="W88" s="1777"/>
      <c r="X88" s="1777"/>
      <c r="Y88" s="1777"/>
      <c r="Z88" s="1777"/>
      <c r="AA88" s="1777"/>
      <c r="AB88" s="1777"/>
      <c r="AC88" s="1777"/>
    </row>
    <row r="89" spans="1:29" s="1782" customFormat="1" ht="11.25" customHeight="1">
      <c r="A89" s="1779"/>
      <c r="B89" s="1909">
        <v>46077</v>
      </c>
      <c r="C89" s="1910" t="s">
        <v>1462</v>
      </c>
      <c r="D89" s="1911"/>
      <c r="E89" s="1912">
        <v>59</v>
      </c>
      <c r="F89" s="1913" t="s">
        <v>107</v>
      </c>
      <c r="G89" s="1914"/>
      <c r="H89" s="1915"/>
      <c r="I89" s="1916"/>
      <c r="J89" s="1915"/>
      <c r="K89" s="1917">
        <v>252460.24</v>
      </c>
      <c r="L89" s="1891">
        <f>'통장내역(환율표)'!$D$58</f>
        <v>6.916399997777944</v>
      </c>
      <c r="M89" s="1867">
        <f t="shared" si="13"/>
        <v>36501.682968178357</v>
      </c>
      <c r="N89" s="1892">
        <f t="shared" si="14"/>
        <v>55983.220000000962</v>
      </c>
      <c r="O89" s="1892">
        <f t="shared" si="15"/>
        <v>8094.2866469048022</v>
      </c>
      <c r="P89" s="1903"/>
      <c r="Q89" s="1894"/>
      <c r="R89" s="1894"/>
      <c r="S89" s="1871">
        <f t="shared" si="12"/>
        <v>8094.2909167174221</v>
      </c>
      <c r="T89" s="1777"/>
      <c r="U89" s="1777"/>
      <c r="V89" s="1777"/>
      <c r="W89" s="1777"/>
      <c r="X89" s="1777"/>
      <c r="Y89" s="1777"/>
      <c r="Z89" s="1777"/>
      <c r="AA89" s="1777"/>
      <c r="AB89" s="1777"/>
      <c r="AC89" s="1777"/>
    </row>
    <row r="90" spans="1:29" s="1782" customFormat="1" ht="11.25" customHeight="1">
      <c r="A90" s="1779"/>
      <c r="B90" s="1909">
        <v>46077</v>
      </c>
      <c r="C90" s="1910" t="s">
        <v>250</v>
      </c>
      <c r="D90" s="1911"/>
      <c r="E90" s="1912">
        <v>60</v>
      </c>
      <c r="F90" s="1913" t="s">
        <v>107</v>
      </c>
      <c r="G90" s="1914"/>
      <c r="H90" s="1915"/>
      <c r="I90" s="1916"/>
      <c r="J90" s="1915"/>
      <c r="K90" s="1917">
        <v>12</v>
      </c>
      <c r="L90" s="1891">
        <f>'통장내역(환율표)'!$D$58</f>
        <v>6.916399997777944</v>
      </c>
      <c r="M90" s="1867">
        <f t="shared" si="13"/>
        <v>1.7350066514162399</v>
      </c>
      <c r="N90" s="1892">
        <f t="shared" si="14"/>
        <v>55971.220000000962</v>
      </c>
      <c r="O90" s="1892">
        <f t="shared" si="15"/>
        <v>8092.5516402533858</v>
      </c>
      <c r="P90" s="1903"/>
      <c r="Q90" s="1894"/>
      <c r="R90" s="1894"/>
      <c r="S90" s="1871">
        <f t="shared" si="12"/>
        <v>8092.5559100660057</v>
      </c>
      <c r="T90" s="1777"/>
      <c r="U90" s="1777"/>
      <c r="V90" s="1777"/>
      <c r="W90" s="1777"/>
      <c r="X90" s="1777"/>
      <c r="Y90" s="1777"/>
      <c r="Z90" s="1777"/>
      <c r="AA90" s="1777"/>
      <c r="AB90" s="1777"/>
      <c r="AC90" s="1777"/>
    </row>
    <row r="91" spans="1:29" s="1782" customFormat="1" ht="11.25" customHeight="1">
      <c r="A91" s="1779"/>
      <c r="B91" s="1909">
        <v>46079</v>
      </c>
      <c r="C91" s="1918" t="s">
        <v>1576</v>
      </c>
      <c r="D91" s="1911"/>
      <c r="E91" s="1912">
        <v>61</v>
      </c>
      <c r="F91" s="1913" t="s">
        <v>146</v>
      </c>
      <c r="G91" s="1914" t="s">
        <v>147</v>
      </c>
      <c r="H91" s="1915"/>
      <c r="I91" s="1916"/>
      <c r="J91" s="1915"/>
      <c r="K91" s="1917">
        <v>550</v>
      </c>
      <c r="L91" s="1891">
        <f>'통장내역(환율표)'!$D$58</f>
        <v>6.916399997777944</v>
      </c>
      <c r="M91" s="1867">
        <f t="shared" si="13"/>
        <v>79.521138189910999</v>
      </c>
      <c r="N91" s="1892">
        <f t="shared" si="14"/>
        <v>55421.220000000962</v>
      </c>
      <c r="O91" s="1892">
        <f t="shared" si="15"/>
        <v>8013.0305020634751</v>
      </c>
      <c r="P91" s="1903"/>
      <c r="Q91" s="1894"/>
      <c r="R91" s="1894" t="s">
        <v>1645</v>
      </c>
      <c r="S91" s="1871">
        <f t="shared" ref="S91:S92" si="16">S90-M91</f>
        <v>8013.034771876095</v>
      </c>
      <c r="T91" s="1777"/>
      <c r="U91" s="1777"/>
      <c r="V91" s="1777"/>
      <c r="W91" s="1777"/>
      <c r="X91" s="1777"/>
      <c r="Y91" s="1777"/>
      <c r="Z91" s="1777"/>
      <c r="AA91" s="1777"/>
      <c r="AB91" s="1777"/>
      <c r="AC91" s="1777"/>
    </row>
    <row r="92" spans="1:29" s="1782" customFormat="1" ht="11.25" customHeight="1">
      <c r="A92" s="1779"/>
      <c r="B92" s="1909">
        <v>46079</v>
      </c>
      <c r="C92" s="1918" t="s">
        <v>250</v>
      </c>
      <c r="D92" s="1911"/>
      <c r="E92" s="1912">
        <v>62</v>
      </c>
      <c r="F92" s="1913" t="s">
        <v>107</v>
      </c>
      <c r="G92" s="1914"/>
      <c r="H92" s="1915"/>
      <c r="I92" s="1916"/>
      <c r="J92" s="1915"/>
      <c r="K92" s="1917">
        <v>3.6</v>
      </c>
      <c r="L92" s="1891">
        <f>'통장내역(환율표)'!$D$58</f>
        <v>6.916399997777944</v>
      </c>
      <c r="M92" s="1867">
        <f t="shared" si="13"/>
        <v>0.52050199542487197</v>
      </c>
      <c r="N92" s="1881">
        <f t="shared" si="14"/>
        <v>55417.620000000963</v>
      </c>
      <c r="O92" s="1881">
        <f t="shared" si="15"/>
        <v>8012.5100000680504</v>
      </c>
      <c r="P92" s="1903"/>
      <c r="Q92" s="1894"/>
      <c r="R92" s="1894"/>
      <c r="S92" s="1926">
        <f t="shared" si="16"/>
        <v>8012.5142698806703</v>
      </c>
      <c r="T92" s="1777"/>
      <c r="U92" s="1777"/>
      <c r="V92" s="1777"/>
      <c r="W92" s="1777"/>
      <c r="X92" s="1777"/>
      <c r="Y92" s="1777"/>
      <c r="Z92" s="1777"/>
      <c r="AA92" s="1777"/>
      <c r="AB92" s="1777"/>
      <c r="AC92" s="1777"/>
    </row>
    <row r="93" spans="1:29" ht="11.25" customHeight="1">
      <c r="H93" s="1919"/>
      <c r="I93" s="1919"/>
      <c r="J93" s="1919"/>
      <c r="K93" s="1919"/>
      <c r="L93" s="1919"/>
      <c r="R93" s="1777"/>
      <c r="S93" s="1777"/>
    </row>
    <row r="94" spans="1:29" ht="11.25" customHeight="1">
      <c r="H94" s="1919"/>
      <c r="I94" s="1919"/>
      <c r="J94" s="1920"/>
      <c r="K94" s="1921"/>
      <c r="L94" s="1919"/>
      <c r="R94" s="1777"/>
      <c r="S94" s="1777"/>
    </row>
    <row r="95" spans="1:29" ht="11.25" customHeight="1">
      <c r="H95" s="1919"/>
      <c r="I95" s="1919"/>
      <c r="J95" s="1920"/>
      <c r="K95" s="1921"/>
      <c r="L95" s="1919"/>
    </row>
    <row r="96" spans="1:29" ht="11.25" customHeight="1">
      <c r="K96" s="1921"/>
    </row>
    <row r="97" spans="11:11" ht="11.25" customHeight="1">
      <c r="K97" s="1921"/>
    </row>
    <row r="98" spans="11:11" ht="11.25" customHeight="1">
      <c r="K98" s="1921"/>
    </row>
    <row r="99" spans="11:11" ht="11.25" customHeight="1">
      <c r="K99" s="1921"/>
    </row>
    <row r="100" spans="11:11" ht="11.25" customHeight="1">
      <c r="K100" s="1921"/>
    </row>
    <row r="101" spans="11:11" ht="11.25" customHeight="1">
      <c r="K101" s="1921"/>
    </row>
    <row r="102" spans="11:11" ht="11.25" customHeight="1">
      <c r="K102" s="1921"/>
    </row>
    <row r="103" spans="11:11" ht="11.25" customHeight="1">
      <c r="K103" s="1921"/>
    </row>
    <row r="104" spans="11:11" ht="11.25" customHeight="1">
      <c r="K104" s="1921"/>
    </row>
    <row r="105" spans="11:11" ht="11.25" customHeight="1">
      <c r="K105" s="1921"/>
    </row>
    <row r="106" spans="11:11" ht="11.25" customHeight="1">
      <c r="K106" s="1921"/>
    </row>
  </sheetData>
  <autoFilter ref="B19:R92" xr:uid="{00000000-0009-0000-0000-000001000000}">
    <filterColumn colId="14" showButton="0"/>
    <sortState xmlns:xlrd2="http://schemas.microsoft.com/office/spreadsheetml/2017/richdata2" ref="B20:R92">
      <sortCondition sortBy="cellColor" ref="M19:M92" dxfId="3"/>
    </sortState>
  </autoFilter>
  <mergeCells count="5">
    <mergeCell ref="H18:J18"/>
    <mergeCell ref="K18:M18"/>
    <mergeCell ref="N18:O18"/>
    <mergeCell ref="P18:Q18"/>
    <mergeCell ref="P19:Q19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8167-534B-4F83-A630-57FB3994B82C}">
  <sheetPr>
    <tabColor rgb="FFFFC000"/>
  </sheetPr>
  <dimension ref="A1:AC111"/>
  <sheetViews>
    <sheetView showGridLines="0" zoomScale="85" zoomScaleNormal="85" workbookViewId="0">
      <selection activeCell="E15" sqref="E15"/>
    </sheetView>
  </sheetViews>
  <sheetFormatPr defaultColWidth="9" defaultRowHeight="11.25" customHeight="1"/>
  <cols>
    <col min="1" max="1" width="1.69921875" style="1779" customWidth="1"/>
    <col min="2" max="2" width="9.69921875" style="1832" customWidth="1"/>
    <col min="3" max="3" width="24" style="1781" customWidth="1"/>
    <col min="4" max="4" width="15.69921875" style="1777" customWidth="1"/>
    <col min="5" max="5" width="8.5" style="1777" customWidth="1"/>
    <col min="6" max="6" width="15.09765625" style="1777" customWidth="1"/>
    <col min="7" max="7" width="9.796875" style="1782" customWidth="1"/>
    <col min="8" max="8" width="9.69921875" style="1777" customWidth="1"/>
    <col min="9" max="9" width="13.19921875" style="1777" bestFit="1" customWidth="1"/>
    <col min="10" max="10" width="10.5" style="1782" customWidth="1"/>
    <col min="11" max="11" width="11" style="1830" customWidth="1"/>
    <col min="12" max="12" width="11.09765625" style="1777" customWidth="1"/>
    <col min="13" max="13" width="13" style="1777" bestFit="1" customWidth="1"/>
    <col min="14" max="14" width="12.296875" style="1777" customWidth="1"/>
    <col min="15" max="15" width="13.19921875" style="1777" bestFit="1" customWidth="1"/>
    <col min="16" max="16" width="11.69921875" style="1777" customWidth="1"/>
    <col min="17" max="17" width="9.59765625" style="1777" customWidth="1"/>
    <col min="18" max="18" width="16" style="1782" customWidth="1"/>
    <col min="19" max="19" width="10.69921875" style="1787" bestFit="1" customWidth="1"/>
    <col min="20" max="20" width="9" style="1777"/>
    <col min="21" max="21" width="16.19921875" style="1778" bestFit="1" customWidth="1"/>
    <col min="22" max="22" width="11.796875" style="1777" bestFit="1" customWidth="1"/>
    <col min="23" max="23" width="9" style="1777"/>
    <col min="24" max="25" width="10.69921875" style="1777" customWidth="1"/>
    <col min="26" max="27" width="9" style="1777"/>
    <col min="28" max="28" width="13.09765625" style="1777" bestFit="1" customWidth="1"/>
    <col min="29" max="29" width="10.59765625" style="1777" bestFit="1" customWidth="1"/>
    <col min="30" max="16384" width="9" style="1777"/>
  </cols>
  <sheetData>
    <row r="1" spans="1:24" ht="1.5" customHeight="1">
      <c r="A1" s="1764"/>
      <c r="B1" s="1765"/>
      <c r="C1" s="1766"/>
      <c r="D1" s="1767"/>
      <c r="E1" s="1768"/>
      <c r="F1" s="1768"/>
      <c r="G1" s="1769"/>
      <c r="H1" s="1774"/>
      <c r="I1" s="1774"/>
      <c r="J1" s="1775"/>
      <c r="K1" s="1776"/>
      <c r="M1" s="1778"/>
      <c r="R1" s="1777"/>
      <c r="S1" s="1777"/>
      <c r="U1" s="1777"/>
    </row>
    <row r="2" spans="1:24" ht="15" customHeight="1">
      <c r="B2" s="1780" t="s">
        <v>1665</v>
      </c>
      <c r="D2" s="1781"/>
      <c r="F2" s="139">
        <v>100000301</v>
      </c>
      <c r="G2" s="1782" t="s">
        <v>1047</v>
      </c>
      <c r="K2" s="1787">
        <v>6696.99</v>
      </c>
      <c r="R2" s="1777"/>
      <c r="S2" s="1777"/>
      <c r="U2" s="1777"/>
    </row>
    <row r="3" spans="1:24" s="1792" customFormat="1" ht="11.25" customHeight="1">
      <c r="A3" s="1788"/>
      <c r="B3" s="1789" t="s">
        <v>1675</v>
      </c>
      <c r="C3" s="1790"/>
      <c r="D3" s="1790"/>
      <c r="E3" s="1790"/>
      <c r="F3" s="1791">
        <v>1451.2</v>
      </c>
      <c r="H3" s="1789" t="s">
        <v>1674</v>
      </c>
      <c r="I3" s="1790"/>
      <c r="K3" s="1933"/>
      <c r="L3" s="1791">
        <v>1467.3</v>
      </c>
      <c r="M3" s="1953"/>
      <c r="N3" s="1789" t="s">
        <v>1673</v>
      </c>
      <c r="O3" s="1790"/>
      <c r="Q3" s="1933">
        <v>2891.6777523604001</v>
      </c>
      <c r="R3" s="1791">
        <v>1479.8</v>
      </c>
      <c r="S3" s="1793"/>
      <c r="T3" s="1793"/>
    </row>
    <row r="4" spans="1:24" ht="11.25" customHeight="1">
      <c r="A4" s="1764"/>
      <c r="B4" s="1796" t="s">
        <v>1</v>
      </c>
      <c r="C4" s="1797" t="s">
        <v>2</v>
      </c>
      <c r="D4" s="1798" t="s">
        <v>1049</v>
      </c>
      <c r="E4" s="1799" t="s">
        <v>1050</v>
      </c>
      <c r="F4" s="1800" t="s">
        <v>1051</v>
      </c>
      <c r="G4" s="1971"/>
      <c r="H4" s="1796" t="s">
        <v>1</v>
      </c>
      <c r="I4" s="1797" t="s">
        <v>2</v>
      </c>
      <c r="J4" s="1798" t="s">
        <v>1049</v>
      </c>
      <c r="K4" s="1799" t="s">
        <v>1050</v>
      </c>
      <c r="L4" s="1800" t="s">
        <v>1051</v>
      </c>
      <c r="M4" s="1976"/>
      <c r="N4" s="1796" t="s">
        <v>1</v>
      </c>
      <c r="O4" s="1797" t="s">
        <v>2</v>
      </c>
      <c r="P4" s="1798" t="s">
        <v>1049</v>
      </c>
      <c r="Q4" s="1799" t="s">
        <v>1050</v>
      </c>
      <c r="R4" s="1800" t="s">
        <v>1051</v>
      </c>
      <c r="S4" s="1793"/>
      <c r="T4" s="1793"/>
      <c r="U4" s="1777"/>
      <c r="V4" s="1777" t="s">
        <v>1266</v>
      </c>
      <c r="W4" s="1777" t="s">
        <v>1267</v>
      </c>
      <c r="X4" s="1777" t="s">
        <v>1672</v>
      </c>
    </row>
    <row r="5" spans="1:24" ht="11.25" customHeight="1">
      <c r="A5" s="1787">
        <v>51131050</v>
      </c>
      <c r="B5" s="1801" t="s">
        <v>1052</v>
      </c>
      <c r="C5" s="1802" t="s">
        <v>12</v>
      </c>
      <c r="D5" s="1803">
        <v>1558.2</v>
      </c>
      <c r="E5" s="1804">
        <v>225.29</v>
      </c>
      <c r="F5" s="1805">
        <f>ROUND(E5*$F$3,0)</f>
        <v>326941</v>
      </c>
      <c r="G5" s="1971"/>
      <c r="H5" s="1806" t="s">
        <v>11</v>
      </c>
      <c r="I5" s="1806" t="s">
        <v>12</v>
      </c>
      <c r="J5" s="1803">
        <v>14159.8</v>
      </c>
      <c r="K5" s="1938">
        <v>2063.2199999999998</v>
      </c>
      <c r="L5" s="1807">
        <f t="shared" ref="L5:L11" si="0">ROUND(K5*$L$3,0)</f>
        <v>3027363</v>
      </c>
      <c r="M5" s="1977">
        <v>51131050</v>
      </c>
      <c r="N5" s="1806" t="s">
        <v>11</v>
      </c>
      <c r="O5" s="1806" t="s">
        <v>12</v>
      </c>
      <c r="P5" s="1803">
        <v>1878</v>
      </c>
      <c r="Q5" s="1938">
        <v>273.20999999999998</v>
      </c>
      <c r="R5" s="1807">
        <f t="shared" ref="R5:R10" si="1">ROUND(Q5*$R$3,0)</f>
        <v>404296</v>
      </c>
      <c r="S5" s="1793"/>
      <c r="T5" s="1793"/>
      <c r="U5" s="1777"/>
      <c r="V5" s="1803">
        <f t="shared" ref="V5:V13" si="2">+D5+J5+P5</f>
        <v>17596</v>
      </c>
      <c r="W5" s="1938">
        <f t="shared" ref="W5:W13" si="3">+E5+K5+Q5</f>
        <v>2561.7199999999998</v>
      </c>
      <c r="X5" s="1807">
        <f t="shared" ref="X5:X13" si="4">+F5+L5+R5</f>
        <v>3758600</v>
      </c>
    </row>
    <row r="6" spans="1:24" ht="11.25" customHeight="1">
      <c r="A6" s="1787">
        <v>51061030</v>
      </c>
      <c r="B6" s="1801" t="s">
        <v>1053</v>
      </c>
      <c r="C6" s="1802" t="s">
        <v>1054</v>
      </c>
      <c r="D6" s="1803">
        <v>8446.7999999999993</v>
      </c>
      <c r="E6" s="1803">
        <v>1221.28</v>
      </c>
      <c r="F6" s="1805">
        <f t="shared" ref="F6:F10" si="5">ROUND(E6*$F$3,0)</f>
        <v>1772322</v>
      </c>
      <c r="G6" s="1971"/>
      <c r="H6" s="1806" t="s">
        <v>13</v>
      </c>
      <c r="I6" s="1806" t="s">
        <v>14</v>
      </c>
      <c r="J6" s="1803">
        <v>20833.86</v>
      </c>
      <c r="K6" s="1938">
        <v>3035.7</v>
      </c>
      <c r="L6" s="1807">
        <f t="shared" si="0"/>
        <v>4454283</v>
      </c>
      <c r="M6" s="1977">
        <v>51061030</v>
      </c>
      <c r="N6" s="1806" t="s">
        <v>13</v>
      </c>
      <c r="O6" s="1806" t="s">
        <v>14</v>
      </c>
      <c r="P6" s="1803">
        <v>15925.310000000001</v>
      </c>
      <c r="Q6" s="1938">
        <v>2316.7800000000002</v>
      </c>
      <c r="R6" s="1807">
        <f t="shared" si="1"/>
        <v>3428371</v>
      </c>
      <c r="S6" s="1793"/>
      <c r="T6" s="1793"/>
      <c r="U6" s="1777"/>
      <c r="V6" s="1803">
        <f t="shared" si="2"/>
        <v>45205.97</v>
      </c>
      <c r="W6" s="1938">
        <f t="shared" si="3"/>
        <v>6573.76</v>
      </c>
      <c r="X6" s="1807">
        <f t="shared" si="4"/>
        <v>9654976</v>
      </c>
    </row>
    <row r="7" spans="1:24" ht="11.25" customHeight="1">
      <c r="A7" s="1787">
        <v>51201020</v>
      </c>
      <c r="B7" s="1801" t="s">
        <v>15</v>
      </c>
      <c r="C7" s="1802" t="s">
        <v>180</v>
      </c>
      <c r="D7" s="1803">
        <v>3030</v>
      </c>
      <c r="E7" s="1803">
        <v>438.09</v>
      </c>
      <c r="F7" s="1805">
        <f t="shared" si="5"/>
        <v>635756</v>
      </c>
      <c r="G7" s="1971"/>
      <c r="H7" s="1806" t="s">
        <v>15</v>
      </c>
      <c r="I7" s="1806" t="s">
        <v>1055</v>
      </c>
      <c r="J7" s="1810"/>
      <c r="K7" s="1938"/>
      <c r="L7" s="1807">
        <f t="shared" si="0"/>
        <v>0</v>
      </c>
      <c r="M7" s="1977">
        <v>51201020</v>
      </c>
      <c r="N7" s="1806" t="s">
        <v>15</v>
      </c>
      <c r="O7" s="1806" t="s">
        <v>1055</v>
      </c>
      <c r="P7" s="1810"/>
      <c r="Q7" s="1938"/>
      <c r="R7" s="1807">
        <f t="shared" si="1"/>
        <v>0</v>
      </c>
      <c r="S7" s="1793"/>
      <c r="T7" s="1793"/>
      <c r="U7" s="1777"/>
      <c r="V7" s="1803">
        <f t="shared" si="2"/>
        <v>3030</v>
      </c>
      <c r="W7" s="1938">
        <f t="shared" si="3"/>
        <v>438.09</v>
      </c>
      <c r="X7" s="1807">
        <f t="shared" si="4"/>
        <v>635756</v>
      </c>
    </row>
    <row r="8" spans="1:24" ht="13.05" customHeight="1">
      <c r="A8" s="1787">
        <v>51201030</v>
      </c>
      <c r="B8" s="1801" t="s">
        <v>1056</v>
      </c>
      <c r="C8" s="1802" t="s">
        <v>17</v>
      </c>
      <c r="D8" s="1803">
        <v>20000</v>
      </c>
      <c r="E8" s="1803">
        <v>2891.68</v>
      </c>
      <c r="F8" s="1805">
        <f t="shared" si="5"/>
        <v>4196406</v>
      </c>
      <c r="G8" s="1971"/>
      <c r="H8" s="1806" t="s">
        <v>15</v>
      </c>
      <c r="I8" s="1802" t="s">
        <v>17</v>
      </c>
      <c r="J8" s="1810"/>
      <c r="K8" s="1938"/>
      <c r="L8" s="1807">
        <f t="shared" si="0"/>
        <v>0</v>
      </c>
      <c r="M8" s="1977">
        <v>51201030</v>
      </c>
      <c r="N8" s="1806" t="s">
        <v>15</v>
      </c>
      <c r="O8" s="1802" t="s">
        <v>17</v>
      </c>
      <c r="P8" s="1810"/>
      <c r="Q8" s="1938"/>
      <c r="R8" s="1807">
        <f t="shared" si="1"/>
        <v>0</v>
      </c>
      <c r="S8" s="1793"/>
      <c r="T8" s="1793"/>
      <c r="U8" s="1777"/>
      <c r="V8" s="1803">
        <f t="shared" si="2"/>
        <v>20000</v>
      </c>
      <c r="W8" s="1938">
        <f t="shared" si="3"/>
        <v>2891.68</v>
      </c>
      <c r="X8" s="1807">
        <f t="shared" si="4"/>
        <v>4196406</v>
      </c>
    </row>
    <row r="9" spans="1:24" ht="11.25" customHeight="1">
      <c r="A9" s="1787">
        <v>51071700</v>
      </c>
      <c r="B9" s="1801" t="s">
        <v>19</v>
      </c>
      <c r="C9" s="1802" t="s">
        <v>20</v>
      </c>
      <c r="D9" s="1803">
        <v>1336.47</v>
      </c>
      <c r="E9" s="1803">
        <v>193.23</v>
      </c>
      <c r="F9" s="1805">
        <f t="shared" si="5"/>
        <v>280415</v>
      </c>
      <c r="G9" s="1971"/>
      <c r="H9" s="1806" t="s">
        <v>19</v>
      </c>
      <c r="I9" s="1802" t="s">
        <v>20</v>
      </c>
      <c r="J9" s="1810">
        <v>813.84999999999991</v>
      </c>
      <c r="K9" s="1938">
        <v>118.59</v>
      </c>
      <c r="L9" s="1807">
        <f t="shared" si="0"/>
        <v>174007</v>
      </c>
      <c r="M9" s="1977">
        <v>51071700</v>
      </c>
      <c r="N9" s="1806" t="s">
        <v>19</v>
      </c>
      <c r="O9" s="1802" t="s">
        <v>20</v>
      </c>
      <c r="P9" s="1810">
        <v>773.41</v>
      </c>
      <c r="Q9" s="1938">
        <v>112.51</v>
      </c>
      <c r="R9" s="1807">
        <f t="shared" si="1"/>
        <v>166492</v>
      </c>
      <c r="S9" s="1793"/>
      <c r="T9" s="1793"/>
      <c r="U9" s="1777"/>
      <c r="V9" s="1803">
        <f t="shared" si="2"/>
        <v>2923.7299999999996</v>
      </c>
      <c r="W9" s="1938">
        <f t="shared" si="3"/>
        <v>424.33</v>
      </c>
      <c r="X9" s="1807">
        <f t="shared" si="4"/>
        <v>620914</v>
      </c>
    </row>
    <row r="10" spans="1:24" ht="11.25" customHeight="1">
      <c r="A10" s="1787">
        <v>51321010</v>
      </c>
      <c r="B10" s="1801" t="s">
        <v>21</v>
      </c>
      <c r="C10" s="1802"/>
      <c r="D10" s="1803">
        <v>21088.719999999998</v>
      </c>
      <c r="E10" s="1803">
        <v>3049.09</v>
      </c>
      <c r="F10" s="1805">
        <f t="shared" si="5"/>
        <v>4424839</v>
      </c>
      <c r="G10" s="1971"/>
      <c r="H10" s="1806" t="s">
        <v>21</v>
      </c>
      <c r="I10" s="1806"/>
      <c r="J10" s="1803">
        <v>10708.000000000002</v>
      </c>
      <c r="K10" s="1938">
        <v>1560.26</v>
      </c>
      <c r="L10" s="1807">
        <f t="shared" si="0"/>
        <v>2289369</v>
      </c>
      <c r="M10" s="1978">
        <v>51321010</v>
      </c>
      <c r="N10" s="1806" t="s">
        <v>21</v>
      </c>
      <c r="O10" s="1806"/>
      <c r="P10" s="1803">
        <v>345450.12</v>
      </c>
      <c r="Q10" s="1938">
        <v>50280.33</v>
      </c>
      <c r="R10" s="1807">
        <f t="shared" si="1"/>
        <v>74404832</v>
      </c>
      <c r="S10" s="1793"/>
      <c r="T10" s="1793"/>
      <c r="U10" s="1777"/>
      <c r="V10" s="1803">
        <f t="shared" si="2"/>
        <v>377246.83999999997</v>
      </c>
      <c r="W10" s="1938">
        <f t="shared" si="3"/>
        <v>54889.68</v>
      </c>
      <c r="X10" s="1807">
        <f t="shared" si="4"/>
        <v>81119040</v>
      </c>
    </row>
    <row r="11" spans="1:24" ht="11.25" customHeight="1">
      <c r="A11" s="1787"/>
      <c r="B11" s="1801"/>
      <c r="C11" s="1802"/>
      <c r="D11" s="1803"/>
      <c r="E11" s="1803"/>
      <c r="F11" s="1805"/>
      <c r="G11" s="1971"/>
      <c r="H11" s="1806" t="s">
        <v>1670</v>
      </c>
      <c r="I11" s="1806" t="s">
        <v>140</v>
      </c>
      <c r="J11" s="1803">
        <v>1484.49</v>
      </c>
      <c r="K11" s="1938">
        <v>216.3</v>
      </c>
      <c r="L11" s="1807">
        <f t="shared" si="0"/>
        <v>317377</v>
      </c>
      <c r="M11" s="1979">
        <v>51101700</v>
      </c>
      <c r="N11" s="1806" t="s">
        <v>1670</v>
      </c>
      <c r="O11" s="1806" t="s">
        <v>140</v>
      </c>
      <c r="P11" s="1803"/>
      <c r="Q11" s="1938"/>
      <c r="R11" s="1807"/>
      <c r="S11" s="1793"/>
      <c r="T11" s="1793"/>
      <c r="U11" s="1777"/>
      <c r="V11" s="1803">
        <f t="shared" si="2"/>
        <v>1484.49</v>
      </c>
      <c r="W11" s="1938">
        <f t="shared" si="3"/>
        <v>216.3</v>
      </c>
      <c r="X11" s="1807">
        <f t="shared" si="4"/>
        <v>317377</v>
      </c>
    </row>
    <row r="12" spans="1:24" ht="10.5" customHeight="1">
      <c r="A12" s="1787">
        <v>51031020</v>
      </c>
      <c r="B12" s="1811" t="s">
        <v>1057</v>
      </c>
      <c r="C12" s="1812" t="s">
        <v>1058</v>
      </c>
      <c r="D12" s="1811"/>
      <c r="E12" s="1811"/>
      <c r="F12" s="1813"/>
      <c r="G12" s="1971"/>
      <c r="H12" s="1811" t="s">
        <v>1057</v>
      </c>
      <c r="I12" s="1811" t="s">
        <v>1279</v>
      </c>
      <c r="J12" s="1814"/>
      <c r="K12" s="1815"/>
      <c r="L12" s="1816">
        <f>ROUND(K12*$R$3,0)</f>
        <v>0</v>
      </c>
      <c r="M12" s="1980"/>
      <c r="N12" s="1811" t="s">
        <v>1057</v>
      </c>
      <c r="O12" s="1811" t="s">
        <v>1279</v>
      </c>
      <c r="P12" s="1814"/>
      <c r="Q12" s="1815"/>
      <c r="R12" s="1816">
        <f>ROUND(Q12*$R$3,0)</f>
        <v>0</v>
      </c>
      <c r="S12" s="1793"/>
      <c r="T12" s="1793"/>
      <c r="U12" s="1777"/>
      <c r="V12" s="1803">
        <f t="shared" si="2"/>
        <v>0</v>
      </c>
      <c r="W12" s="1938">
        <f t="shared" si="3"/>
        <v>0</v>
      </c>
      <c r="X12" s="1807">
        <f t="shared" si="4"/>
        <v>0</v>
      </c>
    </row>
    <row r="13" spans="1:24" ht="11.25" customHeight="1">
      <c r="A13" s="1787">
        <v>52981010</v>
      </c>
      <c r="B13" s="1806" t="s">
        <v>1651</v>
      </c>
      <c r="C13" s="1802" t="s">
        <v>1060</v>
      </c>
      <c r="D13" s="1803">
        <v>42.57</v>
      </c>
      <c r="E13" s="2016">
        <v>6.1549360958991111</v>
      </c>
      <c r="F13" s="1805">
        <v>8925</v>
      </c>
      <c r="G13" s="1971"/>
      <c r="H13" s="1806" t="s">
        <v>1651</v>
      </c>
      <c r="I13" s="1806" t="s">
        <v>1060</v>
      </c>
      <c r="J13" s="1817"/>
      <c r="K13" s="1803"/>
      <c r="L13" s="1807">
        <f>ROUND(K13*$R$3,0)</f>
        <v>0</v>
      </c>
      <c r="M13" s="1980">
        <v>52981010</v>
      </c>
      <c r="N13" s="1806" t="s">
        <v>1651</v>
      </c>
      <c r="O13" s="1806" t="s">
        <v>1060</v>
      </c>
      <c r="P13" s="1817"/>
      <c r="Q13" s="1803"/>
      <c r="R13" s="1807">
        <f>ROUND(Q13*$R$3,0)</f>
        <v>0</v>
      </c>
      <c r="S13" s="1793"/>
      <c r="T13" s="1793"/>
      <c r="U13" s="1777"/>
      <c r="V13" s="1803">
        <f t="shared" si="2"/>
        <v>42.57</v>
      </c>
      <c r="W13" s="1938">
        <f t="shared" si="3"/>
        <v>6.1549360958991111</v>
      </c>
      <c r="X13" s="1807">
        <f t="shared" si="4"/>
        <v>8925</v>
      </c>
    </row>
    <row r="14" spans="1:24" s="1782" customFormat="1" ht="15.6">
      <c r="A14" s="1819"/>
      <c r="B14" s="1820" t="s">
        <v>22</v>
      </c>
      <c r="C14" s="1821"/>
      <c r="D14" s="1822">
        <f>SUM(D5:D12)</f>
        <v>55460.19</v>
      </c>
      <c r="E14" s="1822">
        <f>SUM(E5:E12)</f>
        <v>8018.66</v>
      </c>
      <c r="F14" s="1823">
        <f>SUM(F5:F12)</f>
        <v>11636679</v>
      </c>
      <c r="G14" s="1971"/>
      <c r="H14" s="1824" t="s">
        <v>22</v>
      </c>
      <c r="I14" s="1825"/>
      <c r="J14" s="1822">
        <f>SUM(J5:J12)-J13</f>
        <v>48000</v>
      </c>
      <c r="K14" s="1799">
        <f>SUM(K5:K12)-K13</f>
        <v>6994.0700000000006</v>
      </c>
      <c r="L14" s="1826">
        <f>SUM(L5:L12)-L13</f>
        <v>10262399</v>
      </c>
      <c r="M14" s="1980"/>
      <c r="N14" s="1824" t="s">
        <v>22</v>
      </c>
      <c r="O14" s="1825"/>
      <c r="P14" s="1822">
        <f>SUM(P5:P12)-P13</f>
        <v>364026.83999999997</v>
      </c>
      <c r="Q14" s="1799">
        <f>SUM(Q5:Q12)-Q13</f>
        <v>52982.83</v>
      </c>
      <c r="R14" s="1826">
        <f>SUM(R5:R12)-R13</f>
        <v>78403991</v>
      </c>
      <c r="S14" s="1793"/>
      <c r="T14" s="1793"/>
    </row>
    <row r="15" spans="1:24" ht="15.6">
      <c r="A15" s="1764"/>
      <c r="D15" s="1833">
        <f>D14-D13</f>
        <v>55417.62</v>
      </c>
      <c r="E15" s="2015">
        <f>E14-E13</f>
        <v>8012.505063904101</v>
      </c>
      <c r="F15" s="1833">
        <f>F14-F13</f>
        <v>11627754</v>
      </c>
      <c r="G15" s="1972"/>
      <c r="O15" s="227"/>
      <c r="P15" s="1835">
        <f>+D14+P14+J14</f>
        <v>467487.02999999997</v>
      </c>
      <c r="Q15" s="1835">
        <f>+E14+Q14+K14</f>
        <v>67995.560000000012</v>
      </c>
      <c r="R15" s="1836">
        <f>+F14+R14+L14</f>
        <v>100303069</v>
      </c>
      <c r="S15" s="1793"/>
      <c r="T15" s="1793"/>
      <c r="U15" s="1777"/>
    </row>
    <row r="16" spans="1:24" ht="11.1" customHeight="1">
      <c r="A16" s="1764"/>
      <c r="C16" s="1781" t="s">
        <v>1671</v>
      </c>
      <c r="D16" s="1833">
        <v>48000</v>
      </c>
      <c r="E16" s="1833">
        <v>6940.0266056649598</v>
      </c>
      <c r="F16" s="1833"/>
      <c r="G16" s="1954">
        <v>13081010</v>
      </c>
      <c r="H16" s="1777" t="s">
        <v>1649</v>
      </c>
      <c r="J16" s="1827"/>
      <c r="K16" s="1827"/>
      <c r="L16" s="1827"/>
      <c r="M16" s="1838"/>
      <c r="N16" s="1787"/>
      <c r="P16" s="1778"/>
      <c r="R16" s="1777"/>
      <c r="S16" s="227"/>
      <c r="T16" s="227"/>
      <c r="U16" s="1777"/>
      <c r="W16" s="227"/>
      <c r="X16" s="1782"/>
    </row>
    <row r="17" spans="1:29" ht="11.1" customHeight="1">
      <c r="A17" s="1764"/>
      <c r="D17" s="1833"/>
      <c r="E17" s="1833"/>
      <c r="F17" s="1833"/>
      <c r="G17" s="1955"/>
      <c r="J17" s="1837"/>
      <c r="K17" s="1839"/>
      <c r="L17" s="1840"/>
      <c r="M17" s="1827"/>
      <c r="O17" s="1838"/>
      <c r="P17" s="1787"/>
      <c r="R17" s="1778"/>
      <c r="S17" s="1777"/>
      <c r="U17" s="227"/>
      <c r="V17" s="227"/>
      <c r="Y17" s="227"/>
      <c r="Z17" s="1782"/>
    </row>
    <row r="18" spans="1:29" ht="11.1" customHeight="1">
      <c r="A18" s="1764"/>
      <c r="D18" s="1781"/>
      <c r="E18" s="197"/>
      <c r="F18" s="197"/>
      <c r="G18" s="1834"/>
      <c r="I18" s="227"/>
      <c r="J18" s="1831"/>
      <c r="K18" s="1841">
        <f>SUBTOTAL(9,K21:K99)</f>
        <v>467487.03000000009</v>
      </c>
      <c r="L18" s="137"/>
      <c r="M18" s="1841">
        <f>SUBTOTAL(9,M21:M99)</f>
        <v>67995.562197349456</v>
      </c>
      <c r="N18" s="227"/>
      <c r="O18" s="1782"/>
      <c r="P18" s="1787"/>
      <c r="R18" s="1777"/>
      <c r="S18" s="1777"/>
      <c r="U18" s="1777"/>
    </row>
    <row r="19" spans="1:29" ht="11.55" customHeight="1">
      <c r="A19" s="1764"/>
      <c r="B19" s="1842" t="s">
        <v>24</v>
      </c>
      <c r="C19" s="1843" t="s">
        <v>25</v>
      </c>
      <c r="D19" s="1936" t="s">
        <v>1061</v>
      </c>
      <c r="E19" s="1845" t="s">
        <v>26</v>
      </c>
      <c r="F19" s="1936" t="s">
        <v>1</v>
      </c>
      <c r="G19" s="1846" t="s">
        <v>2</v>
      </c>
      <c r="H19" s="2101" t="s">
        <v>29</v>
      </c>
      <c r="I19" s="2101"/>
      <c r="J19" s="2101"/>
      <c r="K19" s="2101" t="s">
        <v>30</v>
      </c>
      <c r="L19" s="2101"/>
      <c r="M19" s="2102"/>
      <c r="N19" s="2103" t="s">
        <v>31</v>
      </c>
      <c r="O19" s="2103"/>
      <c r="P19" s="2104"/>
      <c r="Q19" s="2104"/>
      <c r="R19" s="1846" t="s">
        <v>1062</v>
      </c>
      <c r="U19" s="1777"/>
    </row>
    <row r="20" spans="1:29" ht="11.1" customHeight="1">
      <c r="A20" s="1764"/>
      <c r="B20" s="1847" t="s">
        <v>1063</v>
      </c>
      <c r="C20" s="1848" t="s">
        <v>1064</v>
      </c>
      <c r="D20" s="1937" t="s">
        <v>1065</v>
      </c>
      <c r="E20" s="1850" t="s">
        <v>1066</v>
      </c>
      <c r="F20" s="1851" t="s">
        <v>1067</v>
      </c>
      <c r="G20" s="1852" t="s">
        <v>1068</v>
      </c>
      <c r="H20" s="1853" t="s">
        <v>1069</v>
      </c>
      <c r="I20" s="1853" t="s">
        <v>1070</v>
      </c>
      <c r="J20" s="1854" t="s">
        <v>34</v>
      </c>
      <c r="K20" s="1854" t="s">
        <v>1069</v>
      </c>
      <c r="L20" s="1853" t="s">
        <v>1070</v>
      </c>
      <c r="M20" s="1855" t="s">
        <v>34</v>
      </c>
      <c r="N20" s="1935" t="s">
        <v>1069</v>
      </c>
      <c r="O20" s="1935" t="s">
        <v>34</v>
      </c>
      <c r="P20" s="2105" t="s">
        <v>32</v>
      </c>
      <c r="Q20" s="2105"/>
      <c r="R20" s="1857" t="s">
        <v>1062</v>
      </c>
      <c r="U20" s="1777"/>
    </row>
    <row r="21" spans="1:29" ht="11.25" customHeight="1">
      <c r="B21" s="1939">
        <v>46081</v>
      </c>
      <c r="C21" s="1940"/>
      <c r="D21" s="1941"/>
      <c r="E21" s="1940"/>
      <c r="F21" s="1942"/>
      <c r="G21" s="1943"/>
      <c r="H21" s="1944"/>
      <c r="I21" s="1941"/>
      <c r="J21" s="1943"/>
      <c r="K21" s="1945"/>
      <c r="L21" s="1946"/>
      <c r="M21" s="1947"/>
      <c r="N21" s="1948">
        <v>55417.620000000963</v>
      </c>
      <c r="O21" s="1948">
        <v>8012.5100000680504</v>
      </c>
      <c r="P21" s="1949"/>
      <c r="Q21" s="1940"/>
      <c r="R21" s="1950"/>
      <c r="S21" s="1951">
        <v>8012.51</v>
      </c>
      <c r="U21" s="1777"/>
    </row>
    <row r="22" spans="1:29" s="1778" customFormat="1" ht="11.25" customHeight="1">
      <c r="A22" s="1779"/>
      <c r="B22" s="1884">
        <v>46093</v>
      </c>
      <c r="C22" s="1897" t="s">
        <v>1655</v>
      </c>
      <c r="D22" s="1885"/>
      <c r="E22" s="1886">
        <v>1</v>
      </c>
      <c r="F22" s="1887" t="s">
        <v>1667</v>
      </c>
      <c r="G22" s="1888"/>
      <c r="H22" s="1889">
        <v>48000</v>
      </c>
      <c r="I22" s="1891">
        <f>+H22/J22</f>
        <v>6.8629567619426171</v>
      </c>
      <c r="J22" s="1889">
        <v>6994.07</v>
      </c>
      <c r="K22" s="639"/>
      <c r="L22" s="1891"/>
      <c r="M22" s="1867"/>
      <c r="N22" s="1892">
        <f t="shared" ref="N22" si="6">N21+H22-K22</f>
        <v>103417.62000000096</v>
      </c>
      <c r="O22" s="1892">
        <f t="shared" ref="O22" si="7">O21+J22-M22</f>
        <v>15006.58000006805</v>
      </c>
      <c r="P22" s="1893" t="s">
        <v>1664</v>
      </c>
      <c r="Q22" s="1896"/>
      <c r="R22" s="1896"/>
      <c r="S22" s="1871">
        <f t="shared" ref="S22:S23" si="8">S21-M22</f>
        <v>8012.51</v>
      </c>
      <c r="T22" s="1777"/>
      <c r="U22" s="1777"/>
      <c r="V22" s="1777"/>
      <c r="W22" s="1777"/>
      <c r="X22" s="1777"/>
      <c r="Y22" s="1777"/>
      <c r="Z22" s="1777"/>
      <c r="AA22" s="1777"/>
      <c r="AB22" s="1777"/>
      <c r="AC22" s="1777"/>
    </row>
    <row r="23" spans="1:29" s="1778" customFormat="1" ht="11.25" customHeight="1">
      <c r="A23" s="1779"/>
      <c r="B23" s="1884">
        <v>46093</v>
      </c>
      <c r="C23" s="1897" t="s">
        <v>1666</v>
      </c>
      <c r="D23" s="1885"/>
      <c r="E23" s="1886">
        <v>1</v>
      </c>
      <c r="F23" s="1887" t="s">
        <v>107</v>
      </c>
      <c r="G23" s="1888"/>
      <c r="H23" s="1889"/>
      <c r="I23" s="1902"/>
      <c r="J23" s="1889"/>
      <c r="K23" s="1917">
        <v>612</v>
      </c>
      <c r="L23" s="1891">
        <f>'통장내역(환율표)'!$D$58</f>
        <v>6.916399997777944</v>
      </c>
      <c r="M23" s="1956">
        <f t="shared" ref="M23:M54" si="9">K23/L23</f>
        <v>88.485339222228234</v>
      </c>
      <c r="N23" s="1892">
        <f t="shared" ref="N23:N24" si="10">N22+H23-K23</f>
        <v>102805.62000000096</v>
      </c>
      <c r="O23" s="1892">
        <f t="shared" ref="O23:O24" si="11">O22+J23-M23</f>
        <v>14918.094660845822</v>
      </c>
      <c r="P23" s="1893"/>
      <c r="Q23" s="1896"/>
      <c r="R23" s="1896"/>
      <c r="S23" s="1871">
        <f t="shared" si="8"/>
        <v>7924.0246607777717</v>
      </c>
      <c r="T23" s="1777"/>
      <c r="U23" s="1777"/>
      <c r="V23" s="1777"/>
      <c r="W23" s="1777"/>
      <c r="X23" s="1777"/>
      <c r="Y23" s="1777"/>
      <c r="Z23" s="1777"/>
      <c r="AA23" s="1777"/>
      <c r="AB23" s="1777"/>
      <c r="AC23" s="1777"/>
    </row>
    <row r="24" spans="1:29" s="1778" customFormat="1" ht="11.25" customHeight="1">
      <c r="A24" s="1779"/>
      <c r="B24" s="1959">
        <v>46098</v>
      </c>
      <c r="C24" s="1960" t="s">
        <v>1088</v>
      </c>
      <c r="D24" s="1961"/>
      <c r="E24" s="1962">
        <v>2</v>
      </c>
      <c r="F24" s="1963"/>
      <c r="G24" s="1964"/>
      <c r="H24" s="1965">
        <v>502240.33</v>
      </c>
      <c r="I24" s="1966"/>
      <c r="J24" s="1965">
        <v>73089.83</v>
      </c>
      <c r="K24" s="1957"/>
      <c r="L24" s="1967"/>
      <c r="M24" s="1958"/>
      <c r="N24" s="1968">
        <f t="shared" si="10"/>
        <v>605045.950000001</v>
      </c>
      <c r="O24" s="1968">
        <f t="shared" si="11"/>
        <v>88007.92466084582</v>
      </c>
      <c r="P24" s="1969"/>
      <c r="Q24" s="1969"/>
      <c r="R24" s="1969"/>
      <c r="S24" s="1871"/>
      <c r="T24" s="1777"/>
      <c r="U24" s="1777"/>
      <c r="V24" s="1777"/>
      <c r="W24" s="1777"/>
      <c r="X24" s="1777"/>
      <c r="Y24" s="1777"/>
      <c r="Z24" s="1777"/>
      <c r="AA24" s="1777"/>
      <c r="AB24" s="1777"/>
      <c r="AC24" s="1777"/>
    </row>
    <row r="25" spans="1:29" s="1778" customFormat="1" ht="11.25" customHeight="1">
      <c r="A25" s="1779"/>
      <c r="B25" s="1959"/>
      <c r="C25" s="1960"/>
      <c r="D25" s="1961"/>
      <c r="E25" s="1962"/>
      <c r="F25" s="1963" t="s">
        <v>21</v>
      </c>
      <c r="G25" s="1964"/>
      <c r="H25" s="1965"/>
      <c r="I25" s="1966"/>
      <c r="J25" s="1965"/>
      <c r="K25" s="1957"/>
      <c r="L25" s="1967"/>
      <c r="M25" s="1958">
        <v>25</v>
      </c>
      <c r="N25" s="1968">
        <f t="shared" ref="N25:N55" si="12">N24+H25-K25</f>
        <v>605045.950000001</v>
      </c>
      <c r="O25" s="1968">
        <f t="shared" ref="O25:O55" si="13">O24+J25-M25</f>
        <v>87982.92466084582</v>
      </c>
      <c r="P25" s="1969"/>
      <c r="Q25" s="1969"/>
      <c r="R25" s="1969"/>
      <c r="S25" s="1871"/>
      <c r="T25" s="1777"/>
      <c r="U25" s="1777"/>
      <c r="V25" s="1777"/>
      <c r="W25" s="1777"/>
      <c r="X25" s="1777"/>
      <c r="Y25" s="1777"/>
      <c r="Z25" s="1777"/>
      <c r="AA25" s="1777"/>
      <c r="AB25" s="1777"/>
      <c r="AC25" s="1777"/>
    </row>
    <row r="26" spans="1:29" s="1778" customFormat="1" ht="11.25" customHeight="1">
      <c r="A26" s="1779"/>
      <c r="B26" s="1884">
        <v>46102</v>
      </c>
      <c r="C26" s="1105" t="s">
        <v>1656</v>
      </c>
      <c r="D26" s="1885"/>
      <c r="E26" s="1886">
        <v>3</v>
      </c>
      <c r="F26" s="1887" t="s">
        <v>60</v>
      </c>
      <c r="G26" s="1888"/>
      <c r="H26" s="1889">
        <v>42.57</v>
      </c>
      <c r="I26" s="1891">
        <f>'통장내역(환율표)'!$D$58</f>
        <v>6.916399997777944</v>
      </c>
      <c r="J26" s="1889">
        <v>6.15</v>
      </c>
      <c r="K26" s="1917"/>
      <c r="L26" s="1891">
        <f>'통장내역(환율표)'!$D$58</f>
        <v>6.916399997777944</v>
      </c>
      <c r="M26" s="1956"/>
      <c r="N26" s="1892">
        <f t="shared" si="12"/>
        <v>605088.52000000095</v>
      </c>
      <c r="O26" s="1892">
        <f t="shared" si="13"/>
        <v>87989.074660845814</v>
      </c>
      <c r="P26" s="1896"/>
      <c r="Q26" s="1896"/>
      <c r="R26" s="1896"/>
      <c r="S26" s="1871">
        <f>S23-M26+J26</f>
        <v>7930.1746607777714</v>
      </c>
      <c r="T26" s="1777"/>
      <c r="U26" s="1777"/>
      <c r="V26" s="1777"/>
      <c r="W26" s="1777"/>
      <c r="X26" s="1777"/>
      <c r="Y26" s="1777"/>
      <c r="Z26" s="1777"/>
      <c r="AA26" s="1777"/>
      <c r="AB26" s="1777"/>
      <c r="AC26" s="1777"/>
    </row>
    <row r="27" spans="1:29" s="1778" customFormat="1" ht="11.25" customHeight="1">
      <c r="A27" s="1779"/>
      <c r="B27" s="1884">
        <v>46104</v>
      </c>
      <c r="C27" s="1105" t="s">
        <v>352</v>
      </c>
      <c r="D27" s="1885"/>
      <c r="E27" s="1886">
        <v>4</v>
      </c>
      <c r="F27" s="1887" t="s">
        <v>107</v>
      </c>
      <c r="G27" s="1888"/>
      <c r="H27" s="1889"/>
      <c r="I27" s="1902"/>
      <c r="J27" s="1889"/>
      <c r="K27" s="1917">
        <v>1010</v>
      </c>
      <c r="L27" s="1891">
        <f>'통장내역(환율표)'!$D$58</f>
        <v>6.916399997777944</v>
      </c>
      <c r="M27" s="1956">
        <f t="shared" si="9"/>
        <v>146.02972649420019</v>
      </c>
      <c r="N27" s="1892">
        <f t="shared" si="12"/>
        <v>604078.52000000095</v>
      </c>
      <c r="O27" s="1892">
        <f t="shared" si="13"/>
        <v>87843.044934351608</v>
      </c>
      <c r="P27" s="1896"/>
      <c r="Q27" s="1896"/>
      <c r="R27" s="1896"/>
      <c r="S27" s="1871">
        <f>S26-M27</f>
        <v>7784.1449342835713</v>
      </c>
      <c r="T27" s="1777"/>
      <c r="U27" s="1777"/>
      <c r="V27" s="1777"/>
      <c r="W27" s="1777"/>
      <c r="X27" s="1777"/>
      <c r="Y27" s="1777"/>
      <c r="Z27" s="1777"/>
      <c r="AA27" s="1777"/>
      <c r="AB27" s="1777"/>
      <c r="AC27" s="1777"/>
    </row>
    <row r="28" spans="1:29" s="1778" customFormat="1" ht="11.25" customHeight="1">
      <c r="A28" s="1779"/>
      <c r="B28" s="1884">
        <v>46104</v>
      </c>
      <c r="C28" s="1105" t="s">
        <v>1657</v>
      </c>
      <c r="D28" s="1885"/>
      <c r="E28" s="1886">
        <v>5</v>
      </c>
      <c r="F28" s="1887" t="s">
        <v>105</v>
      </c>
      <c r="G28" s="1888" t="s">
        <v>1122</v>
      </c>
      <c r="H28" s="1889"/>
      <c r="I28" s="1902"/>
      <c r="J28" s="1889"/>
      <c r="K28" s="1917">
        <v>3030</v>
      </c>
      <c r="L28" s="1891">
        <f>'통장내역(환율표)'!$D$58</f>
        <v>6.916399997777944</v>
      </c>
      <c r="M28" s="1956">
        <f t="shared" si="9"/>
        <v>438.08917948260057</v>
      </c>
      <c r="N28" s="1892">
        <f t="shared" si="12"/>
        <v>601048.52000000095</v>
      </c>
      <c r="O28" s="1892">
        <f t="shared" si="13"/>
        <v>87404.955754869006</v>
      </c>
      <c r="P28" s="1896"/>
      <c r="Q28" s="1896"/>
      <c r="R28" s="1896"/>
      <c r="S28" s="1871">
        <f t="shared" ref="S28:S51" si="14">S27-M28</f>
        <v>7346.055754800971</v>
      </c>
      <c r="T28" s="1777"/>
      <c r="U28" s="1777"/>
      <c r="V28" s="1777"/>
      <c r="W28" s="1777"/>
      <c r="X28" s="1777"/>
      <c r="Y28" s="1777"/>
      <c r="Z28" s="1777"/>
      <c r="AA28" s="1777"/>
      <c r="AB28" s="1777"/>
      <c r="AC28" s="1777"/>
    </row>
    <row r="29" spans="1:29" s="1778" customFormat="1" ht="11.25" customHeight="1">
      <c r="A29" s="1779"/>
      <c r="B29" s="1884">
        <v>46104</v>
      </c>
      <c r="C29" s="1105" t="s">
        <v>250</v>
      </c>
      <c r="D29" s="1885"/>
      <c r="E29" s="1886">
        <v>6</v>
      </c>
      <c r="F29" s="1887" t="s">
        <v>107</v>
      </c>
      <c r="G29" s="1888"/>
      <c r="H29" s="1889"/>
      <c r="I29" s="1902"/>
      <c r="J29" s="1889"/>
      <c r="K29" s="1917">
        <v>3.6</v>
      </c>
      <c r="L29" s="1891">
        <f>'통장내역(환율표)'!$D$58</f>
        <v>6.916399997777944</v>
      </c>
      <c r="M29" s="1956">
        <f t="shared" si="9"/>
        <v>0.52050199542487197</v>
      </c>
      <c r="N29" s="1892">
        <f t="shared" si="12"/>
        <v>601044.92000000097</v>
      </c>
      <c r="O29" s="1892">
        <f t="shared" si="13"/>
        <v>87404.435252873576</v>
      </c>
      <c r="P29" s="1896"/>
      <c r="Q29" s="1896"/>
      <c r="R29" s="1896"/>
      <c r="S29" s="1871">
        <f t="shared" si="14"/>
        <v>7345.5352528055464</v>
      </c>
      <c r="T29" s="1777"/>
      <c r="U29" s="1777"/>
      <c r="V29" s="1777"/>
      <c r="W29" s="1777"/>
      <c r="X29" s="1777"/>
      <c r="Y29" s="1777"/>
      <c r="Z29" s="1777"/>
      <c r="AA29" s="1777"/>
      <c r="AB29" s="1777"/>
      <c r="AC29" s="1777"/>
    </row>
    <row r="30" spans="1:29" s="1778" customFormat="1" ht="11.25" customHeight="1">
      <c r="A30" s="1779"/>
      <c r="B30" s="1884">
        <v>46104</v>
      </c>
      <c r="C30" s="669" t="s">
        <v>305</v>
      </c>
      <c r="D30" s="1885"/>
      <c r="E30" s="1886">
        <v>7</v>
      </c>
      <c r="F30" s="1887" t="s">
        <v>105</v>
      </c>
      <c r="G30" s="1888" t="s">
        <v>227</v>
      </c>
      <c r="H30" s="1889"/>
      <c r="I30" s="1902"/>
      <c r="J30" s="1889"/>
      <c r="K30" s="1917">
        <v>7000</v>
      </c>
      <c r="L30" s="1891">
        <f>'통장내역(환율표)'!$D$58</f>
        <v>6.916399997777944</v>
      </c>
      <c r="M30" s="1956">
        <f t="shared" si="9"/>
        <v>1012.0872133261399</v>
      </c>
      <c r="N30" s="1892">
        <f t="shared" si="12"/>
        <v>594044.92000000097</v>
      </c>
      <c r="O30" s="1892">
        <f t="shared" si="13"/>
        <v>86392.348039547433</v>
      </c>
      <c r="P30" s="1896"/>
      <c r="Q30" s="1896"/>
      <c r="R30" s="1896"/>
      <c r="S30" s="1871">
        <f t="shared" si="14"/>
        <v>6333.4480394794064</v>
      </c>
      <c r="T30" s="1777"/>
      <c r="U30" s="1777"/>
      <c r="V30" s="1777"/>
      <c r="W30" s="1777"/>
      <c r="X30" s="1777"/>
      <c r="Y30" s="1777"/>
      <c r="Z30" s="1777"/>
      <c r="AA30" s="1777"/>
      <c r="AB30" s="1777"/>
      <c r="AC30" s="1777"/>
    </row>
    <row r="31" spans="1:29" s="1778" customFormat="1" ht="11.25" customHeight="1">
      <c r="A31" s="1779"/>
      <c r="B31" s="1884">
        <v>46104</v>
      </c>
      <c r="C31" s="669" t="s">
        <v>1107</v>
      </c>
      <c r="D31" s="1885"/>
      <c r="E31" s="1886">
        <v>7</v>
      </c>
      <c r="F31" s="1887" t="s">
        <v>107</v>
      </c>
      <c r="G31" s="1888"/>
      <c r="H31" s="1889"/>
      <c r="I31" s="1902"/>
      <c r="J31" s="1889"/>
      <c r="K31" s="1917">
        <v>6000</v>
      </c>
      <c r="L31" s="1891">
        <f>'통장내역(환율표)'!$D$58</f>
        <v>6.916399997777944</v>
      </c>
      <c r="M31" s="1956">
        <f t="shared" si="9"/>
        <v>867.50332570811997</v>
      </c>
      <c r="N31" s="1892">
        <f t="shared" si="12"/>
        <v>588044.92000000097</v>
      </c>
      <c r="O31" s="1892">
        <f t="shared" si="13"/>
        <v>85524.844713839309</v>
      </c>
      <c r="P31" s="1896"/>
      <c r="Q31" s="1896"/>
      <c r="R31" s="1896"/>
      <c r="S31" s="1871">
        <f t="shared" si="14"/>
        <v>5465.9447137712868</v>
      </c>
      <c r="T31" s="1777"/>
      <c r="U31" s="1777"/>
      <c r="V31" s="1777"/>
      <c r="W31" s="1777"/>
      <c r="X31" s="1777"/>
      <c r="Y31" s="1777"/>
      <c r="Z31" s="1777"/>
      <c r="AA31" s="1777"/>
      <c r="AB31" s="1777"/>
      <c r="AC31" s="1777"/>
    </row>
    <row r="32" spans="1:29" s="1778" customFormat="1" ht="11.25" customHeight="1">
      <c r="A32" s="1779"/>
      <c r="B32" s="1884">
        <v>46104</v>
      </c>
      <c r="C32" s="669" t="s">
        <v>1108</v>
      </c>
      <c r="D32" s="1885"/>
      <c r="E32" s="1886">
        <v>7</v>
      </c>
      <c r="F32" s="1887" t="s">
        <v>107</v>
      </c>
      <c r="G32" s="1888"/>
      <c r="H32" s="1889"/>
      <c r="I32" s="1902"/>
      <c r="J32" s="1889"/>
      <c r="K32" s="1917">
        <v>350</v>
      </c>
      <c r="L32" s="1891">
        <f>'통장내역(환율표)'!$D$58</f>
        <v>6.916399997777944</v>
      </c>
      <c r="M32" s="1956">
        <f t="shared" si="9"/>
        <v>50.604360666306995</v>
      </c>
      <c r="N32" s="1892">
        <f t="shared" si="12"/>
        <v>587694.92000000097</v>
      </c>
      <c r="O32" s="1892">
        <f t="shared" si="13"/>
        <v>85474.240353173009</v>
      </c>
      <c r="P32" s="1896"/>
      <c r="Q32" s="1896"/>
      <c r="R32" s="1896"/>
      <c r="S32" s="1871">
        <f t="shared" si="14"/>
        <v>5415.3403531049798</v>
      </c>
      <c r="T32" s="1777"/>
      <c r="U32" s="1777"/>
      <c r="V32" s="1777"/>
      <c r="W32" s="1777"/>
      <c r="X32" s="1777"/>
      <c r="Y32" s="1777"/>
      <c r="Z32" s="1777"/>
      <c r="AA32" s="1777"/>
      <c r="AB32" s="1777"/>
      <c r="AC32" s="1777"/>
    </row>
    <row r="33" spans="1:29" s="1778" customFormat="1" ht="11.25" customHeight="1">
      <c r="A33" s="1779"/>
      <c r="B33" s="1884">
        <v>46104</v>
      </c>
      <c r="C33" s="669" t="s">
        <v>305</v>
      </c>
      <c r="D33" s="1885"/>
      <c r="E33" s="1886">
        <v>7</v>
      </c>
      <c r="F33" s="1887" t="s">
        <v>105</v>
      </c>
      <c r="G33" s="1888" t="s">
        <v>227</v>
      </c>
      <c r="H33" s="1889"/>
      <c r="I33" s="1902"/>
      <c r="J33" s="1889"/>
      <c r="K33" s="1917">
        <v>7000</v>
      </c>
      <c r="L33" s="1891">
        <f>'통장내역(환율표)'!$D$58</f>
        <v>6.916399997777944</v>
      </c>
      <c r="M33" s="1956">
        <f t="shared" si="9"/>
        <v>1012.0872133261399</v>
      </c>
      <c r="N33" s="1892">
        <f t="shared" si="12"/>
        <v>580694.92000000097</v>
      </c>
      <c r="O33" s="1892">
        <f t="shared" si="13"/>
        <v>84462.153139846865</v>
      </c>
      <c r="P33" s="1896"/>
      <c r="Q33" s="1896"/>
      <c r="R33" s="1896"/>
      <c r="S33" s="1871">
        <f t="shared" si="14"/>
        <v>4403.2531397788398</v>
      </c>
      <c r="T33" s="1777"/>
      <c r="U33" s="1777"/>
      <c r="V33" s="1777"/>
      <c r="W33" s="1777"/>
      <c r="X33" s="1777"/>
      <c r="Y33" s="1777"/>
      <c r="Z33" s="1777"/>
      <c r="AA33" s="1777"/>
      <c r="AB33" s="1777"/>
      <c r="AC33" s="1777"/>
    </row>
    <row r="34" spans="1:29" s="1778" customFormat="1" ht="11.25" customHeight="1">
      <c r="A34" s="1779"/>
      <c r="B34" s="1884">
        <v>46104</v>
      </c>
      <c r="C34" s="669" t="s">
        <v>347</v>
      </c>
      <c r="D34" s="1885"/>
      <c r="E34" s="1886">
        <v>7</v>
      </c>
      <c r="F34" s="1887" t="s">
        <v>107</v>
      </c>
      <c r="G34" s="1888"/>
      <c r="H34" s="1889"/>
      <c r="I34" s="1902"/>
      <c r="J34" s="1889"/>
      <c r="K34" s="1917">
        <v>6000</v>
      </c>
      <c r="L34" s="1891">
        <f>'통장내역(환율표)'!$D$58</f>
        <v>6.916399997777944</v>
      </c>
      <c r="M34" s="1956">
        <f t="shared" si="9"/>
        <v>867.50332570811997</v>
      </c>
      <c r="N34" s="1892">
        <f t="shared" si="12"/>
        <v>574694.92000000097</v>
      </c>
      <c r="O34" s="1892">
        <f t="shared" si="13"/>
        <v>83594.649814138742</v>
      </c>
      <c r="P34" s="1896"/>
      <c r="Q34" s="1896"/>
      <c r="R34" s="1896"/>
      <c r="S34" s="1871">
        <f t="shared" si="14"/>
        <v>3535.7498140707198</v>
      </c>
      <c r="T34" s="1777"/>
      <c r="U34" s="1777"/>
      <c r="V34" s="1777"/>
      <c r="W34" s="1777"/>
      <c r="X34" s="1777"/>
      <c r="Y34" s="1777"/>
      <c r="Z34" s="1777"/>
      <c r="AA34" s="1777"/>
      <c r="AB34" s="1777"/>
      <c r="AC34" s="1777"/>
    </row>
    <row r="35" spans="1:29" s="1778" customFormat="1" ht="11.25" customHeight="1">
      <c r="A35" s="1779"/>
      <c r="B35" s="1884">
        <v>46104</v>
      </c>
      <c r="C35" s="669" t="s">
        <v>1108</v>
      </c>
      <c r="D35" s="1885"/>
      <c r="E35" s="1886">
        <v>7</v>
      </c>
      <c r="F35" s="1887" t="s">
        <v>107</v>
      </c>
      <c r="G35" s="1888"/>
      <c r="H35" s="1889"/>
      <c r="I35" s="1902"/>
      <c r="J35" s="1889"/>
      <c r="K35" s="1917">
        <v>240</v>
      </c>
      <c r="L35" s="1891">
        <f>'통장내역(환율표)'!$D$58</f>
        <v>6.916399997777944</v>
      </c>
      <c r="M35" s="1956">
        <f t="shared" si="9"/>
        <v>34.7001330283248</v>
      </c>
      <c r="N35" s="1892">
        <f t="shared" si="12"/>
        <v>574454.92000000097</v>
      </c>
      <c r="O35" s="1892">
        <f t="shared" si="13"/>
        <v>83559.949681110418</v>
      </c>
      <c r="P35" s="1896"/>
      <c r="Q35" s="1896"/>
      <c r="R35" s="1896"/>
      <c r="S35" s="1871">
        <f t="shared" si="14"/>
        <v>3501.0496810423952</v>
      </c>
      <c r="T35" s="1777"/>
      <c r="U35" s="1777"/>
      <c r="V35" s="1777"/>
      <c r="W35" s="1777"/>
      <c r="X35" s="1777"/>
      <c r="Y35" s="1777"/>
      <c r="Z35" s="1777"/>
      <c r="AA35" s="1777"/>
      <c r="AB35" s="1777"/>
      <c r="AC35" s="1777"/>
    </row>
    <row r="36" spans="1:29" s="1778" customFormat="1" ht="11.25" customHeight="1">
      <c r="A36" s="1779"/>
      <c r="B36" s="1884">
        <v>46104</v>
      </c>
      <c r="C36" s="669" t="s">
        <v>305</v>
      </c>
      <c r="D36" s="1885"/>
      <c r="E36" s="1886">
        <v>7</v>
      </c>
      <c r="F36" s="1887" t="s">
        <v>105</v>
      </c>
      <c r="G36" s="1888" t="s">
        <v>227</v>
      </c>
      <c r="H36" s="1889"/>
      <c r="I36" s="1902"/>
      <c r="J36" s="1889"/>
      <c r="K36" s="1917">
        <v>6000</v>
      </c>
      <c r="L36" s="1891">
        <f>'통장내역(환율표)'!$D$58</f>
        <v>6.916399997777944</v>
      </c>
      <c r="M36" s="1956">
        <f t="shared" si="9"/>
        <v>867.50332570811997</v>
      </c>
      <c r="N36" s="1892">
        <f t="shared" si="12"/>
        <v>568454.92000000097</v>
      </c>
      <c r="O36" s="1892">
        <f t="shared" si="13"/>
        <v>82692.446355402295</v>
      </c>
      <c r="P36" s="1896"/>
      <c r="Q36" s="1896"/>
      <c r="R36" s="1896"/>
      <c r="S36" s="1871">
        <f t="shared" si="14"/>
        <v>2633.5463553342752</v>
      </c>
      <c r="T36" s="1777"/>
      <c r="U36" s="1777"/>
      <c r="V36" s="1777"/>
      <c r="W36" s="1777"/>
      <c r="X36" s="1777"/>
      <c r="Y36" s="1777"/>
      <c r="Z36" s="1777"/>
      <c r="AA36" s="1777"/>
      <c r="AB36" s="1777"/>
      <c r="AC36" s="1777"/>
    </row>
    <row r="37" spans="1:29" s="1778" customFormat="1" ht="11.25" customHeight="1">
      <c r="A37" s="1779"/>
      <c r="B37" s="1884">
        <v>46104</v>
      </c>
      <c r="C37" s="669" t="s">
        <v>1107</v>
      </c>
      <c r="D37" s="1885"/>
      <c r="E37" s="1886">
        <v>7</v>
      </c>
      <c r="F37" s="1887" t="s">
        <v>107</v>
      </c>
      <c r="G37" s="1888"/>
      <c r="H37" s="1889"/>
      <c r="I37" s="1902"/>
      <c r="J37" s="1889"/>
      <c r="K37" s="1917">
        <v>6000</v>
      </c>
      <c r="L37" s="1891">
        <f>'통장내역(환율표)'!$D$58</f>
        <v>6.916399997777944</v>
      </c>
      <c r="M37" s="1956">
        <f t="shared" si="9"/>
        <v>867.50332570811997</v>
      </c>
      <c r="N37" s="1892">
        <f t="shared" si="12"/>
        <v>562454.92000000097</v>
      </c>
      <c r="O37" s="1892">
        <f t="shared" si="13"/>
        <v>81824.943029694172</v>
      </c>
      <c r="P37" s="1896"/>
      <c r="Q37" s="1896"/>
      <c r="R37" s="1896"/>
      <c r="S37" s="1871">
        <f t="shared" si="14"/>
        <v>1766.0430296261552</v>
      </c>
      <c r="T37" s="1777"/>
      <c r="U37" s="1777"/>
      <c r="V37" s="1777"/>
      <c r="W37" s="1777"/>
      <c r="X37" s="1777"/>
      <c r="Y37" s="1777"/>
      <c r="Z37" s="1777"/>
      <c r="AA37" s="1777"/>
      <c r="AB37" s="1777"/>
      <c r="AC37" s="1777"/>
    </row>
    <row r="38" spans="1:29" s="1778" customFormat="1" ht="11.25" customHeight="1">
      <c r="A38" s="1779"/>
      <c r="B38" s="1884">
        <v>46104</v>
      </c>
      <c r="C38" s="669" t="s">
        <v>1108</v>
      </c>
      <c r="D38" s="1885"/>
      <c r="E38" s="1886">
        <v>7</v>
      </c>
      <c r="F38" s="1887" t="s">
        <v>107</v>
      </c>
      <c r="G38" s="1888"/>
      <c r="H38" s="1889"/>
      <c r="I38" s="1902"/>
      <c r="J38" s="1889"/>
      <c r="K38" s="1917">
        <v>240</v>
      </c>
      <c r="L38" s="1891">
        <f>'통장내역(환율표)'!$D$58</f>
        <v>6.916399997777944</v>
      </c>
      <c r="M38" s="1956">
        <f t="shared" si="9"/>
        <v>34.7001330283248</v>
      </c>
      <c r="N38" s="1892">
        <f t="shared" si="12"/>
        <v>562214.92000000097</v>
      </c>
      <c r="O38" s="1892">
        <f t="shared" si="13"/>
        <v>81790.242896665848</v>
      </c>
      <c r="P38" s="1894"/>
      <c r="Q38" s="1894"/>
      <c r="R38" s="1894"/>
      <c r="S38" s="1871">
        <f t="shared" si="14"/>
        <v>1731.3428965978303</v>
      </c>
      <c r="T38" s="1777"/>
      <c r="U38" s="1777"/>
      <c r="V38" s="1777"/>
      <c r="W38" s="1777"/>
      <c r="X38" s="1777"/>
      <c r="Y38" s="1777"/>
      <c r="Z38" s="1777"/>
      <c r="AA38" s="1777"/>
      <c r="AB38" s="1777"/>
      <c r="AC38" s="1777"/>
    </row>
    <row r="39" spans="1:29" s="1778" customFormat="1" ht="11.25" customHeight="1">
      <c r="A39" s="1779"/>
      <c r="B39" s="1884">
        <v>46104</v>
      </c>
      <c r="C39" s="669" t="s">
        <v>250</v>
      </c>
      <c r="D39" s="1885"/>
      <c r="E39" s="1886">
        <v>8</v>
      </c>
      <c r="F39" s="1887" t="s">
        <v>107</v>
      </c>
      <c r="G39" s="1888"/>
      <c r="H39" s="1889"/>
      <c r="I39" s="1902"/>
      <c r="J39" s="1889"/>
      <c r="K39" s="1917">
        <v>7.2</v>
      </c>
      <c r="L39" s="1891">
        <f>'통장내역(환율표)'!$D$58</f>
        <v>6.916399997777944</v>
      </c>
      <c r="M39" s="1956">
        <f t="shared" si="9"/>
        <v>1.0410039908497439</v>
      </c>
      <c r="N39" s="1892">
        <f t="shared" si="12"/>
        <v>562207.72000000102</v>
      </c>
      <c r="O39" s="1892">
        <f t="shared" si="13"/>
        <v>81789.201892675002</v>
      </c>
      <c r="P39" s="1894"/>
      <c r="Q39" s="1894"/>
      <c r="R39" s="1894"/>
      <c r="S39" s="1871">
        <f t="shared" si="14"/>
        <v>1730.3018926069806</v>
      </c>
      <c r="T39" s="1777"/>
      <c r="U39" s="1777"/>
      <c r="V39" s="1777"/>
      <c r="W39" s="1777"/>
      <c r="X39" s="1777"/>
      <c r="Y39" s="1777"/>
      <c r="Z39" s="1777"/>
      <c r="AA39" s="1777"/>
      <c r="AB39" s="1777"/>
      <c r="AC39" s="1777"/>
    </row>
    <row r="40" spans="1:29" s="1778" customFormat="1" ht="11.25" customHeight="1">
      <c r="A40" s="1779"/>
      <c r="B40" s="1884">
        <v>46104</v>
      </c>
      <c r="C40" s="1105" t="s">
        <v>1461</v>
      </c>
      <c r="D40" s="1885" t="s">
        <v>188</v>
      </c>
      <c r="E40" s="1886">
        <v>9</v>
      </c>
      <c r="F40" s="1887" t="s">
        <v>116</v>
      </c>
      <c r="G40" s="1888" t="s">
        <v>140</v>
      </c>
      <c r="H40" s="1889"/>
      <c r="I40" s="1902"/>
      <c r="J40" s="1889"/>
      <c r="K40" s="1917">
        <v>1115.47</v>
      </c>
      <c r="L40" s="1891">
        <f>'통장내역(환율표)'!$D$58</f>
        <v>6.916399997777944</v>
      </c>
      <c r="M40" s="1956">
        <f t="shared" si="9"/>
        <v>161.27898912127276</v>
      </c>
      <c r="N40" s="1892">
        <f t="shared" si="12"/>
        <v>561092.25000000105</v>
      </c>
      <c r="O40" s="1892">
        <f t="shared" si="13"/>
        <v>81627.922903553728</v>
      </c>
      <c r="P40" s="1894"/>
      <c r="Q40" s="1894"/>
      <c r="R40" s="1894"/>
      <c r="S40" s="1871">
        <f t="shared" si="14"/>
        <v>1569.0229034857077</v>
      </c>
      <c r="T40" s="1777"/>
      <c r="U40" s="1777"/>
      <c r="V40" s="1777"/>
      <c r="W40" s="1777"/>
      <c r="X40" s="1777"/>
      <c r="Y40" s="1777"/>
      <c r="Z40" s="1777"/>
      <c r="AA40" s="1777"/>
      <c r="AB40" s="1777"/>
      <c r="AC40" s="1777"/>
    </row>
    <row r="41" spans="1:29" s="1778" customFormat="1" ht="11.25" customHeight="1">
      <c r="A41" s="1779"/>
      <c r="B41" s="1884">
        <v>46104</v>
      </c>
      <c r="C41" s="1105" t="s">
        <v>125</v>
      </c>
      <c r="D41" s="1885" t="s">
        <v>188</v>
      </c>
      <c r="E41" s="1886">
        <v>10</v>
      </c>
      <c r="F41" s="1887" t="s">
        <v>125</v>
      </c>
      <c r="G41" s="1888" t="s">
        <v>145</v>
      </c>
      <c r="H41" s="1889"/>
      <c r="I41" s="1902"/>
      <c r="J41" s="1889"/>
      <c r="K41" s="1917">
        <v>843</v>
      </c>
      <c r="L41" s="1891">
        <f>'통장내역(환율표)'!$D$58</f>
        <v>6.916399997777944</v>
      </c>
      <c r="M41" s="1956">
        <f t="shared" si="9"/>
        <v>121.88421726199086</v>
      </c>
      <c r="N41" s="1892">
        <f t="shared" si="12"/>
        <v>560249.25000000105</v>
      </c>
      <c r="O41" s="1892">
        <f t="shared" si="13"/>
        <v>81506.038686291737</v>
      </c>
      <c r="P41" s="1903"/>
      <c r="Q41" s="1894"/>
      <c r="R41" s="1894"/>
      <c r="S41" s="1871">
        <f t="shared" si="14"/>
        <v>1447.1386862237168</v>
      </c>
      <c r="T41" s="1777"/>
      <c r="U41" s="1777"/>
      <c r="V41" s="1777"/>
      <c r="W41" s="1777"/>
      <c r="X41" s="1777"/>
      <c r="Y41" s="1777"/>
      <c r="Z41" s="1777"/>
      <c r="AA41" s="1777"/>
      <c r="AB41" s="1777"/>
      <c r="AC41" s="1777"/>
    </row>
    <row r="42" spans="1:29" s="1778" customFormat="1" ht="11.25" customHeight="1">
      <c r="A42" s="1779"/>
      <c r="B42" s="1884">
        <v>46104</v>
      </c>
      <c r="C42" s="1105" t="s">
        <v>1451</v>
      </c>
      <c r="D42" s="1885" t="s">
        <v>188</v>
      </c>
      <c r="E42" s="1886">
        <v>11</v>
      </c>
      <c r="F42" s="1887" t="s">
        <v>146</v>
      </c>
      <c r="G42" s="1888" t="s">
        <v>147</v>
      </c>
      <c r="H42" s="1889"/>
      <c r="I42" s="1902"/>
      <c r="J42" s="1889"/>
      <c r="K42" s="1917">
        <v>73</v>
      </c>
      <c r="L42" s="1891">
        <f>'통장내역(환율표)'!$D$58</f>
        <v>6.916399997777944</v>
      </c>
      <c r="M42" s="1956">
        <f t="shared" si="9"/>
        <v>10.554623796115459</v>
      </c>
      <c r="N42" s="1892">
        <f t="shared" si="12"/>
        <v>560176.25000000105</v>
      </c>
      <c r="O42" s="1892">
        <f t="shared" si="13"/>
        <v>81495.484062495627</v>
      </c>
      <c r="P42" s="1903"/>
      <c r="Q42" s="1894"/>
      <c r="R42" s="1894"/>
      <c r="S42" s="1871">
        <f t="shared" si="14"/>
        <v>1436.5840624276013</v>
      </c>
      <c r="T42" s="1777"/>
      <c r="U42" s="1777"/>
      <c r="V42" s="1777"/>
      <c r="W42" s="1777"/>
      <c r="X42" s="1777"/>
      <c r="Y42" s="1777"/>
      <c r="Z42" s="1777"/>
      <c r="AA42" s="1777"/>
      <c r="AB42" s="1777"/>
      <c r="AC42" s="1777"/>
    </row>
    <row r="43" spans="1:29" s="1778" customFormat="1" ht="12" customHeight="1">
      <c r="A43" s="1779"/>
      <c r="B43" s="1884">
        <v>46104</v>
      </c>
      <c r="C43" s="1105" t="s">
        <v>1658</v>
      </c>
      <c r="D43" s="1885" t="s">
        <v>188</v>
      </c>
      <c r="E43" s="1886">
        <v>12</v>
      </c>
      <c r="F43" s="1887" t="s">
        <v>107</v>
      </c>
      <c r="G43" s="1888"/>
      <c r="H43" s="1889"/>
      <c r="I43" s="1902"/>
      <c r="J43" s="1889"/>
      <c r="K43" s="1917">
        <v>161.16</v>
      </c>
      <c r="L43" s="1891">
        <f>'통장내역(환율표)'!$D$58</f>
        <v>6.916399997777944</v>
      </c>
      <c r="M43" s="1956">
        <f t="shared" si="9"/>
        <v>23.301139328520101</v>
      </c>
      <c r="N43" s="1892">
        <f t="shared" si="12"/>
        <v>560015.09000000102</v>
      </c>
      <c r="O43" s="1892">
        <f t="shared" si="13"/>
        <v>81472.1829231671</v>
      </c>
      <c r="P43" s="1903"/>
      <c r="Q43" s="1894"/>
      <c r="R43" s="1894"/>
      <c r="S43" s="1871">
        <f t="shared" si="14"/>
        <v>1413.2829230990812</v>
      </c>
      <c r="T43" s="1777"/>
      <c r="U43" s="1777"/>
      <c r="V43" s="1777"/>
      <c r="W43" s="1777"/>
      <c r="X43" s="1777"/>
      <c r="Y43" s="1777"/>
      <c r="Z43" s="1777"/>
      <c r="AA43" s="1777"/>
      <c r="AB43" s="1777"/>
      <c r="AC43" s="1777"/>
    </row>
    <row r="44" spans="1:29" s="1778" customFormat="1" ht="12" customHeight="1">
      <c r="A44" s="1779"/>
      <c r="B44" s="1884">
        <v>46104</v>
      </c>
      <c r="C44" s="1105" t="s">
        <v>1602</v>
      </c>
      <c r="D44" s="1885" t="s">
        <v>188</v>
      </c>
      <c r="E44" s="1886">
        <v>13</v>
      </c>
      <c r="F44" s="1887" t="s">
        <v>107</v>
      </c>
      <c r="G44" s="1888"/>
      <c r="H44" s="1889"/>
      <c r="I44" s="1902"/>
      <c r="J44" s="1889"/>
      <c r="K44" s="1917">
        <v>39.9</v>
      </c>
      <c r="L44" s="1891">
        <f>'통장내역(환율표)'!$D$58</f>
        <v>6.916399997777944</v>
      </c>
      <c r="M44" s="1956">
        <f t="shared" si="9"/>
        <v>5.7688971159589979</v>
      </c>
      <c r="N44" s="1892">
        <f t="shared" si="12"/>
        <v>559975.19000000099</v>
      </c>
      <c r="O44" s="1892">
        <f t="shared" si="13"/>
        <v>81466.414026051134</v>
      </c>
      <c r="P44" s="1903"/>
      <c r="Q44" s="1894"/>
      <c r="R44" s="1894"/>
      <c r="S44" s="1871">
        <f t="shared" si="14"/>
        <v>1407.5140259831223</v>
      </c>
      <c r="T44" s="1777"/>
      <c r="U44" s="1777"/>
      <c r="V44" s="1777"/>
      <c r="W44" s="1777"/>
      <c r="X44" s="1777"/>
      <c r="Y44" s="1777"/>
      <c r="Z44" s="1777"/>
      <c r="AA44" s="1777"/>
      <c r="AB44" s="1777"/>
      <c r="AC44" s="1777"/>
    </row>
    <row r="45" spans="1:29" s="1778" customFormat="1" ht="12" customHeight="1">
      <c r="A45" s="1779"/>
      <c r="B45" s="1884">
        <v>46104</v>
      </c>
      <c r="C45" s="1105" t="s">
        <v>124</v>
      </c>
      <c r="D45" s="1885" t="s">
        <v>188</v>
      </c>
      <c r="E45" s="1886">
        <v>14</v>
      </c>
      <c r="F45" s="1887" t="s">
        <v>107</v>
      </c>
      <c r="G45" s="1888" t="s">
        <v>1609</v>
      </c>
      <c r="H45" s="1889"/>
      <c r="I45" s="1902"/>
      <c r="J45" s="1889"/>
      <c r="K45" s="1917">
        <v>55.66</v>
      </c>
      <c r="L45" s="1891">
        <f>'통장내역(환율표)'!$D$58</f>
        <v>6.916399997777944</v>
      </c>
      <c r="M45" s="1956">
        <f t="shared" si="9"/>
        <v>8.0475391848189926</v>
      </c>
      <c r="N45" s="1892">
        <f t="shared" si="12"/>
        <v>559919.53000000096</v>
      </c>
      <c r="O45" s="1892">
        <f t="shared" si="13"/>
        <v>81458.366486866318</v>
      </c>
      <c r="P45" s="1903"/>
      <c r="Q45" s="1894"/>
      <c r="R45" s="1894"/>
      <c r="S45" s="1871">
        <f t="shared" si="14"/>
        <v>1399.4664867983033</v>
      </c>
      <c r="T45" s="1777"/>
      <c r="U45" s="1777"/>
      <c r="V45" s="1777"/>
      <c r="W45" s="1777"/>
      <c r="X45" s="1777"/>
      <c r="Y45" s="1777"/>
      <c r="Z45" s="1777"/>
      <c r="AA45" s="1777"/>
      <c r="AB45" s="1777"/>
      <c r="AC45" s="1777"/>
    </row>
    <row r="46" spans="1:29" s="1778" customFormat="1" ht="12" customHeight="1">
      <c r="A46" s="1779"/>
      <c r="B46" s="1884">
        <v>46104</v>
      </c>
      <c r="C46" s="1105" t="s">
        <v>250</v>
      </c>
      <c r="D46" s="1885" t="s">
        <v>188</v>
      </c>
      <c r="E46" s="1886">
        <v>15</v>
      </c>
      <c r="F46" s="1887" t="s">
        <v>107</v>
      </c>
      <c r="G46" s="1888"/>
      <c r="H46" s="1889"/>
      <c r="I46" s="1902"/>
      <c r="J46" s="1889"/>
      <c r="K46" s="1917">
        <v>3.6</v>
      </c>
      <c r="L46" s="1891">
        <f>'통장내역(환율표)'!$D$58</f>
        <v>6.916399997777944</v>
      </c>
      <c r="M46" s="1956">
        <f t="shared" si="9"/>
        <v>0.52050199542487197</v>
      </c>
      <c r="N46" s="1892">
        <f t="shared" si="12"/>
        <v>559915.93000000098</v>
      </c>
      <c r="O46" s="1892">
        <f t="shared" si="13"/>
        <v>81457.845984870888</v>
      </c>
      <c r="P46" s="1903"/>
      <c r="Q46" s="1894"/>
      <c r="R46" s="1894"/>
      <c r="S46" s="1871">
        <f t="shared" si="14"/>
        <v>1398.9459848028785</v>
      </c>
      <c r="T46" s="1777"/>
      <c r="U46" s="1777"/>
      <c r="V46" s="1777"/>
      <c r="W46" s="1777"/>
      <c r="X46" s="1777"/>
      <c r="Y46" s="1777"/>
      <c r="Z46" s="1777"/>
      <c r="AA46" s="1777"/>
      <c r="AB46" s="1777"/>
      <c r="AC46" s="1777"/>
    </row>
    <row r="47" spans="1:29" s="1778" customFormat="1" ht="12" customHeight="1">
      <c r="A47" s="1779"/>
      <c r="B47" s="1884">
        <v>46104</v>
      </c>
      <c r="C47" s="1105" t="s">
        <v>1403</v>
      </c>
      <c r="D47" s="1885" t="s">
        <v>1390</v>
      </c>
      <c r="E47" s="1886">
        <v>16</v>
      </c>
      <c r="F47" s="1887" t="s">
        <v>146</v>
      </c>
      <c r="G47" s="1888" t="s">
        <v>147</v>
      </c>
      <c r="H47" s="1904"/>
      <c r="I47" s="1902"/>
      <c r="J47" s="1889"/>
      <c r="K47" s="1917">
        <v>3107</v>
      </c>
      <c r="L47" s="1891">
        <f>'통장내역(환율표)'!$D$58</f>
        <v>6.916399997777944</v>
      </c>
      <c r="M47" s="1956">
        <f t="shared" si="9"/>
        <v>449.22213882918811</v>
      </c>
      <c r="N47" s="1892">
        <f t="shared" si="12"/>
        <v>556808.93000000098</v>
      </c>
      <c r="O47" s="1892">
        <f t="shared" si="13"/>
        <v>81008.623846041693</v>
      </c>
      <c r="P47" s="1903"/>
      <c r="Q47" s="1894"/>
      <c r="R47" s="1903"/>
      <c r="S47" s="1871">
        <f t="shared" si="14"/>
        <v>949.72384597369035</v>
      </c>
      <c r="T47" s="1777"/>
      <c r="U47" s="1777"/>
      <c r="V47" s="1777"/>
      <c r="W47" s="1777"/>
      <c r="X47" s="1777"/>
      <c r="Y47" s="1777"/>
      <c r="Z47" s="1777"/>
      <c r="AA47" s="1777"/>
      <c r="AB47" s="1777"/>
      <c r="AC47" s="1777"/>
    </row>
    <row r="48" spans="1:29" s="1778" customFormat="1" ht="12" customHeight="1">
      <c r="A48" s="1779"/>
      <c r="B48" s="1884">
        <v>46104</v>
      </c>
      <c r="C48" s="1105" t="s">
        <v>11</v>
      </c>
      <c r="D48" s="1885" t="s">
        <v>1390</v>
      </c>
      <c r="E48" s="1886">
        <v>17</v>
      </c>
      <c r="F48" s="1887" t="s">
        <v>125</v>
      </c>
      <c r="G48" s="1888" t="s">
        <v>145</v>
      </c>
      <c r="H48" s="1904"/>
      <c r="I48" s="1902"/>
      <c r="J48" s="1889"/>
      <c r="K48" s="1917">
        <v>715.2</v>
      </c>
      <c r="L48" s="1891">
        <f>'통장내역(환율표)'!$D$58</f>
        <v>6.916399997777944</v>
      </c>
      <c r="M48" s="1956">
        <f t="shared" si="9"/>
        <v>103.4063964244079</v>
      </c>
      <c r="N48" s="1892">
        <f t="shared" si="12"/>
        <v>556093.73000000103</v>
      </c>
      <c r="O48" s="1892">
        <f t="shared" si="13"/>
        <v>80905.217449617281</v>
      </c>
      <c r="P48" s="1903"/>
      <c r="Q48" s="1894"/>
      <c r="R48" s="1894"/>
      <c r="S48" s="1871">
        <f t="shared" si="14"/>
        <v>846.3174495492824</v>
      </c>
      <c r="T48" s="1777"/>
      <c r="U48" s="1777"/>
      <c r="V48" s="1777"/>
      <c r="W48" s="1777"/>
      <c r="X48" s="1777"/>
      <c r="Y48" s="1777"/>
      <c r="Z48" s="1777"/>
      <c r="AA48" s="1777"/>
      <c r="AB48" s="1777"/>
      <c r="AC48" s="1777"/>
    </row>
    <row r="49" spans="1:29" s="1778" customFormat="1" ht="12" customHeight="1">
      <c r="A49" s="1779"/>
      <c r="B49" s="1884">
        <v>46104</v>
      </c>
      <c r="C49" s="1105" t="s">
        <v>1451</v>
      </c>
      <c r="D49" s="1885" t="s">
        <v>1390</v>
      </c>
      <c r="E49" s="1886">
        <v>18</v>
      </c>
      <c r="F49" s="1887" t="s">
        <v>146</v>
      </c>
      <c r="G49" s="1888" t="s">
        <v>147</v>
      </c>
      <c r="H49" s="1904"/>
      <c r="I49" s="1889"/>
      <c r="J49" s="1889"/>
      <c r="K49" s="1917">
        <v>511.53</v>
      </c>
      <c r="L49" s="1891">
        <f>'통장내역(환율표)'!$D$58</f>
        <v>6.916399997777944</v>
      </c>
      <c r="M49" s="1956">
        <f t="shared" si="9"/>
        <v>73.958996033245768</v>
      </c>
      <c r="N49" s="1892">
        <f t="shared" si="12"/>
        <v>555582.200000001</v>
      </c>
      <c r="O49" s="1892">
        <f t="shared" si="13"/>
        <v>80831.258453584029</v>
      </c>
      <c r="P49" s="1903"/>
      <c r="Q49" s="1894"/>
      <c r="R49" s="1894"/>
      <c r="S49" s="1871">
        <f t="shared" si="14"/>
        <v>772.35845351603666</v>
      </c>
      <c r="T49" s="1777"/>
      <c r="U49" s="1777"/>
      <c r="V49" s="1777"/>
      <c r="W49" s="1777"/>
      <c r="X49" s="1777"/>
      <c r="Y49" s="1777"/>
      <c r="Z49" s="1777"/>
      <c r="AA49" s="1777"/>
      <c r="AB49" s="1777"/>
      <c r="AC49" s="1777"/>
    </row>
    <row r="50" spans="1:29" s="1778" customFormat="1" ht="12" customHeight="1">
      <c r="A50" s="1779"/>
      <c r="B50" s="1884">
        <v>46104</v>
      </c>
      <c r="C50" s="1105" t="s">
        <v>19</v>
      </c>
      <c r="D50" s="1885" t="s">
        <v>1390</v>
      </c>
      <c r="E50" s="1886">
        <v>19</v>
      </c>
      <c r="F50" s="1887" t="s">
        <v>116</v>
      </c>
      <c r="G50" s="1888" t="s">
        <v>140</v>
      </c>
      <c r="H50" s="1904"/>
      <c r="I50" s="1889"/>
      <c r="J50" s="1889"/>
      <c r="K50" s="1917">
        <v>221</v>
      </c>
      <c r="L50" s="1891">
        <f>'통장내역(환율표)'!$D$58</f>
        <v>6.916399997777944</v>
      </c>
      <c r="M50" s="1956">
        <f t="shared" si="9"/>
        <v>31.953039163582417</v>
      </c>
      <c r="N50" s="1892">
        <f t="shared" si="12"/>
        <v>555361.200000001</v>
      </c>
      <c r="O50" s="1892">
        <f t="shared" si="13"/>
        <v>80799.305414420451</v>
      </c>
      <c r="P50" s="1903"/>
      <c r="Q50" s="1894"/>
      <c r="R50" s="1894"/>
      <c r="S50" s="1871">
        <f t="shared" si="14"/>
        <v>740.40541435245427</v>
      </c>
      <c r="T50" s="1777"/>
      <c r="U50" s="1777"/>
      <c r="V50" s="1777"/>
      <c r="W50" s="1777"/>
      <c r="X50" s="1777"/>
      <c r="Y50" s="1777"/>
      <c r="Z50" s="1777"/>
      <c r="AA50" s="1777"/>
      <c r="AB50" s="1777"/>
      <c r="AC50" s="1777"/>
    </row>
    <row r="51" spans="1:29" s="1778" customFormat="1" ht="12" customHeight="1">
      <c r="A51" s="1779"/>
      <c r="B51" s="1884">
        <v>46104</v>
      </c>
      <c r="C51" s="1105" t="s">
        <v>564</v>
      </c>
      <c r="D51" s="1885" t="s">
        <v>1390</v>
      </c>
      <c r="E51" s="1886">
        <v>20</v>
      </c>
      <c r="F51" s="1887" t="s">
        <v>107</v>
      </c>
      <c r="G51" s="1888"/>
      <c r="H51" s="1904"/>
      <c r="I51" s="1889"/>
      <c r="J51" s="1889"/>
      <c r="K51" s="1917">
        <v>338</v>
      </c>
      <c r="L51" s="1891">
        <f>'통장내역(환율표)'!$D$58</f>
        <v>6.916399997777944</v>
      </c>
      <c r="M51" s="1956">
        <f t="shared" si="9"/>
        <v>48.86935401489076</v>
      </c>
      <c r="N51" s="1892">
        <f t="shared" si="12"/>
        <v>555023.200000001</v>
      </c>
      <c r="O51" s="1892">
        <f t="shared" si="13"/>
        <v>80750.436060405555</v>
      </c>
      <c r="P51" s="1903"/>
      <c r="Q51" s="1894"/>
      <c r="R51" s="1894"/>
      <c r="S51" s="1871">
        <f t="shared" si="14"/>
        <v>691.53606033756353</v>
      </c>
      <c r="T51" s="1777"/>
      <c r="U51" s="1777"/>
      <c r="V51" s="1777"/>
      <c r="W51" s="1777"/>
      <c r="X51" s="1777"/>
      <c r="Y51" s="1777"/>
      <c r="Z51" s="1777"/>
      <c r="AA51" s="1777"/>
      <c r="AB51" s="1777"/>
      <c r="AC51" s="1777"/>
    </row>
    <row r="52" spans="1:29" s="1778" customFormat="1" ht="12" customHeight="1">
      <c r="A52" s="1779"/>
      <c r="B52" s="1884">
        <v>46104</v>
      </c>
      <c r="C52" s="1105" t="s">
        <v>1405</v>
      </c>
      <c r="D52" s="1885" t="s">
        <v>1390</v>
      </c>
      <c r="E52" s="1886">
        <v>21</v>
      </c>
      <c r="F52" s="1887" t="s">
        <v>21</v>
      </c>
      <c r="G52" s="1888" t="s">
        <v>140</v>
      </c>
      <c r="H52" s="1904"/>
      <c r="I52" s="1889"/>
      <c r="J52" s="1889"/>
      <c r="K52" s="1917">
        <v>24</v>
      </c>
      <c r="L52" s="1891">
        <f>'통장내역(환율표)'!$D$58</f>
        <v>6.916399997777944</v>
      </c>
      <c r="M52" s="1956">
        <f t="shared" si="9"/>
        <v>3.4700133028324798</v>
      </c>
      <c r="N52" s="1892">
        <f t="shared" si="12"/>
        <v>554999.200000001</v>
      </c>
      <c r="O52" s="1892">
        <f t="shared" si="13"/>
        <v>80746.966047102716</v>
      </c>
      <c r="Q52" s="1894"/>
      <c r="R52" s="1903"/>
      <c r="S52" s="1871">
        <f t="shared" ref="S52:S96" si="15">S51-M52</f>
        <v>688.06604703473101</v>
      </c>
      <c r="T52" s="1777"/>
      <c r="U52" s="1777"/>
      <c r="V52" s="1777"/>
      <c r="W52" s="1777"/>
      <c r="X52" s="1777"/>
      <c r="Y52" s="1777"/>
      <c r="Z52" s="1777"/>
      <c r="AA52" s="1777"/>
      <c r="AB52" s="1777"/>
      <c r="AC52" s="1777"/>
    </row>
    <row r="53" spans="1:29" s="1778" customFormat="1" ht="12" customHeight="1">
      <c r="A53" s="1779"/>
      <c r="B53" s="1884">
        <v>46104</v>
      </c>
      <c r="C53" s="1105" t="s">
        <v>250</v>
      </c>
      <c r="D53" s="1885" t="s">
        <v>1390</v>
      </c>
      <c r="E53" s="1886">
        <v>22</v>
      </c>
      <c r="F53" s="1887" t="s">
        <v>107</v>
      </c>
      <c r="G53" s="1888"/>
      <c r="H53" s="1889"/>
      <c r="I53" s="1889"/>
      <c r="J53" s="1889"/>
      <c r="K53" s="1917">
        <v>3.6</v>
      </c>
      <c r="L53" s="1891">
        <f>'통장내역(환율표)'!$D$58</f>
        <v>6.916399997777944</v>
      </c>
      <c r="M53" s="1956">
        <f t="shared" si="9"/>
        <v>0.52050199542487197</v>
      </c>
      <c r="N53" s="1892">
        <f t="shared" si="12"/>
        <v>554995.60000000102</v>
      </c>
      <c r="O53" s="1892">
        <f t="shared" si="13"/>
        <v>80746.445545107286</v>
      </c>
      <c r="P53" s="1903"/>
      <c r="Q53" s="1894"/>
      <c r="R53" s="1903"/>
      <c r="S53" s="1871">
        <f t="shared" si="15"/>
        <v>687.54554503930615</v>
      </c>
      <c r="T53" s="1777"/>
      <c r="U53" s="1777"/>
      <c r="V53" s="1777"/>
      <c r="W53" s="1777"/>
      <c r="X53" s="1777"/>
      <c r="Y53" s="1777"/>
      <c r="Z53" s="1777"/>
      <c r="AA53" s="1777"/>
      <c r="AB53" s="1777"/>
      <c r="AC53" s="1777"/>
    </row>
    <row r="54" spans="1:29" s="1778" customFormat="1" ht="12" customHeight="1">
      <c r="A54" s="1779"/>
      <c r="B54" s="1884">
        <v>46104</v>
      </c>
      <c r="C54" s="1897" t="s">
        <v>1451</v>
      </c>
      <c r="D54" s="1898" t="s">
        <v>1591</v>
      </c>
      <c r="E54" s="1886">
        <v>23</v>
      </c>
      <c r="F54" s="1899" t="s">
        <v>146</v>
      </c>
      <c r="G54" s="1900" t="s">
        <v>147</v>
      </c>
      <c r="H54" s="1889"/>
      <c r="I54" s="1905"/>
      <c r="J54" s="1905"/>
      <c r="K54" s="1917">
        <v>391.2</v>
      </c>
      <c r="L54" s="1891">
        <f>'통장내역(환율표)'!$D$58</f>
        <v>6.916399997777944</v>
      </c>
      <c r="M54" s="1956">
        <f t="shared" si="9"/>
        <v>56.561216836169422</v>
      </c>
      <c r="N54" s="1892">
        <f t="shared" si="12"/>
        <v>554604.40000000107</v>
      </c>
      <c r="O54" s="1892">
        <f t="shared" si="13"/>
        <v>80689.884328271117</v>
      </c>
      <c r="P54" s="1903"/>
      <c r="Q54" s="1894"/>
      <c r="R54" s="1894"/>
      <c r="S54" s="1871">
        <f t="shared" si="15"/>
        <v>630.98432820313678</v>
      </c>
      <c r="T54" s="1777"/>
      <c r="U54" s="1777"/>
      <c r="V54" s="1777"/>
      <c r="W54" s="1777"/>
      <c r="X54" s="1777"/>
      <c r="Y54" s="1777"/>
      <c r="Z54" s="1777"/>
      <c r="AA54" s="1777"/>
      <c r="AB54" s="1777"/>
      <c r="AC54" s="1777"/>
    </row>
    <row r="55" spans="1:29" s="1778" customFormat="1" ht="12" customHeight="1">
      <c r="A55" s="1779"/>
      <c r="B55" s="1884">
        <v>46104</v>
      </c>
      <c r="C55" s="1897" t="s">
        <v>1403</v>
      </c>
      <c r="D55" s="1898" t="s">
        <v>1591</v>
      </c>
      <c r="E55" s="1886">
        <v>24</v>
      </c>
      <c r="F55" s="1899" t="s">
        <v>13</v>
      </c>
      <c r="G55" s="1900" t="s">
        <v>14</v>
      </c>
      <c r="H55" s="1889"/>
      <c r="I55" s="1905"/>
      <c r="J55" s="1905"/>
      <c r="K55" s="1917">
        <f>4321.5+42.57</f>
        <v>4364.07</v>
      </c>
      <c r="L55" s="1891">
        <f>'통장내역(환율표)'!$D$58</f>
        <v>6.916399997777944</v>
      </c>
      <c r="M55" s="1956">
        <f>K55/L55+0.01</f>
        <v>630.98420643717247</v>
      </c>
      <c r="N55" s="1892">
        <f t="shared" si="12"/>
        <v>550240.33000000112</v>
      </c>
      <c r="O55" s="1892">
        <f t="shared" si="13"/>
        <v>80058.90012183394</v>
      </c>
      <c r="P55" s="1903"/>
      <c r="Q55" s="1894"/>
      <c r="R55" s="1894"/>
      <c r="S55" s="1871">
        <f t="shared" si="15"/>
        <v>1.217659643089064E-4</v>
      </c>
      <c r="T55" s="1777"/>
      <c r="U55" s="1777"/>
      <c r="V55" s="1777"/>
      <c r="W55" s="1777"/>
      <c r="X55" s="1777"/>
      <c r="Y55" s="1777"/>
      <c r="Z55" s="1777"/>
      <c r="AA55" s="1777"/>
      <c r="AB55" s="1777"/>
      <c r="AC55" s="1777"/>
    </row>
    <row r="56" spans="1:29" s="1778" customFormat="1" ht="12" customHeight="1">
      <c r="A56" s="1779"/>
      <c r="B56" s="1884">
        <v>46104</v>
      </c>
      <c r="C56" s="1897" t="s">
        <v>1403</v>
      </c>
      <c r="D56" s="1898" t="s">
        <v>1591</v>
      </c>
      <c r="E56" s="1886">
        <v>24</v>
      </c>
      <c r="F56" s="1899" t="s">
        <v>13</v>
      </c>
      <c r="G56" s="1900" t="s">
        <v>14</v>
      </c>
      <c r="H56" s="1889"/>
      <c r="I56" s="1905"/>
      <c r="J56" s="1905"/>
      <c r="K56" s="1970">
        <f>5197.77-K55</f>
        <v>833.70000000000073</v>
      </c>
      <c r="L56" s="1891">
        <v>6.8629567619426171</v>
      </c>
      <c r="M56" s="1867">
        <f t="shared" ref="M56" si="16">K56/L56</f>
        <v>121.4782533125001</v>
      </c>
      <c r="N56" s="1892">
        <f t="shared" ref="N56" si="17">N55+H56-K56</f>
        <v>549406.63000000117</v>
      </c>
      <c r="O56" s="1892">
        <f t="shared" ref="O56" si="18">O55+J56-M56</f>
        <v>79937.421868521444</v>
      </c>
      <c r="P56" s="1903"/>
      <c r="Q56" s="1894"/>
      <c r="R56" s="1894"/>
      <c r="S56" s="1871">
        <f>6994.07-M56</f>
        <v>6872.5917466874998</v>
      </c>
      <c r="T56" s="1777"/>
      <c r="U56" s="1777"/>
      <c r="V56" s="1777"/>
      <c r="W56" s="1777"/>
      <c r="X56" s="1777"/>
      <c r="Y56" s="1777"/>
      <c r="Z56" s="1777"/>
      <c r="AA56" s="1777"/>
      <c r="AB56" s="1777"/>
      <c r="AC56" s="1777"/>
    </row>
    <row r="57" spans="1:29" s="1778" customFormat="1" ht="12" customHeight="1">
      <c r="A57" s="1779"/>
      <c r="B57" s="1884">
        <v>46104</v>
      </c>
      <c r="C57" s="1897" t="s">
        <v>19</v>
      </c>
      <c r="D57" s="1898" t="s">
        <v>1591</v>
      </c>
      <c r="E57" s="1886">
        <v>25</v>
      </c>
      <c r="F57" s="1899" t="s">
        <v>116</v>
      </c>
      <c r="G57" s="1900" t="s">
        <v>140</v>
      </c>
      <c r="H57" s="1889"/>
      <c r="I57" s="1905"/>
      <c r="J57" s="1905"/>
      <c r="K57" s="1970">
        <v>300</v>
      </c>
      <c r="L57" s="1891">
        <v>6.8629567619426171</v>
      </c>
      <c r="M57" s="1867">
        <f t="shared" ref="M57:M99" si="19">K57/L57</f>
        <v>43.712937500000002</v>
      </c>
      <c r="N57" s="1892">
        <f t="shared" ref="N57:N99" si="20">N56+H57-K57</f>
        <v>549106.63000000117</v>
      </c>
      <c r="O57" s="1892">
        <f t="shared" ref="O57:O99" si="21">O56+J57-M57</f>
        <v>79893.708931021451</v>
      </c>
      <c r="P57" s="1903"/>
      <c r="Q57" s="1894"/>
      <c r="R57" s="1894"/>
      <c r="S57" s="1871">
        <f>S56-M57</f>
        <v>6828.8788091874994</v>
      </c>
      <c r="T57" s="1777"/>
      <c r="U57" s="1777"/>
      <c r="V57" s="1777"/>
      <c r="W57" s="1777"/>
      <c r="X57" s="1777"/>
      <c r="Y57" s="1777"/>
      <c r="Z57" s="1777"/>
      <c r="AA57" s="1777"/>
      <c r="AB57" s="1777"/>
      <c r="AC57" s="1777"/>
    </row>
    <row r="58" spans="1:29" s="1778" customFormat="1" ht="12" customHeight="1">
      <c r="A58" s="1779"/>
      <c r="B58" s="1884">
        <v>46104</v>
      </c>
      <c r="C58" s="1897" t="s">
        <v>250</v>
      </c>
      <c r="D58" s="1898" t="s">
        <v>1591</v>
      </c>
      <c r="E58" s="1886">
        <v>26</v>
      </c>
      <c r="F58" s="1899" t="s">
        <v>107</v>
      </c>
      <c r="G58" s="1900"/>
      <c r="H58" s="1889"/>
      <c r="I58" s="1905"/>
      <c r="J58" s="1905"/>
      <c r="K58" s="1970">
        <v>3.6</v>
      </c>
      <c r="L58" s="1891">
        <v>6.8629567619426171</v>
      </c>
      <c r="M58" s="1867">
        <f t="shared" si="19"/>
        <v>0.52455525000000003</v>
      </c>
      <c r="N58" s="1892">
        <f t="shared" si="20"/>
        <v>549103.03000000119</v>
      </c>
      <c r="O58" s="1892">
        <f t="shared" si="21"/>
        <v>79893.184375771452</v>
      </c>
      <c r="P58" s="1903"/>
      <c r="Q58" s="1894"/>
      <c r="R58" s="1894"/>
      <c r="S58" s="1871">
        <f t="shared" ref="S58:S73" si="22">S57-M58</f>
        <v>6828.3542539374994</v>
      </c>
      <c r="T58" s="1777"/>
      <c r="U58" s="1777"/>
      <c r="V58" s="1777"/>
      <c r="W58" s="1777"/>
      <c r="X58" s="1777"/>
      <c r="Y58" s="1777"/>
      <c r="Z58" s="1777"/>
      <c r="AA58" s="1777"/>
      <c r="AB58" s="1777"/>
      <c r="AC58" s="1777"/>
    </row>
    <row r="59" spans="1:29" s="1778" customFormat="1" ht="12" customHeight="1">
      <c r="A59" s="1779"/>
      <c r="B59" s="1884">
        <v>46104</v>
      </c>
      <c r="C59" s="1897" t="s">
        <v>1668</v>
      </c>
      <c r="D59" s="1898" t="s">
        <v>1394</v>
      </c>
      <c r="E59" s="1886">
        <v>27</v>
      </c>
      <c r="F59" s="1899" t="s">
        <v>146</v>
      </c>
      <c r="G59" s="1900" t="s">
        <v>147</v>
      </c>
      <c r="H59" s="1889"/>
      <c r="I59" s="1889"/>
      <c r="J59" s="1889"/>
      <c r="K59" s="1970">
        <f>4800</f>
        <v>4800</v>
      </c>
      <c r="L59" s="1891">
        <v>6.8629567619426171</v>
      </c>
      <c r="M59" s="1867">
        <f t="shared" si="19"/>
        <v>699.40700000000004</v>
      </c>
      <c r="N59" s="1892">
        <f t="shared" si="20"/>
        <v>544303.03000000119</v>
      </c>
      <c r="O59" s="1892">
        <f t="shared" si="21"/>
        <v>79193.777375771446</v>
      </c>
      <c r="P59" s="1903"/>
      <c r="Q59" s="1894"/>
      <c r="R59" s="1894"/>
      <c r="S59" s="1871">
        <f t="shared" si="22"/>
        <v>6128.9472539374992</v>
      </c>
      <c r="T59" s="1777"/>
      <c r="U59" s="1777"/>
      <c r="V59" s="1777"/>
      <c r="W59" s="1777"/>
      <c r="X59" s="1777"/>
      <c r="Y59" s="1777"/>
      <c r="Z59" s="1777"/>
      <c r="AA59" s="1777"/>
      <c r="AB59" s="1777"/>
      <c r="AC59" s="1777"/>
    </row>
    <row r="60" spans="1:29" s="1778" customFormat="1" ht="12" customHeight="1">
      <c r="A60" s="1779"/>
      <c r="B60" s="1884">
        <v>46104</v>
      </c>
      <c r="C60" s="1897" t="s">
        <v>1659</v>
      </c>
      <c r="D60" s="1898" t="s">
        <v>1394</v>
      </c>
      <c r="E60" s="1886">
        <v>28</v>
      </c>
      <c r="F60" s="1899" t="s">
        <v>1670</v>
      </c>
      <c r="G60" s="1900" t="s">
        <v>140</v>
      </c>
      <c r="H60" s="1889"/>
      <c r="I60" s="1889"/>
      <c r="J60" s="1889"/>
      <c r="K60" s="1970">
        <v>1484.49</v>
      </c>
      <c r="L60" s="1891">
        <v>6.8629567619426171</v>
      </c>
      <c r="M60" s="1867">
        <f t="shared" si="19"/>
        <v>216.30472863125001</v>
      </c>
      <c r="N60" s="1892">
        <f t="shared" si="20"/>
        <v>542818.5400000012</v>
      </c>
      <c r="O60" s="1892">
        <f t="shared" si="21"/>
        <v>78977.472647140195</v>
      </c>
      <c r="P60" s="1903" t="s">
        <v>1669</v>
      </c>
      <c r="Q60" s="1894"/>
      <c r="R60" s="1894"/>
      <c r="S60" s="1871">
        <f t="shared" si="22"/>
        <v>5912.6425253062489</v>
      </c>
      <c r="T60" s="1777"/>
      <c r="U60" s="1777"/>
      <c r="V60" s="1777"/>
      <c r="W60" s="1777"/>
      <c r="X60" s="1777"/>
      <c r="Y60" s="1777"/>
      <c r="Z60" s="1777"/>
      <c r="AA60" s="1777"/>
      <c r="AB60" s="1777"/>
      <c r="AC60" s="1777"/>
    </row>
    <row r="61" spans="1:29" s="1778" customFormat="1" ht="12" customHeight="1">
      <c r="A61" s="1779"/>
      <c r="B61" s="1884">
        <v>46104</v>
      </c>
      <c r="C61" s="1897" t="s">
        <v>1660</v>
      </c>
      <c r="D61" s="1898" t="s">
        <v>1394</v>
      </c>
      <c r="E61" s="1886">
        <v>29</v>
      </c>
      <c r="F61" s="1899" t="s">
        <v>21</v>
      </c>
      <c r="G61" s="1900"/>
      <c r="H61" s="1889"/>
      <c r="I61" s="1889"/>
      <c r="J61" s="1889"/>
      <c r="K61" s="1970">
        <v>4439.6000000000004</v>
      </c>
      <c r="L61" s="1891">
        <v>6.8629567619426171</v>
      </c>
      <c r="M61" s="1867">
        <f t="shared" si="19"/>
        <v>646.89319108333336</v>
      </c>
      <c r="N61" s="1892">
        <f t="shared" si="20"/>
        <v>538378.94000000122</v>
      </c>
      <c r="O61" s="1892">
        <f t="shared" si="21"/>
        <v>78330.579456056861</v>
      </c>
      <c r="Q61" s="1894"/>
      <c r="R61" s="1894"/>
      <c r="S61" s="1871">
        <f t="shared" si="22"/>
        <v>5265.7493342229154</v>
      </c>
      <c r="T61" s="1777"/>
      <c r="U61" s="1777"/>
      <c r="V61" s="1777"/>
      <c r="W61" s="1777"/>
      <c r="X61" s="1777"/>
      <c r="Y61" s="1777"/>
      <c r="Z61" s="1777"/>
      <c r="AA61" s="1777"/>
      <c r="AB61" s="1777"/>
      <c r="AC61" s="1777"/>
    </row>
    <row r="62" spans="1:29" s="1778" customFormat="1" ht="12" customHeight="1">
      <c r="A62" s="1779"/>
      <c r="B62" s="1884">
        <v>46104</v>
      </c>
      <c r="C62" s="1897" t="s">
        <v>1661</v>
      </c>
      <c r="D62" s="1898" t="s">
        <v>1394</v>
      </c>
      <c r="E62" s="1886">
        <v>30</v>
      </c>
      <c r="F62" s="1899" t="s">
        <v>21</v>
      </c>
      <c r="G62" s="1900"/>
      <c r="H62" s="1889"/>
      <c r="I62" s="1889"/>
      <c r="J62" s="1889"/>
      <c r="K62" s="1970">
        <v>846</v>
      </c>
      <c r="L62" s="1891">
        <v>6.8629567619426171</v>
      </c>
      <c r="M62" s="1867">
        <f t="shared" si="19"/>
        <v>123.27048375</v>
      </c>
      <c r="N62" s="1892">
        <f t="shared" si="20"/>
        <v>537532.94000000122</v>
      </c>
      <c r="O62" s="1892">
        <f t="shared" si="21"/>
        <v>78207.308972306855</v>
      </c>
      <c r="P62" s="1903"/>
      <c r="Q62" s="1894"/>
      <c r="R62" s="1894"/>
      <c r="S62" s="1871">
        <f t="shared" si="22"/>
        <v>5142.4788504729158</v>
      </c>
      <c r="T62" s="1777"/>
      <c r="U62" s="1777"/>
      <c r="V62" s="1777"/>
      <c r="W62" s="1777"/>
      <c r="X62" s="1777"/>
      <c r="Y62" s="1777"/>
      <c r="Z62" s="1777"/>
      <c r="AA62" s="1777"/>
      <c r="AB62" s="1777"/>
      <c r="AC62" s="1777"/>
    </row>
    <row r="63" spans="1:29" s="1782" customFormat="1" ht="11.25" customHeight="1">
      <c r="A63" s="1779"/>
      <c r="B63" s="1884">
        <v>46104</v>
      </c>
      <c r="C63" s="1897" t="s">
        <v>1403</v>
      </c>
      <c r="D63" s="1898" t="s">
        <v>1394</v>
      </c>
      <c r="E63" s="1886">
        <v>31</v>
      </c>
      <c r="F63" s="1899" t="s">
        <v>13</v>
      </c>
      <c r="G63" s="1900" t="s">
        <v>14</v>
      </c>
      <c r="H63" s="1889"/>
      <c r="I63" s="1889"/>
      <c r="J63" s="1889"/>
      <c r="K63" s="1970">
        <v>6491.85</v>
      </c>
      <c r="L63" s="1891">
        <v>6.8629567619426171</v>
      </c>
      <c r="M63" s="1867">
        <f t="shared" si="19"/>
        <v>945.92611103125012</v>
      </c>
      <c r="N63" s="1892">
        <f t="shared" si="20"/>
        <v>531041.09000000125</v>
      </c>
      <c r="O63" s="1892">
        <f t="shared" si="21"/>
        <v>77261.382861275604</v>
      </c>
      <c r="P63" s="1903"/>
      <c r="Q63" s="1894"/>
      <c r="R63" s="1894"/>
      <c r="S63" s="1871">
        <f t="shared" si="22"/>
        <v>4196.5527394416658</v>
      </c>
      <c r="T63" s="1777"/>
      <c r="U63" s="1777"/>
      <c r="V63" s="1777"/>
      <c r="W63" s="1777"/>
      <c r="X63" s="1777"/>
      <c r="Y63" s="1777"/>
      <c r="Z63" s="1777"/>
      <c r="AA63" s="1777"/>
      <c r="AB63" s="1777"/>
      <c r="AC63" s="1777"/>
    </row>
    <row r="64" spans="1:29" s="1782" customFormat="1" ht="11.25" customHeight="1">
      <c r="A64" s="1779"/>
      <c r="B64" s="1884">
        <v>46104</v>
      </c>
      <c r="C64" s="1897" t="s">
        <v>11</v>
      </c>
      <c r="D64" s="1898" t="s">
        <v>1394</v>
      </c>
      <c r="E64" s="1886">
        <v>32</v>
      </c>
      <c r="F64" s="1899" t="s">
        <v>125</v>
      </c>
      <c r="G64" s="1900" t="s">
        <v>145</v>
      </c>
      <c r="H64" s="1889"/>
      <c r="I64" s="1889"/>
      <c r="J64" s="1889"/>
      <c r="K64" s="1970">
        <v>6146</v>
      </c>
      <c r="L64" s="1891">
        <v>6.8629567619426171</v>
      </c>
      <c r="M64" s="1867">
        <f t="shared" si="19"/>
        <v>895.5323795833333</v>
      </c>
      <c r="N64" s="1892">
        <f t="shared" si="20"/>
        <v>524895.09000000125</v>
      </c>
      <c r="O64" s="1892">
        <f t="shared" si="21"/>
        <v>76365.850481692265</v>
      </c>
      <c r="P64" s="1903"/>
      <c r="Q64" s="1894"/>
      <c r="R64" s="1894"/>
      <c r="S64" s="1871">
        <f t="shared" si="22"/>
        <v>3301.0203598583325</v>
      </c>
      <c r="T64" s="1777"/>
      <c r="U64" s="1777"/>
      <c r="V64" s="1777"/>
      <c r="W64" s="1777"/>
      <c r="X64" s="1777"/>
      <c r="Y64" s="1777"/>
      <c r="Z64" s="1777"/>
      <c r="AA64" s="1777"/>
      <c r="AB64" s="1777"/>
      <c r="AC64" s="1777"/>
    </row>
    <row r="65" spans="1:29" s="1782" customFormat="1" ht="11.25" customHeight="1">
      <c r="A65" s="1779"/>
      <c r="B65" s="1884">
        <v>46104</v>
      </c>
      <c r="C65" s="1897" t="s">
        <v>1451</v>
      </c>
      <c r="D65" s="1898" t="s">
        <v>1394</v>
      </c>
      <c r="E65" s="1886">
        <v>33</v>
      </c>
      <c r="F65" s="1899" t="s">
        <v>146</v>
      </c>
      <c r="G65" s="1900" t="s">
        <v>147</v>
      </c>
      <c r="H65" s="1889"/>
      <c r="I65" s="1889"/>
      <c r="J65" s="1889"/>
      <c r="K65" s="1970">
        <v>262</v>
      </c>
      <c r="L65" s="1891">
        <v>6.8629567619426171</v>
      </c>
      <c r="M65" s="1867">
        <f t="shared" si="19"/>
        <v>38.175965416666664</v>
      </c>
      <c r="N65" s="1892">
        <f t="shared" si="20"/>
        <v>524633.09000000125</v>
      </c>
      <c r="O65" s="1892">
        <f t="shared" si="21"/>
        <v>76327.674516275598</v>
      </c>
      <c r="P65" s="1903"/>
      <c r="Q65" s="1894"/>
      <c r="R65" s="1894"/>
      <c r="S65" s="1871">
        <f t="shared" si="22"/>
        <v>3262.8443944416658</v>
      </c>
      <c r="T65" s="1777"/>
      <c r="U65" s="1777"/>
      <c r="V65" s="1777"/>
      <c r="W65" s="1777"/>
      <c r="X65" s="1777"/>
      <c r="Y65" s="1777"/>
      <c r="Z65" s="1777"/>
      <c r="AA65" s="1777"/>
      <c r="AB65" s="1777"/>
      <c r="AC65" s="1777"/>
    </row>
    <row r="66" spans="1:29" s="1782" customFormat="1" ht="11.25" customHeight="1">
      <c r="A66" s="1779"/>
      <c r="B66" s="1884">
        <v>46104</v>
      </c>
      <c r="C66" s="1897" t="s">
        <v>19</v>
      </c>
      <c r="D66" s="1898" t="s">
        <v>1394</v>
      </c>
      <c r="E66" s="1886">
        <v>34</v>
      </c>
      <c r="F66" s="1899" t="s">
        <v>116</v>
      </c>
      <c r="G66" s="1900" t="s">
        <v>140</v>
      </c>
      <c r="H66" s="1889"/>
      <c r="I66" s="1889"/>
      <c r="J66" s="1889"/>
      <c r="K66" s="1970">
        <v>214.55</v>
      </c>
      <c r="L66" s="1891">
        <v>6.8629567619426171</v>
      </c>
      <c r="M66" s="1867">
        <f t="shared" si="19"/>
        <v>31.262035802083336</v>
      </c>
      <c r="N66" s="1892">
        <f t="shared" si="20"/>
        <v>524418.5400000012</v>
      </c>
      <c r="O66" s="1892">
        <f t="shared" si="21"/>
        <v>76296.412480473518</v>
      </c>
      <c r="P66" s="1903"/>
      <c r="Q66" s="1894"/>
      <c r="R66" s="1894"/>
      <c r="S66" s="1871">
        <f t="shared" si="22"/>
        <v>3231.5823586395827</v>
      </c>
      <c r="T66" s="1777"/>
      <c r="U66" s="1777"/>
      <c r="V66" s="1777"/>
      <c r="W66" s="1777"/>
      <c r="X66" s="1777"/>
      <c r="Y66" s="1777"/>
      <c r="Z66" s="1777"/>
      <c r="AA66" s="1777"/>
      <c r="AB66" s="1777"/>
      <c r="AC66" s="1777"/>
    </row>
    <row r="67" spans="1:29" s="1782" customFormat="1" ht="11.25" customHeight="1">
      <c r="A67" s="1779"/>
      <c r="B67" s="1884">
        <v>46104</v>
      </c>
      <c r="C67" s="1897" t="s">
        <v>564</v>
      </c>
      <c r="D67" s="1898" t="s">
        <v>1394</v>
      </c>
      <c r="E67" s="1886">
        <v>35</v>
      </c>
      <c r="F67" s="1899" t="s">
        <v>107</v>
      </c>
      <c r="G67" s="1900"/>
      <c r="H67" s="1889"/>
      <c r="I67" s="1889"/>
      <c r="J67" s="1889"/>
      <c r="K67" s="1970">
        <v>408</v>
      </c>
      <c r="L67" s="1891">
        <v>6.8629567619426171</v>
      </c>
      <c r="M67" s="1867">
        <f t="shared" si="19"/>
        <v>59.449595000000002</v>
      </c>
      <c r="N67" s="1892">
        <f t="shared" si="20"/>
        <v>524010.5400000012</v>
      </c>
      <c r="O67" s="1892">
        <f t="shared" si="21"/>
        <v>76236.96288547352</v>
      </c>
      <c r="P67" s="1903"/>
      <c r="Q67" s="1894"/>
      <c r="R67" s="1894"/>
      <c r="S67" s="1871">
        <f t="shared" si="22"/>
        <v>3172.1327636395827</v>
      </c>
      <c r="T67" s="1777"/>
      <c r="U67" s="1777"/>
      <c r="V67" s="1777"/>
      <c r="W67" s="1777"/>
      <c r="X67" s="1777"/>
      <c r="Y67" s="1777"/>
      <c r="Z67" s="1777"/>
      <c r="AA67" s="1777"/>
      <c r="AB67" s="1777"/>
      <c r="AC67" s="1777"/>
    </row>
    <row r="68" spans="1:29" s="1782" customFormat="1" ht="11.25" customHeight="1">
      <c r="A68" s="1779"/>
      <c r="B68" s="1884">
        <v>46104</v>
      </c>
      <c r="C68" s="1952" t="s">
        <v>250</v>
      </c>
      <c r="D68" s="1898" t="s">
        <v>1394</v>
      </c>
      <c r="E68" s="1886">
        <v>36</v>
      </c>
      <c r="F68" s="1899" t="s">
        <v>107</v>
      </c>
      <c r="G68" s="1900"/>
      <c r="H68" s="1889"/>
      <c r="I68" s="1889"/>
      <c r="J68" s="1889"/>
      <c r="K68" s="1970">
        <v>7.2</v>
      </c>
      <c r="L68" s="1891">
        <v>6.8629567619426171</v>
      </c>
      <c r="M68" s="1867">
        <f t="shared" si="19"/>
        <v>1.0491105000000001</v>
      </c>
      <c r="N68" s="1892">
        <f t="shared" si="20"/>
        <v>524003.34000000119</v>
      </c>
      <c r="O68" s="1892">
        <f t="shared" si="21"/>
        <v>76235.913774973524</v>
      </c>
      <c r="P68" s="1903"/>
      <c r="Q68" s="1894"/>
      <c r="R68" s="1894"/>
      <c r="S68" s="1871">
        <f t="shared" si="22"/>
        <v>3171.0836531395826</v>
      </c>
      <c r="T68" s="1777"/>
      <c r="U68" s="1777"/>
      <c r="V68" s="1777"/>
      <c r="W68" s="1777"/>
      <c r="X68" s="1777"/>
      <c r="Y68" s="1777"/>
      <c r="Z68" s="1777"/>
      <c r="AA68" s="1777"/>
      <c r="AB68" s="1777"/>
      <c r="AC68" s="1777"/>
    </row>
    <row r="69" spans="1:29" s="1782" customFormat="1" ht="11.25" customHeight="1">
      <c r="A69" s="1779"/>
      <c r="B69" s="1884">
        <v>46104</v>
      </c>
      <c r="C69" s="1897" t="s">
        <v>1658</v>
      </c>
      <c r="D69" s="1898" t="s">
        <v>1391</v>
      </c>
      <c r="E69" s="1886">
        <v>37</v>
      </c>
      <c r="F69" s="1899" t="s">
        <v>107</v>
      </c>
      <c r="G69" s="1900"/>
      <c r="H69" s="1889"/>
      <c r="I69" s="1889"/>
      <c r="J69" s="1889"/>
      <c r="K69" s="1970">
        <v>5000</v>
      </c>
      <c r="L69" s="1891">
        <v>6.8629567619426171</v>
      </c>
      <c r="M69" s="1867">
        <f t="shared" si="19"/>
        <v>728.5489583333333</v>
      </c>
      <c r="N69" s="1892">
        <f t="shared" si="20"/>
        <v>519003.34000000119</v>
      </c>
      <c r="O69" s="1892">
        <f t="shared" si="21"/>
        <v>75507.364816640184</v>
      </c>
      <c r="P69" s="1903"/>
      <c r="Q69" s="1894"/>
      <c r="R69" s="1894"/>
      <c r="S69" s="1871">
        <f t="shared" si="22"/>
        <v>2442.5346948062493</v>
      </c>
      <c r="T69" s="1777"/>
      <c r="U69" s="1777"/>
      <c r="V69" s="1777"/>
      <c r="W69" s="1777"/>
      <c r="X69" s="1777"/>
      <c r="Y69" s="1777"/>
      <c r="Z69" s="1777"/>
      <c r="AA69" s="1777"/>
      <c r="AB69" s="1777"/>
      <c r="AC69" s="1777"/>
    </row>
    <row r="70" spans="1:29" s="1782" customFormat="1" ht="11.25" customHeight="1">
      <c r="A70" s="1779"/>
      <c r="B70" s="1884">
        <v>46104</v>
      </c>
      <c r="C70" s="1897" t="s">
        <v>116</v>
      </c>
      <c r="D70" s="1898" t="s">
        <v>1391</v>
      </c>
      <c r="E70" s="1886">
        <v>38</v>
      </c>
      <c r="F70" s="1899" t="s">
        <v>116</v>
      </c>
      <c r="G70" s="1900" t="s">
        <v>140</v>
      </c>
      <c r="H70" s="1889"/>
      <c r="I70" s="1889"/>
      <c r="J70" s="1889"/>
      <c r="K70" s="1970">
        <v>299.3</v>
      </c>
      <c r="L70" s="1891">
        <v>6.8629567619426171</v>
      </c>
      <c r="M70" s="1867">
        <f t="shared" si="19"/>
        <v>43.610940645833338</v>
      </c>
      <c r="N70" s="1892">
        <f t="shared" si="20"/>
        <v>518704.0400000012</v>
      </c>
      <c r="O70" s="1892">
        <f t="shared" si="21"/>
        <v>75463.753875994356</v>
      </c>
      <c r="P70" s="1903"/>
      <c r="Q70" s="1894"/>
      <c r="R70" s="1894"/>
      <c r="S70" s="1871">
        <f t="shared" si="22"/>
        <v>2398.9237541604161</v>
      </c>
      <c r="T70" s="1777"/>
      <c r="U70" s="1777"/>
      <c r="V70" s="1777"/>
      <c r="W70" s="1777"/>
      <c r="X70" s="1777"/>
      <c r="Y70" s="1777"/>
      <c r="Z70" s="1777"/>
      <c r="AA70" s="1777"/>
      <c r="AB70" s="1777"/>
      <c r="AC70" s="1777"/>
    </row>
    <row r="71" spans="1:29" s="1782" customFormat="1" ht="11.25" customHeight="1">
      <c r="A71" s="1779"/>
      <c r="B71" s="1884">
        <v>46104</v>
      </c>
      <c r="C71" s="1897" t="s">
        <v>250</v>
      </c>
      <c r="D71" s="1898" t="s">
        <v>1391</v>
      </c>
      <c r="E71" s="1886">
        <v>39</v>
      </c>
      <c r="F71" s="1899" t="s">
        <v>107</v>
      </c>
      <c r="G71" s="1900"/>
      <c r="H71" s="1889"/>
      <c r="I71" s="1889"/>
      <c r="J71" s="1889"/>
      <c r="K71" s="1970">
        <v>3.6</v>
      </c>
      <c r="L71" s="1891">
        <v>6.8629567619426171</v>
      </c>
      <c r="M71" s="1867">
        <f t="shared" si="19"/>
        <v>0.52455525000000003</v>
      </c>
      <c r="N71" s="1892">
        <f t="shared" si="20"/>
        <v>518700.44000000122</v>
      </c>
      <c r="O71" s="1892">
        <f t="shared" si="21"/>
        <v>75463.229320744358</v>
      </c>
      <c r="P71" s="1903"/>
      <c r="Q71" s="1894"/>
      <c r="R71" s="1894"/>
      <c r="S71" s="1871">
        <f t="shared" si="22"/>
        <v>2398.3991989104161</v>
      </c>
      <c r="T71" s="1777"/>
      <c r="U71" s="1777"/>
      <c r="V71" s="1777"/>
      <c r="W71" s="1777"/>
      <c r="X71" s="1777"/>
      <c r="Y71" s="1777"/>
      <c r="Z71" s="1777"/>
      <c r="AA71" s="1777"/>
      <c r="AB71" s="1777"/>
      <c r="AC71" s="1777"/>
    </row>
    <row r="72" spans="1:29" s="1782" customFormat="1" ht="11.25" customHeight="1">
      <c r="A72" s="1779"/>
      <c r="B72" s="1884">
        <v>46104</v>
      </c>
      <c r="C72" s="1952" t="s">
        <v>11</v>
      </c>
      <c r="D72" s="1898" t="s">
        <v>1551</v>
      </c>
      <c r="E72" s="1886">
        <v>40</v>
      </c>
      <c r="F72" s="1899" t="s">
        <v>125</v>
      </c>
      <c r="G72" s="1900" t="s">
        <v>145</v>
      </c>
      <c r="H72" s="1889"/>
      <c r="I72" s="1889"/>
      <c r="J72" s="1889"/>
      <c r="K72" s="1970">
        <v>8013.8</v>
      </c>
      <c r="L72" s="1891">
        <v>6.8629567619426171</v>
      </c>
      <c r="M72" s="1867">
        <f t="shared" si="19"/>
        <v>1167.6891284583335</v>
      </c>
      <c r="N72" s="1892">
        <f t="shared" si="20"/>
        <v>510686.64000000124</v>
      </c>
      <c r="O72" s="1892">
        <f t="shared" si="21"/>
        <v>74295.540192286018</v>
      </c>
      <c r="P72" s="1903"/>
      <c r="Q72" s="1894"/>
      <c r="R72" s="1894"/>
      <c r="S72" s="1871">
        <f t="shared" si="22"/>
        <v>1230.7100704520826</v>
      </c>
      <c r="T72" s="1777"/>
      <c r="U72" s="1777"/>
      <c r="V72" s="1777"/>
      <c r="W72" s="1777"/>
      <c r="X72" s="1777"/>
      <c r="Y72" s="1777"/>
      <c r="Z72" s="1777"/>
      <c r="AA72" s="1777"/>
      <c r="AB72" s="1777"/>
      <c r="AC72" s="1777"/>
    </row>
    <row r="73" spans="1:29" s="1782" customFormat="1" ht="11.25" customHeight="1">
      <c r="A73" s="1779"/>
      <c r="B73" s="1884">
        <v>46104</v>
      </c>
      <c r="C73" s="1897" t="s">
        <v>1403</v>
      </c>
      <c r="D73" s="1898" t="s">
        <v>1551</v>
      </c>
      <c r="E73" s="1886">
        <v>41</v>
      </c>
      <c r="F73" s="1899" t="s">
        <v>146</v>
      </c>
      <c r="G73" s="1900" t="s">
        <v>147</v>
      </c>
      <c r="H73" s="1889"/>
      <c r="I73" s="1889"/>
      <c r="J73" s="1889"/>
      <c r="K73" s="1970">
        <f>8403.74+42.57</f>
        <v>8446.31</v>
      </c>
      <c r="L73" s="1891">
        <v>6.8629567619426171</v>
      </c>
      <c r="M73" s="1867">
        <f t="shared" ref="M73" si="23">K73/L73</f>
        <v>1230.7100704520833</v>
      </c>
      <c r="N73" s="1892">
        <f t="shared" si="20"/>
        <v>502240.33000000124</v>
      </c>
      <c r="O73" s="1892">
        <f t="shared" si="21"/>
        <v>73064.830121833933</v>
      </c>
      <c r="P73" s="1903"/>
      <c r="Q73" s="1894"/>
      <c r="R73" s="1894"/>
      <c r="S73" s="1871">
        <f t="shared" si="22"/>
        <v>0</v>
      </c>
      <c r="T73" s="1777"/>
      <c r="U73" s="1777"/>
      <c r="V73" s="1777"/>
      <c r="W73" s="1777"/>
      <c r="X73" s="1777"/>
      <c r="Y73" s="1777"/>
      <c r="Z73" s="1777"/>
      <c r="AA73" s="1777"/>
      <c r="AB73" s="1777"/>
      <c r="AC73" s="1777"/>
    </row>
    <row r="74" spans="1:29" s="1782" customFormat="1" ht="11.25" customHeight="1">
      <c r="A74" s="1779"/>
      <c r="B74" s="1884">
        <v>46104</v>
      </c>
      <c r="C74" s="1897" t="s">
        <v>1403</v>
      </c>
      <c r="D74" s="1898" t="s">
        <v>1551</v>
      </c>
      <c r="E74" s="1886">
        <v>41</v>
      </c>
      <c r="F74" s="1899" t="s">
        <v>146</v>
      </c>
      <c r="G74" s="1900" t="s">
        <v>147</v>
      </c>
      <c r="H74" s="1889"/>
      <c r="I74" s="1889"/>
      <c r="J74" s="1889"/>
      <c r="K74" s="1957">
        <f>14907.41-K73</f>
        <v>6461.1</v>
      </c>
      <c r="L74" s="1891">
        <f>'통장내역(환율표)'!$D$68</f>
        <v>6.8738999324298709</v>
      </c>
      <c r="M74" s="1958">
        <f t="shared" ref="M74" si="24">K74/L74</f>
        <v>939.94676435681708</v>
      </c>
      <c r="N74" s="1892">
        <f t="shared" si="20"/>
        <v>495779.23000000126</v>
      </c>
      <c r="O74" s="1892">
        <f t="shared" si="21"/>
        <v>72124.883357477112</v>
      </c>
      <c r="P74" s="1903"/>
      <c r="Q74" s="1894"/>
      <c r="R74" s="1894"/>
      <c r="S74" s="1871">
        <f>73064.83-M74</f>
        <v>72124.883235643181</v>
      </c>
      <c r="T74" s="1777"/>
      <c r="U74" s="1777"/>
      <c r="V74" s="1777"/>
      <c r="W74" s="1777"/>
      <c r="X74" s="1777"/>
      <c r="Y74" s="1777"/>
      <c r="Z74" s="1777"/>
      <c r="AA74" s="1777"/>
      <c r="AB74" s="1777"/>
      <c r="AC74" s="1777"/>
    </row>
    <row r="75" spans="1:29" s="1782" customFormat="1" ht="11.25" customHeight="1">
      <c r="A75" s="1779"/>
      <c r="B75" s="1884">
        <v>46104</v>
      </c>
      <c r="C75" s="1897" t="s">
        <v>116</v>
      </c>
      <c r="D75" s="1898" t="s">
        <v>1551</v>
      </c>
      <c r="E75" s="1886">
        <v>42</v>
      </c>
      <c r="F75" s="1899" t="s">
        <v>19</v>
      </c>
      <c r="G75" s="1900" t="s">
        <v>1609</v>
      </c>
      <c r="H75" s="1889"/>
      <c r="I75" s="1889"/>
      <c r="J75" s="1889"/>
      <c r="K75" s="1957">
        <v>173.41</v>
      </c>
      <c r="L75" s="1891">
        <f>'통장내역(환율표)'!$D$68</f>
        <v>6.8738999324298709</v>
      </c>
      <c r="M75" s="1958">
        <f t="shared" si="19"/>
        <v>25.227309344711525</v>
      </c>
      <c r="N75" s="1892">
        <f t="shared" si="20"/>
        <v>495605.82000000129</v>
      </c>
      <c r="O75" s="1892">
        <f t="shared" si="21"/>
        <v>72099.656048132398</v>
      </c>
      <c r="P75" s="1903"/>
      <c r="Q75" s="1894"/>
      <c r="R75" s="1894"/>
      <c r="S75" s="1871">
        <f>S74-M75</f>
        <v>72099.655926298467</v>
      </c>
      <c r="T75" s="1777"/>
      <c r="U75" s="1777"/>
      <c r="V75" s="1777"/>
      <c r="W75" s="1777"/>
      <c r="X75" s="1777"/>
      <c r="Y75" s="1777"/>
      <c r="Z75" s="1777"/>
      <c r="AA75" s="1777"/>
      <c r="AB75" s="1777"/>
      <c r="AC75" s="1777"/>
    </row>
    <row r="76" spans="1:29" s="1782" customFormat="1" ht="11.25" customHeight="1">
      <c r="A76" s="1779"/>
      <c r="B76" s="1884">
        <v>46104</v>
      </c>
      <c r="C76" s="1952" t="s">
        <v>1662</v>
      </c>
      <c r="D76" s="1898" t="s">
        <v>1551</v>
      </c>
      <c r="E76" s="1886">
        <v>43</v>
      </c>
      <c r="F76" s="1899" t="s">
        <v>107</v>
      </c>
      <c r="G76" s="1900"/>
      <c r="H76" s="1889"/>
      <c r="I76" s="1902"/>
      <c r="J76" s="1889"/>
      <c r="K76" s="1957">
        <v>3078.77</v>
      </c>
      <c r="L76" s="1891">
        <f>'통장내역(환율표)'!$D$68</f>
        <v>6.8738999324298709</v>
      </c>
      <c r="M76" s="1958">
        <f t="shared" si="19"/>
        <v>447.89275815245662</v>
      </c>
      <c r="N76" s="1892">
        <f t="shared" si="20"/>
        <v>492527.05000000127</v>
      </c>
      <c r="O76" s="1892">
        <f t="shared" si="21"/>
        <v>71651.763289979936</v>
      </c>
      <c r="P76" s="1903"/>
      <c r="Q76" s="1894"/>
      <c r="R76" s="1894"/>
      <c r="S76" s="1871">
        <f t="shared" si="15"/>
        <v>71651.763168146004</v>
      </c>
      <c r="T76" s="1777"/>
      <c r="U76" s="1777"/>
      <c r="V76" s="1777"/>
      <c r="W76" s="1777"/>
      <c r="X76" s="1777"/>
      <c r="Y76" s="1777"/>
      <c r="Z76" s="1777"/>
      <c r="AA76" s="1777"/>
      <c r="AB76" s="1777"/>
      <c r="AC76" s="1777"/>
    </row>
    <row r="77" spans="1:29" s="1782" customFormat="1" ht="11.25" customHeight="1">
      <c r="A77" s="1779"/>
      <c r="B77" s="1884">
        <v>46104</v>
      </c>
      <c r="C77" s="1897" t="s">
        <v>19</v>
      </c>
      <c r="D77" s="1898" t="s">
        <v>1663</v>
      </c>
      <c r="E77" s="1886">
        <v>44</v>
      </c>
      <c r="F77" s="1899" t="s">
        <v>19</v>
      </c>
      <c r="G77" s="1900" t="s">
        <v>1609</v>
      </c>
      <c r="H77" s="1889"/>
      <c r="I77" s="1902"/>
      <c r="J77" s="1889"/>
      <c r="K77" s="1957">
        <v>300</v>
      </c>
      <c r="L77" s="1891">
        <f>'통장내역(환율표)'!$D$68</f>
        <v>6.8738999324298709</v>
      </c>
      <c r="M77" s="1958">
        <f t="shared" si="19"/>
        <v>43.643347000827276</v>
      </c>
      <c r="N77" s="1892">
        <f t="shared" si="20"/>
        <v>492227.05000000127</v>
      </c>
      <c r="O77" s="1892">
        <f t="shared" si="21"/>
        <v>71608.119942979101</v>
      </c>
      <c r="P77" s="1903"/>
      <c r="Q77" s="1894"/>
      <c r="R77" s="1894"/>
      <c r="S77" s="1871">
        <f t="shared" si="15"/>
        <v>71608.11982114517</v>
      </c>
      <c r="T77" s="1777"/>
      <c r="U77" s="1777"/>
      <c r="V77" s="1777"/>
      <c r="W77" s="1777"/>
      <c r="X77" s="1777"/>
      <c r="Y77" s="1777"/>
      <c r="Z77" s="1777"/>
      <c r="AA77" s="1777"/>
      <c r="AB77" s="1777"/>
      <c r="AC77" s="1777"/>
    </row>
    <row r="78" spans="1:29" s="1782" customFormat="1" ht="11.25" customHeight="1">
      <c r="A78" s="1779"/>
      <c r="B78" s="1884">
        <v>46104</v>
      </c>
      <c r="C78" s="1952" t="s">
        <v>250</v>
      </c>
      <c r="D78" s="1898" t="s">
        <v>1663</v>
      </c>
      <c r="E78" s="1886">
        <v>45</v>
      </c>
      <c r="F78" s="1899" t="s">
        <v>107</v>
      </c>
      <c r="G78" s="1900"/>
      <c r="H78" s="1889"/>
      <c r="I78" s="1906"/>
      <c r="J78" s="1901"/>
      <c r="K78" s="1957">
        <v>3.6</v>
      </c>
      <c r="L78" s="1891">
        <f>'통장내역(환율표)'!$D$68</f>
        <v>6.8738999324298709</v>
      </c>
      <c r="M78" s="1958">
        <f t="shared" si="19"/>
        <v>0.52372016400992727</v>
      </c>
      <c r="N78" s="1892">
        <f t="shared" si="20"/>
        <v>492223.45000000129</v>
      </c>
      <c r="O78" s="1892">
        <f t="shared" si="21"/>
        <v>71607.596222815089</v>
      </c>
      <c r="P78" s="1903"/>
      <c r="Q78" s="1894"/>
      <c r="R78" s="1894"/>
      <c r="S78" s="1871">
        <f t="shared" si="15"/>
        <v>71607.596100981158</v>
      </c>
      <c r="T78" s="1777"/>
      <c r="U78" s="1777"/>
      <c r="V78" s="1777"/>
      <c r="W78" s="1777"/>
      <c r="X78" s="1777"/>
      <c r="Y78" s="1777"/>
      <c r="Z78" s="1777"/>
      <c r="AA78" s="1777"/>
      <c r="AB78" s="1777"/>
      <c r="AC78" s="1777"/>
    </row>
    <row r="79" spans="1:29" s="1782" customFormat="1" ht="11.25" customHeight="1">
      <c r="A79" s="1779"/>
      <c r="B79" s="1884">
        <v>46104</v>
      </c>
      <c r="C79" s="1952" t="s">
        <v>1406</v>
      </c>
      <c r="D79" s="1898" t="s">
        <v>1392</v>
      </c>
      <c r="E79" s="1886">
        <v>46</v>
      </c>
      <c r="F79" s="1899" t="s">
        <v>146</v>
      </c>
      <c r="G79" s="1900" t="s">
        <v>147</v>
      </c>
      <c r="H79" s="1889"/>
      <c r="I79" s="1906"/>
      <c r="J79" s="1901"/>
      <c r="K79" s="1957">
        <v>2050</v>
      </c>
      <c r="L79" s="1891">
        <f>'통장내역(환율표)'!$D$68</f>
        <v>6.8738999324298709</v>
      </c>
      <c r="M79" s="1958">
        <f t="shared" si="19"/>
        <v>298.22953783898635</v>
      </c>
      <c r="N79" s="1892">
        <f t="shared" si="20"/>
        <v>490173.45000000129</v>
      </c>
      <c r="O79" s="1892">
        <f t="shared" si="21"/>
        <v>71309.366684976107</v>
      </c>
      <c r="P79" s="1903"/>
      <c r="Q79" s="1894"/>
      <c r="R79" s="1894"/>
      <c r="S79" s="1871">
        <f t="shared" si="15"/>
        <v>71309.366563142175</v>
      </c>
      <c r="T79" s="1777"/>
      <c r="U79" s="1777"/>
      <c r="V79" s="1777"/>
      <c r="W79" s="1777"/>
      <c r="X79" s="1777"/>
      <c r="Y79" s="1777"/>
      <c r="Z79" s="1777"/>
      <c r="AA79" s="1777"/>
      <c r="AB79" s="1777"/>
      <c r="AC79" s="1777"/>
    </row>
    <row r="80" spans="1:29" s="1782" customFormat="1" ht="11.25" customHeight="1">
      <c r="A80" s="1779"/>
      <c r="B80" s="1884">
        <v>46104</v>
      </c>
      <c r="C80" s="1952" t="s">
        <v>1407</v>
      </c>
      <c r="D80" s="1898" t="s">
        <v>1392</v>
      </c>
      <c r="E80" s="1886">
        <v>47</v>
      </c>
      <c r="F80" s="1899" t="s">
        <v>146</v>
      </c>
      <c r="G80" s="1900" t="s">
        <v>147</v>
      </c>
      <c r="H80" s="1889"/>
      <c r="I80" s="1906"/>
      <c r="J80" s="1901"/>
      <c r="K80" s="1957">
        <v>203</v>
      </c>
      <c r="L80" s="1891">
        <f>'통장내역(환율표)'!$D$68</f>
        <v>6.8738999324298709</v>
      </c>
      <c r="M80" s="1958">
        <f t="shared" si="19"/>
        <v>29.531998137226456</v>
      </c>
      <c r="N80" s="1892">
        <f t="shared" si="20"/>
        <v>489970.45000000129</v>
      </c>
      <c r="O80" s="1892">
        <f t="shared" si="21"/>
        <v>71279.834686838876</v>
      </c>
      <c r="P80" s="1903"/>
      <c r="Q80" s="1894"/>
      <c r="R80" s="1894"/>
      <c r="S80" s="1871">
        <f t="shared" si="15"/>
        <v>71279.834565004945</v>
      </c>
      <c r="T80" s="1777"/>
      <c r="U80" s="1777"/>
      <c r="V80" s="1777"/>
      <c r="W80" s="1777"/>
      <c r="X80" s="1777"/>
      <c r="Y80" s="1777"/>
      <c r="Z80" s="1777"/>
      <c r="AA80" s="1777"/>
      <c r="AB80" s="1777"/>
      <c r="AC80" s="1777"/>
    </row>
    <row r="81" spans="1:29" s="1782" customFormat="1" ht="11.25" customHeight="1">
      <c r="A81" s="1779"/>
      <c r="B81" s="1884">
        <v>46104</v>
      </c>
      <c r="C81" s="1952" t="s">
        <v>1408</v>
      </c>
      <c r="D81" s="1898" t="s">
        <v>1392</v>
      </c>
      <c r="E81" s="1886">
        <v>48</v>
      </c>
      <c r="F81" s="1899" t="s">
        <v>146</v>
      </c>
      <c r="G81" s="1900" t="s">
        <v>147</v>
      </c>
      <c r="H81" s="1889"/>
      <c r="I81" s="1906"/>
      <c r="J81" s="1901"/>
      <c r="K81" s="1957">
        <v>470</v>
      </c>
      <c r="L81" s="1891">
        <f>'통장내역(환율표)'!$D$68</f>
        <v>6.8738999324298709</v>
      </c>
      <c r="M81" s="1958">
        <f t="shared" si="19"/>
        <v>68.374576967962724</v>
      </c>
      <c r="N81" s="1892">
        <f t="shared" si="20"/>
        <v>489500.45000000129</v>
      </c>
      <c r="O81" s="1892">
        <f t="shared" si="21"/>
        <v>71211.46010987091</v>
      </c>
      <c r="P81" s="1903"/>
      <c r="Q81" s="1894"/>
      <c r="R81" s="1894"/>
      <c r="S81" s="1871">
        <f t="shared" si="15"/>
        <v>71211.459988036979</v>
      </c>
      <c r="T81" s="1777"/>
      <c r="U81" s="1777"/>
      <c r="V81" s="1777"/>
      <c r="W81" s="1777"/>
      <c r="X81" s="1777"/>
      <c r="Y81" s="1777"/>
      <c r="Z81" s="1777"/>
      <c r="AA81" s="1777"/>
      <c r="AB81" s="1777"/>
      <c r="AC81" s="1777"/>
    </row>
    <row r="82" spans="1:29" s="1782" customFormat="1" ht="11.25" customHeight="1">
      <c r="A82" s="1779"/>
      <c r="B82" s="1884">
        <v>46104</v>
      </c>
      <c r="C82" s="1952" t="s">
        <v>250</v>
      </c>
      <c r="D82" s="1898" t="s">
        <v>1392</v>
      </c>
      <c r="E82" s="1886">
        <v>49</v>
      </c>
      <c r="F82" s="1899" t="s">
        <v>107</v>
      </c>
      <c r="G82" s="1900"/>
      <c r="H82" s="1889"/>
      <c r="I82" s="639"/>
      <c r="J82" s="639"/>
      <c r="K82" s="1957">
        <v>3.6</v>
      </c>
      <c r="L82" s="1891">
        <f>'통장내역(환율표)'!$D$68</f>
        <v>6.8738999324298709</v>
      </c>
      <c r="M82" s="1958">
        <f t="shared" si="19"/>
        <v>0.52372016400992727</v>
      </c>
      <c r="N82" s="1892">
        <f t="shared" si="20"/>
        <v>489496.85000000132</v>
      </c>
      <c r="O82" s="1892">
        <f t="shared" si="21"/>
        <v>71210.936389706898</v>
      </c>
      <c r="P82" s="1903"/>
      <c r="Q82" s="1894"/>
      <c r="R82" s="1894"/>
      <c r="S82" s="1871">
        <f t="shared" si="15"/>
        <v>71210.936267872967</v>
      </c>
      <c r="T82" s="1777"/>
      <c r="U82" s="1777"/>
      <c r="V82" s="1777"/>
      <c r="W82" s="1777"/>
      <c r="X82" s="1777"/>
      <c r="Y82" s="1777"/>
      <c r="Z82" s="1777"/>
      <c r="AA82" s="1777"/>
      <c r="AB82" s="1777"/>
      <c r="AC82" s="1777"/>
    </row>
    <row r="83" spans="1:29" s="1782" customFormat="1" ht="11.25" customHeight="1">
      <c r="A83" s="1779"/>
      <c r="B83" s="1884">
        <v>46104</v>
      </c>
      <c r="C83" s="669" t="s">
        <v>1408</v>
      </c>
      <c r="D83" s="1885" t="s">
        <v>1393</v>
      </c>
      <c r="E83" s="1886">
        <v>50</v>
      </c>
      <c r="F83" s="1887" t="s">
        <v>146</v>
      </c>
      <c r="G83" s="1888" t="s">
        <v>147</v>
      </c>
      <c r="H83" s="1904"/>
      <c r="I83" s="1906"/>
      <c r="J83" s="1901"/>
      <c r="K83" s="1957">
        <v>409</v>
      </c>
      <c r="L83" s="1891">
        <f>'통장내역(환율표)'!$D$68</f>
        <v>6.8738999324298709</v>
      </c>
      <c r="M83" s="1958">
        <f t="shared" si="19"/>
        <v>59.500429744461179</v>
      </c>
      <c r="N83" s="1892">
        <f t="shared" si="20"/>
        <v>489087.85000000132</v>
      </c>
      <c r="O83" s="1892">
        <f t="shared" si="21"/>
        <v>71151.435959962429</v>
      </c>
      <c r="P83" s="1903"/>
      <c r="Q83" s="1894"/>
      <c r="R83" s="1894"/>
      <c r="S83" s="1871">
        <f t="shared" si="15"/>
        <v>71151.435838128498</v>
      </c>
      <c r="T83" s="1777"/>
      <c r="U83" s="1777"/>
      <c r="V83" s="1777"/>
      <c r="W83" s="1777"/>
      <c r="X83" s="1777"/>
      <c r="Y83" s="1777"/>
      <c r="Z83" s="1777"/>
      <c r="AA83" s="1777"/>
      <c r="AB83" s="1777"/>
      <c r="AC83" s="1777"/>
    </row>
    <row r="84" spans="1:29" s="1782" customFormat="1" ht="11.25" customHeight="1">
      <c r="A84" s="1779"/>
      <c r="B84" s="1884">
        <v>46104</v>
      </c>
      <c r="C84" s="669" t="s">
        <v>1406</v>
      </c>
      <c r="D84" s="1885" t="s">
        <v>1393</v>
      </c>
      <c r="E84" s="1886">
        <v>51</v>
      </c>
      <c r="F84" s="1887" t="s">
        <v>146</v>
      </c>
      <c r="G84" s="1888" t="s">
        <v>147</v>
      </c>
      <c r="H84" s="1904"/>
      <c r="I84" s="1906"/>
      <c r="J84" s="1901"/>
      <c r="K84" s="1957">
        <v>1806</v>
      </c>
      <c r="L84" s="1891">
        <f>'통장내역(환율표)'!$D$68</f>
        <v>6.8738999324298709</v>
      </c>
      <c r="M84" s="1958">
        <f t="shared" si="19"/>
        <v>262.73294894498019</v>
      </c>
      <c r="N84" s="1892">
        <f t="shared" si="20"/>
        <v>487281.85000000132</v>
      </c>
      <c r="O84" s="1892">
        <f t="shared" si="21"/>
        <v>70888.703011017453</v>
      </c>
      <c r="P84" s="1903"/>
      <c r="Q84" s="1894"/>
      <c r="R84" s="1894"/>
      <c r="S84" s="1871">
        <f t="shared" si="15"/>
        <v>70888.702889183522</v>
      </c>
      <c r="T84" s="1777"/>
      <c r="U84" s="1777"/>
      <c r="V84" s="1777"/>
      <c r="W84" s="1777"/>
      <c r="X84" s="1777"/>
      <c r="Y84" s="1777"/>
      <c r="Z84" s="1777"/>
      <c r="AA84" s="1777"/>
      <c r="AB84" s="1777"/>
      <c r="AC84" s="1777"/>
    </row>
    <row r="85" spans="1:29" s="1782" customFormat="1" ht="11.25" customHeight="1">
      <c r="A85" s="1779"/>
      <c r="B85" s="1884">
        <v>46104</v>
      </c>
      <c r="C85" s="669" t="s">
        <v>1407</v>
      </c>
      <c r="D85" s="1885" t="s">
        <v>1393</v>
      </c>
      <c r="E85" s="1886">
        <v>52</v>
      </c>
      <c r="F85" s="1887" t="s">
        <v>146</v>
      </c>
      <c r="G85" s="1888" t="s">
        <v>147</v>
      </c>
      <c r="H85" s="1904"/>
      <c r="I85" s="1906"/>
      <c r="J85" s="1901"/>
      <c r="K85" s="1957">
        <v>122</v>
      </c>
      <c r="L85" s="1891">
        <f>'통장내역(환율표)'!$D$68</f>
        <v>6.8738999324298709</v>
      </c>
      <c r="M85" s="1958">
        <f t="shared" si="19"/>
        <v>17.74829444700309</v>
      </c>
      <c r="N85" s="1892">
        <f t="shared" si="20"/>
        <v>487159.85000000132</v>
      </c>
      <c r="O85" s="1892">
        <f t="shared" si="21"/>
        <v>70870.954716570443</v>
      </c>
      <c r="P85" s="1903"/>
      <c r="Q85" s="1894"/>
      <c r="R85" s="1894"/>
      <c r="S85" s="1871">
        <f t="shared" si="15"/>
        <v>70870.954594736511</v>
      </c>
      <c r="T85" s="1777"/>
      <c r="U85" s="1777"/>
      <c r="V85" s="1777"/>
      <c r="W85" s="1777"/>
      <c r="X85" s="1777"/>
      <c r="Y85" s="1777"/>
      <c r="Z85" s="1777"/>
      <c r="AA85" s="1777"/>
      <c r="AB85" s="1777"/>
      <c r="AC85" s="1777"/>
    </row>
    <row r="86" spans="1:29" s="1782" customFormat="1" ht="11.25" customHeight="1">
      <c r="A86" s="1779"/>
      <c r="B86" s="1884">
        <v>46104</v>
      </c>
      <c r="C86" s="669" t="s">
        <v>250</v>
      </c>
      <c r="D86" s="1885" t="s">
        <v>1393</v>
      </c>
      <c r="E86" s="1886">
        <v>53</v>
      </c>
      <c r="F86" s="1887" t="s">
        <v>107</v>
      </c>
      <c r="G86" s="1888"/>
      <c r="H86" s="1904"/>
      <c r="I86" s="1908"/>
      <c r="J86" s="1908"/>
      <c r="K86" s="1957">
        <v>3.6</v>
      </c>
      <c r="L86" s="1891">
        <f>'통장내역(환율표)'!$D$68</f>
        <v>6.8738999324298709</v>
      </c>
      <c r="M86" s="1958">
        <f t="shared" si="19"/>
        <v>0.52372016400992727</v>
      </c>
      <c r="N86" s="1892">
        <f t="shared" si="20"/>
        <v>487156.25000000134</v>
      </c>
      <c r="O86" s="1892">
        <f t="shared" si="21"/>
        <v>70870.43099640643</v>
      </c>
      <c r="P86" s="1903"/>
      <c r="Q86" s="1894"/>
      <c r="R86" s="1894"/>
      <c r="S86" s="1871">
        <f t="shared" si="15"/>
        <v>70870.430874572499</v>
      </c>
      <c r="T86" s="1777"/>
      <c r="U86" s="1777"/>
      <c r="V86" s="1777"/>
      <c r="W86" s="1777"/>
      <c r="X86" s="1777"/>
      <c r="Y86" s="1777"/>
      <c r="Z86" s="1777"/>
      <c r="AA86" s="1777"/>
      <c r="AB86" s="1777"/>
      <c r="AC86" s="1777"/>
    </row>
    <row r="87" spans="1:29" s="1782" customFormat="1" ht="11.25" customHeight="1">
      <c r="A87" s="1779"/>
      <c r="B87" s="1884">
        <v>46104</v>
      </c>
      <c r="C87" s="669" t="s">
        <v>1406</v>
      </c>
      <c r="D87" s="1885" t="s">
        <v>1460</v>
      </c>
      <c r="E87" s="1886">
        <v>54</v>
      </c>
      <c r="F87" s="1887" t="s">
        <v>146</v>
      </c>
      <c r="G87" s="1888" t="s">
        <v>147</v>
      </c>
      <c r="H87" s="1904"/>
      <c r="I87" s="1905"/>
      <c r="J87" s="1905"/>
      <c r="K87" s="1957">
        <v>1268</v>
      </c>
      <c r="L87" s="1891">
        <f>'통장내역(환율표)'!$D$68</f>
        <v>6.8738999324298709</v>
      </c>
      <c r="M87" s="1958">
        <f t="shared" si="19"/>
        <v>184.46587999016327</v>
      </c>
      <c r="N87" s="1892">
        <f t="shared" si="20"/>
        <v>485888.25000000134</v>
      </c>
      <c r="O87" s="1892">
        <f t="shared" si="21"/>
        <v>70685.965116416264</v>
      </c>
      <c r="P87" s="1903"/>
      <c r="Q87" s="1894"/>
      <c r="R87" s="1894"/>
      <c r="S87" s="1871">
        <f t="shared" si="15"/>
        <v>70685.964994582333</v>
      </c>
      <c r="T87" s="1777"/>
      <c r="U87" s="1777"/>
      <c r="V87" s="1777"/>
      <c r="W87" s="1777"/>
      <c r="X87" s="1777"/>
      <c r="Y87" s="1777"/>
      <c r="Z87" s="1777"/>
      <c r="AA87" s="1777"/>
      <c r="AB87" s="1777"/>
      <c r="AC87" s="1777"/>
    </row>
    <row r="88" spans="1:29" s="1782" customFormat="1" ht="11.25" customHeight="1">
      <c r="A88" s="1779"/>
      <c r="B88" s="1884">
        <v>46104</v>
      </c>
      <c r="C88" s="669" t="s">
        <v>1408</v>
      </c>
      <c r="D88" s="1885" t="s">
        <v>1460</v>
      </c>
      <c r="E88" s="1886">
        <v>55</v>
      </c>
      <c r="F88" s="1887" t="s">
        <v>146</v>
      </c>
      <c r="G88" s="1888" t="s">
        <v>147</v>
      </c>
      <c r="H88" s="1904"/>
      <c r="I88" s="1905"/>
      <c r="J88" s="1905"/>
      <c r="K88" s="1957">
        <v>106</v>
      </c>
      <c r="L88" s="1891">
        <f>'통장내역(환율표)'!$D$68</f>
        <v>6.8738999324298709</v>
      </c>
      <c r="M88" s="1958">
        <f t="shared" si="19"/>
        <v>15.420649273625637</v>
      </c>
      <c r="N88" s="1892">
        <f t="shared" si="20"/>
        <v>485782.25000000134</v>
      </c>
      <c r="O88" s="1892">
        <f t="shared" si="21"/>
        <v>70670.544467142638</v>
      </c>
      <c r="P88" s="1903"/>
      <c r="Q88" s="1894"/>
      <c r="R88" s="1894"/>
      <c r="S88" s="1871">
        <f t="shared" si="15"/>
        <v>70670.544345308706</v>
      </c>
      <c r="T88" s="1777"/>
      <c r="U88" s="1777"/>
      <c r="V88" s="1777"/>
      <c r="W88" s="1777"/>
      <c r="X88" s="1777"/>
      <c r="Y88" s="1777"/>
      <c r="Z88" s="1777"/>
      <c r="AA88" s="1777"/>
      <c r="AB88" s="1777"/>
      <c r="AC88" s="1777"/>
    </row>
    <row r="89" spans="1:29" s="1782" customFormat="1" ht="11.25" customHeight="1">
      <c r="A89" s="1779"/>
      <c r="B89" s="1884">
        <v>46104</v>
      </c>
      <c r="C89" s="669" t="s">
        <v>1407</v>
      </c>
      <c r="D89" s="1885" t="s">
        <v>1460</v>
      </c>
      <c r="E89" s="1886">
        <v>56</v>
      </c>
      <c r="F89" s="1887" t="s">
        <v>146</v>
      </c>
      <c r="G89" s="1888" t="s">
        <v>147</v>
      </c>
      <c r="H89" s="1904"/>
      <c r="I89" s="1905"/>
      <c r="J89" s="1905"/>
      <c r="K89" s="1957">
        <v>66</v>
      </c>
      <c r="L89" s="1891">
        <f>'통장내역(환율표)'!$D$68</f>
        <v>6.8738999324298709</v>
      </c>
      <c r="M89" s="1958">
        <f t="shared" si="19"/>
        <v>9.6015363401819993</v>
      </c>
      <c r="N89" s="1892">
        <f t="shared" si="20"/>
        <v>485716.25000000134</v>
      </c>
      <c r="O89" s="1892">
        <f t="shared" si="21"/>
        <v>70660.942930802456</v>
      </c>
      <c r="P89" s="1903"/>
      <c r="Q89" s="1894"/>
      <c r="R89" s="1894"/>
      <c r="S89" s="1871">
        <f t="shared" si="15"/>
        <v>70660.942808968524</v>
      </c>
      <c r="T89" s="1777"/>
      <c r="U89" s="1777"/>
      <c r="V89" s="1777"/>
      <c r="W89" s="1777"/>
      <c r="X89" s="1777"/>
      <c r="Y89" s="1777"/>
      <c r="Z89" s="1777"/>
      <c r="AA89" s="1777"/>
      <c r="AB89" s="1777"/>
      <c r="AC89" s="1777"/>
    </row>
    <row r="90" spans="1:29" s="1782" customFormat="1" ht="11.25" customHeight="1">
      <c r="A90" s="1779"/>
      <c r="B90" s="1884">
        <v>46104</v>
      </c>
      <c r="C90" s="669" t="s">
        <v>250</v>
      </c>
      <c r="D90" s="1885" t="s">
        <v>1460</v>
      </c>
      <c r="E90" s="1886">
        <v>57</v>
      </c>
      <c r="F90" s="1887" t="s">
        <v>107</v>
      </c>
      <c r="G90" s="1888"/>
      <c r="H90" s="1889"/>
      <c r="I90" s="1905"/>
      <c r="J90" s="1905"/>
      <c r="K90" s="1957">
        <v>3.6</v>
      </c>
      <c r="L90" s="1891">
        <f>'통장내역(환율표)'!$D$68</f>
        <v>6.8738999324298709</v>
      </c>
      <c r="M90" s="1958">
        <f t="shared" si="19"/>
        <v>0.52372016400992727</v>
      </c>
      <c r="N90" s="1892">
        <f t="shared" si="20"/>
        <v>485712.65000000136</v>
      </c>
      <c r="O90" s="1892">
        <f t="shared" si="21"/>
        <v>70660.419210638443</v>
      </c>
      <c r="P90" s="1903"/>
      <c r="Q90" s="1894"/>
      <c r="R90" s="1894"/>
      <c r="S90" s="1871">
        <f t="shared" si="15"/>
        <v>70660.419088804512</v>
      </c>
      <c r="T90" s="1777"/>
      <c r="U90" s="1777"/>
      <c r="V90" s="1777"/>
      <c r="W90" s="1777"/>
      <c r="X90" s="1777"/>
      <c r="Y90" s="1777"/>
      <c r="Z90" s="1777"/>
      <c r="AA90" s="1777"/>
      <c r="AB90" s="1777"/>
      <c r="AC90" s="1777"/>
    </row>
    <row r="91" spans="1:29" s="1782" customFormat="1" ht="11.25" customHeight="1">
      <c r="A91" s="1779"/>
      <c r="B91" s="1884">
        <v>46104</v>
      </c>
      <c r="C91" s="1105" t="s">
        <v>1403</v>
      </c>
      <c r="D91" s="1885" t="s">
        <v>211</v>
      </c>
      <c r="E91" s="1886">
        <v>58</v>
      </c>
      <c r="F91" s="1887" t="s">
        <v>146</v>
      </c>
      <c r="G91" s="1888" t="s">
        <v>147</v>
      </c>
      <c r="H91" s="1889"/>
      <c r="I91" s="1905"/>
      <c r="J91" s="1905"/>
      <c r="K91" s="1957">
        <v>2964.21</v>
      </c>
      <c r="L91" s="1891">
        <f>'통장내역(환율표)'!$D$68</f>
        <v>6.8738999324298709</v>
      </c>
      <c r="M91" s="1958">
        <f t="shared" si="19"/>
        <v>431.22681871107403</v>
      </c>
      <c r="N91" s="1892">
        <f t="shared" si="20"/>
        <v>482748.44000000134</v>
      </c>
      <c r="O91" s="1892">
        <f t="shared" si="21"/>
        <v>70229.192391927369</v>
      </c>
      <c r="P91" s="1903"/>
      <c r="Q91" s="1894"/>
      <c r="R91" s="1894"/>
      <c r="S91" s="1871">
        <f t="shared" si="15"/>
        <v>70229.192270093437</v>
      </c>
      <c r="T91" s="1777"/>
      <c r="U91" s="1777"/>
      <c r="V91" s="1777"/>
      <c r="W91" s="1777"/>
      <c r="X91" s="1777"/>
      <c r="Y91" s="1777"/>
      <c r="Z91" s="1777"/>
      <c r="AA91" s="1777"/>
      <c r="AB91" s="1777"/>
      <c r="AC91" s="1777"/>
    </row>
    <row r="92" spans="1:29" s="1782" customFormat="1" ht="11.25" customHeight="1">
      <c r="A92" s="1779"/>
      <c r="B92" s="1884">
        <v>46104</v>
      </c>
      <c r="C92" s="669" t="s">
        <v>11</v>
      </c>
      <c r="D92" s="1885" t="s">
        <v>211</v>
      </c>
      <c r="E92" s="1886">
        <v>59</v>
      </c>
      <c r="F92" s="1887" t="s">
        <v>125</v>
      </c>
      <c r="G92" s="1888" t="s">
        <v>145</v>
      </c>
      <c r="H92" s="1889"/>
      <c r="I92" s="1905"/>
      <c r="J92" s="1905"/>
      <c r="K92" s="1957">
        <v>1878</v>
      </c>
      <c r="L92" s="1891">
        <f>'통장내역(환율표)'!$D$68</f>
        <v>6.8738999324298709</v>
      </c>
      <c r="M92" s="1958">
        <f t="shared" si="19"/>
        <v>273.20735222517874</v>
      </c>
      <c r="N92" s="1892">
        <f t="shared" si="20"/>
        <v>480870.44000000134</v>
      </c>
      <c r="O92" s="1892">
        <f t="shared" si="21"/>
        <v>69955.985039702195</v>
      </c>
      <c r="P92" s="1903"/>
      <c r="Q92" s="1894"/>
      <c r="R92" s="1894"/>
      <c r="S92" s="1871">
        <f t="shared" si="15"/>
        <v>69955.984917868263</v>
      </c>
      <c r="T92" s="1777"/>
      <c r="U92" s="1777"/>
      <c r="V92" s="1777"/>
      <c r="W92" s="1777"/>
      <c r="X92" s="1777"/>
      <c r="Y92" s="1777"/>
      <c r="Z92" s="1777"/>
      <c r="AA92" s="1777"/>
      <c r="AB92" s="1777"/>
      <c r="AC92" s="1777"/>
    </row>
    <row r="93" spans="1:29" s="1782" customFormat="1" ht="11.25" customHeight="1">
      <c r="A93" s="1779"/>
      <c r="B93" s="1884">
        <v>46104</v>
      </c>
      <c r="C93" s="669" t="s">
        <v>1629</v>
      </c>
      <c r="D93" s="1885" t="s">
        <v>211</v>
      </c>
      <c r="E93" s="1886">
        <v>60</v>
      </c>
      <c r="F93" s="1887" t="s">
        <v>107</v>
      </c>
      <c r="G93" s="1888"/>
      <c r="H93" s="1889"/>
      <c r="I93" s="1902"/>
      <c r="J93" s="1889"/>
      <c r="K93" s="1957">
        <v>68400</v>
      </c>
      <c r="L93" s="1891">
        <f>'통장내역(환율표)'!$D$68</f>
        <v>6.8738999324298709</v>
      </c>
      <c r="M93" s="1958">
        <f t="shared" si="19"/>
        <v>9950.6831161886184</v>
      </c>
      <c r="N93" s="1892">
        <f t="shared" si="20"/>
        <v>412470.44000000134</v>
      </c>
      <c r="O93" s="1892">
        <f t="shared" si="21"/>
        <v>60005.301923513573</v>
      </c>
      <c r="P93" s="1903"/>
      <c r="Q93" s="1894"/>
      <c r="R93" s="1894"/>
      <c r="S93" s="1871">
        <f t="shared" si="15"/>
        <v>60005.301801679641</v>
      </c>
      <c r="T93" s="1777"/>
      <c r="U93" s="1777"/>
      <c r="V93" s="1777"/>
      <c r="W93" s="1777"/>
      <c r="X93" s="1777"/>
      <c r="Y93" s="1777"/>
      <c r="Z93" s="1777"/>
      <c r="AA93" s="1777"/>
      <c r="AB93" s="1777"/>
      <c r="AC93" s="1777"/>
    </row>
    <row r="94" spans="1:29" s="1782" customFormat="1" ht="11.25" customHeight="1">
      <c r="A94" s="1779"/>
      <c r="B94" s="1884">
        <v>46104</v>
      </c>
      <c r="C94" s="669" t="s">
        <v>1662</v>
      </c>
      <c r="D94" s="1885" t="s">
        <v>211</v>
      </c>
      <c r="E94" s="1886">
        <v>61</v>
      </c>
      <c r="F94" s="1887" t="s">
        <v>107</v>
      </c>
      <c r="G94" s="1888"/>
      <c r="H94" s="1889"/>
      <c r="I94" s="1902"/>
      <c r="J94" s="1889"/>
      <c r="K94" s="1957">
        <v>4301</v>
      </c>
      <c r="L94" s="1891">
        <f>'통장내역(환율표)'!$D$68</f>
        <v>6.8738999324298709</v>
      </c>
      <c r="M94" s="1958">
        <f t="shared" si="19"/>
        <v>625.70011816852696</v>
      </c>
      <c r="N94" s="1892">
        <f t="shared" si="20"/>
        <v>408169.44000000134</v>
      </c>
      <c r="O94" s="1892">
        <f t="shared" si="21"/>
        <v>59379.601805345046</v>
      </c>
      <c r="P94" s="1903"/>
      <c r="Q94" s="1894"/>
      <c r="R94" s="1894"/>
      <c r="S94" s="1871">
        <f t="shared" si="15"/>
        <v>59379.601683511115</v>
      </c>
      <c r="T94" s="1777"/>
      <c r="U94" s="1777"/>
      <c r="V94" s="1777"/>
      <c r="W94" s="1777"/>
      <c r="X94" s="1777"/>
      <c r="Y94" s="1777"/>
      <c r="Z94" s="1777"/>
      <c r="AA94" s="1777"/>
      <c r="AB94" s="1777"/>
      <c r="AC94" s="1777"/>
    </row>
    <row r="95" spans="1:29" s="1782" customFormat="1" ht="11.25" customHeight="1">
      <c r="A95" s="1779"/>
      <c r="B95" s="1884">
        <v>46104</v>
      </c>
      <c r="C95" s="1105" t="s">
        <v>19</v>
      </c>
      <c r="D95" s="1885" t="s">
        <v>211</v>
      </c>
      <c r="E95" s="1886">
        <v>62</v>
      </c>
      <c r="F95" s="1887" t="s">
        <v>19</v>
      </c>
      <c r="G95" s="1888" t="s">
        <v>1609</v>
      </c>
      <c r="H95" s="1889"/>
      <c r="I95" s="1902"/>
      <c r="J95" s="1889"/>
      <c r="K95" s="1957">
        <v>300</v>
      </c>
      <c r="L95" s="1891">
        <f>'통장내역(환율표)'!$D$68</f>
        <v>6.8738999324298709</v>
      </c>
      <c r="M95" s="1958">
        <f t="shared" si="19"/>
        <v>43.643347000827276</v>
      </c>
      <c r="N95" s="1892">
        <f t="shared" si="20"/>
        <v>407869.44000000134</v>
      </c>
      <c r="O95" s="1892">
        <f t="shared" si="21"/>
        <v>59335.958458344219</v>
      </c>
      <c r="P95" s="1903"/>
      <c r="Q95" s="1894"/>
      <c r="R95" s="1894"/>
      <c r="S95" s="1871">
        <f t="shared" si="15"/>
        <v>59335.958336510288</v>
      </c>
      <c r="T95" s="1777"/>
      <c r="U95" s="1777"/>
      <c r="V95" s="1777"/>
      <c r="W95" s="1777"/>
      <c r="X95" s="1777"/>
      <c r="Y95" s="1777"/>
      <c r="Z95" s="1777"/>
      <c r="AA95" s="1777"/>
      <c r="AB95" s="1777"/>
      <c r="AC95" s="1777"/>
    </row>
    <row r="96" spans="1:29" s="1782" customFormat="1" ht="11.25" customHeight="1">
      <c r="A96" s="1779"/>
      <c r="B96" s="1884">
        <v>46104</v>
      </c>
      <c r="C96" s="669" t="s">
        <v>250</v>
      </c>
      <c r="D96" s="1885" t="s">
        <v>211</v>
      </c>
      <c r="E96" s="1886">
        <v>63</v>
      </c>
      <c r="F96" s="1887" t="s">
        <v>107</v>
      </c>
      <c r="G96" s="1888"/>
      <c r="H96" s="1889"/>
      <c r="I96" s="1902"/>
      <c r="J96" s="1889"/>
      <c r="K96" s="1957">
        <v>7.2</v>
      </c>
      <c r="L96" s="1891">
        <f>'통장내역(환율표)'!$D$68</f>
        <v>6.8738999324298709</v>
      </c>
      <c r="M96" s="1958">
        <f t="shared" si="19"/>
        <v>1.0474403280198545</v>
      </c>
      <c r="N96" s="1892">
        <f t="shared" si="20"/>
        <v>407862.24000000133</v>
      </c>
      <c r="O96" s="1892">
        <f t="shared" si="21"/>
        <v>59334.911018016202</v>
      </c>
      <c r="P96" s="1903"/>
      <c r="Q96" s="1894"/>
      <c r="R96" s="1894"/>
      <c r="S96" s="1871">
        <f t="shared" si="15"/>
        <v>59334.910896182271</v>
      </c>
      <c r="T96" s="1777"/>
      <c r="U96" s="1777"/>
      <c r="V96" s="1777"/>
      <c r="W96" s="1777"/>
      <c r="X96" s="1777"/>
      <c r="Y96" s="1777"/>
      <c r="Z96" s="1777"/>
      <c r="AA96" s="1777"/>
      <c r="AB96" s="1777"/>
      <c r="AC96" s="1777"/>
    </row>
    <row r="97" spans="1:29" s="1782" customFormat="1" ht="11.25" customHeight="1">
      <c r="A97" s="1779"/>
      <c r="B97" s="1884">
        <v>46105</v>
      </c>
      <c r="C97" s="669" t="s">
        <v>250</v>
      </c>
      <c r="D97" s="1885" t="s">
        <v>211</v>
      </c>
      <c r="E97" s="1886">
        <v>64</v>
      </c>
      <c r="F97" s="1887" t="s">
        <v>107</v>
      </c>
      <c r="G97" s="1888"/>
      <c r="H97" s="1889"/>
      <c r="I97" s="1902"/>
      <c r="J97" s="1889"/>
      <c r="K97" s="1957">
        <v>7.2</v>
      </c>
      <c r="L97" s="1891">
        <f>'통장내역(환율표)'!$D$68</f>
        <v>6.8738999324298709</v>
      </c>
      <c r="M97" s="1958">
        <f t="shared" si="19"/>
        <v>1.0474403280198545</v>
      </c>
      <c r="N97" s="1892">
        <f t="shared" si="20"/>
        <v>407855.04000000132</v>
      </c>
      <c r="O97" s="1892">
        <f t="shared" si="21"/>
        <v>59333.863577688186</v>
      </c>
      <c r="P97" s="1903"/>
      <c r="Q97" s="1894"/>
      <c r="R97" s="1894"/>
      <c r="S97" s="1871">
        <f t="shared" ref="S97:S99" si="25">S96-M97</f>
        <v>59333.863455854254</v>
      </c>
      <c r="T97" s="1777"/>
      <c r="U97" s="1777"/>
      <c r="V97" s="1777"/>
      <c r="W97" s="1777"/>
      <c r="X97" s="1777"/>
      <c r="Y97" s="1777"/>
      <c r="Z97" s="1777"/>
      <c r="AA97" s="1777"/>
      <c r="AB97" s="1777"/>
      <c r="AC97" s="1777"/>
    </row>
    <row r="98" spans="1:29" ht="11.25" customHeight="1">
      <c r="B98" s="1884">
        <v>46105</v>
      </c>
      <c r="C98" s="669" t="s">
        <v>1462</v>
      </c>
      <c r="D98" s="1885"/>
      <c r="E98" s="1886">
        <v>65</v>
      </c>
      <c r="F98" s="1887" t="s">
        <v>107</v>
      </c>
      <c r="G98" s="1888"/>
      <c r="H98" s="1889"/>
      <c r="I98" s="1902"/>
      <c r="J98" s="1889"/>
      <c r="K98" s="1957">
        <v>269629.55</v>
      </c>
      <c r="L98" s="1891">
        <f>'통장내역(환율표)'!$D$68</f>
        <v>6.8738999324298709</v>
      </c>
      <c r="M98" s="1958">
        <f t="shared" si="19"/>
        <v>39225.120041089693</v>
      </c>
      <c r="N98" s="1892">
        <f t="shared" si="20"/>
        <v>138225.49000000133</v>
      </c>
      <c r="O98" s="1892">
        <f t="shared" si="21"/>
        <v>20108.743536598493</v>
      </c>
      <c r="P98" s="1903"/>
      <c r="Q98" s="1894"/>
      <c r="R98" s="1894"/>
      <c r="S98" s="1871">
        <f t="shared" si="25"/>
        <v>20108.743414764562</v>
      </c>
    </row>
    <row r="99" spans="1:29" ht="11.25" customHeight="1">
      <c r="B99" s="1884">
        <v>46105</v>
      </c>
      <c r="C99" s="669" t="s">
        <v>250</v>
      </c>
      <c r="D99" s="1885"/>
      <c r="E99" s="1886">
        <v>65</v>
      </c>
      <c r="F99" s="1887" t="s">
        <v>107</v>
      </c>
      <c r="G99" s="1888"/>
      <c r="H99" s="1889"/>
      <c r="I99" s="1902"/>
      <c r="J99" s="1889"/>
      <c r="K99" s="1957">
        <v>12</v>
      </c>
      <c r="L99" s="1891">
        <f>'통장내역(환율표)'!$D$68</f>
        <v>6.8738999324298709</v>
      </c>
      <c r="M99" s="1958">
        <f t="shared" si="19"/>
        <v>1.7457338800330908</v>
      </c>
      <c r="N99" s="1892">
        <f t="shared" si="20"/>
        <v>138213.49000000133</v>
      </c>
      <c r="O99" s="1892">
        <f t="shared" si="21"/>
        <v>20106.997802718459</v>
      </c>
      <c r="P99" s="1903"/>
      <c r="Q99" s="1894"/>
      <c r="R99" s="1894"/>
      <c r="S99" s="1871">
        <f t="shared" si="25"/>
        <v>20106.997680884528</v>
      </c>
    </row>
    <row r="100" spans="1:29" ht="11.25" customHeight="1">
      <c r="H100" s="1919"/>
      <c r="I100" s="1919"/>
      <c r="J100" s="1920"/>
      <c r="K100" s="1921"/>
      <c r="L100" s="1919"/>
    </row>
    <row r="101" spans="1:29" ht="11.25" customHeight="1">
      <c r="K101" s="1921"/>
    </row>
    <row r="102" spans="1:29" ht="11.25" customHeight="1">
      <c r="K102" s="1921"/>
    </row>
    <row r="103" spans="1:29" ht="11.25" customHeight="1">
      <c r="K103" s="1921"/>
    </row>
    <row r="104" spans="1:29" ht="11.25" customHeight="1">
      <c r="K104" s="1921"/>
    </row>
    <row r="105" spans="1:29" ht="11.25" customHeight="1">
      <c r="K105" s="1921"/>
    </row>
    <row r="106" spans="1:29" ht="11.25" customHeight="1">
      <c r="K106" s="1921"/>
    </row>
    <row r="107" spans="1:29" ht="11.25" customHeight="1">
      <c r="K107" s="1921"/>
    </row>
    <row r="108" spans="1:29" ht="11.25" customHeight="1">
      <c r="K108" s="1921"/>
    </row>
    <row r="109" spans="1:29" ht="11.25" customHeight="1">
      <c r="K109" s="1921"/>
    </row>
    <row r="110" spans="1:29" ht="11.25" customHeight="1">
      <c r="K110" s="1921"/>
    </row>
    <row r="111" spans="1:29" ht="11.25" customHeight="1">
      <c r="K111" s="1921"/>
    </row>
  </sheetData>
  <autoFilter ref="B20:R99" xr:uid="{00000000-0009-0000-0000-000001000000}">
    <filterColumn colId="14" showButton="0"/>
    <sortState xmlns:xlrd2="http://schemas.microsoft.com/office/spreadsheetml/2017/richdata2" ref="B21:R97">
      <sortCondition sortBy="cellColor" ref="M20:M97" dxfId="2"/>
    </sortState>
  </autoFilter>
  <mergeCells count="5">
    <mergeCell ref="H19:J19"/>
    <mergeCell ref="K19:M19"/>
    <mergeCell ref="N19:O19"/>
    <mergeCell ref="P19:Q19"/>
    <mergeCell ref="P20:Q20"/>
  </mergeCells>
  <phoneticPr fontId="3" type="noConversion"/>
  <pageMargins left="0.7" right="0.7" top="0.75" bottom="0.75" header="0.3" footer="0.3"/>
  <pageSetup paperSize="256" orientation="portrait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924C-BCA1-43FA-A374-F406F055F534}">
  <sheetPr>
    <tabColor rgb="FFFFC000"/>
  </sheetPr>
  <dimension ref="A1:AC108"/>
  <sheetViews>
    <sheetView showGridLines="0" topLeftCell="B1" zoomScale="85" zoomScaleNormal="85" workbookViewId="0">
      <selection activeCell="E15" sqref="E15"/>
    </sheetView>
  </sheetViews>
  <sheetFormatPr defaultColWidth="9" defaultRowHeight="11.25" customHeight="1"/>
  <cols>
    <col min="1" max="1" width="1.69921875" style="1779" customWidth="1"/>
    <col min="2" max="2" width="9.69921875" style="1832" customWidth="1"/>
    <col min="3" max="3" width="24" style="1781" customWidth="1"/>
    <col min="4" max="4" width="15.69921875" style="1777" customWidth="1"/>
    <col min="5" max="5" width="12.59765625" style="1777" bestFit="1" customWidth="1"/>
    <col min="6" max="6" width="15.09765625" style="1777" customWidth="1"/>
    <col min="7" max="7" width="9.796875" style="1782" customWidth="1"/>
    <col min="8" max="8" width="9.69921875" style="1777" customWidth="1"/>
    <col min="9" max="9" width="13.19921875" style="1777" bestFit="1" customWidth="1"/>
    <col min="10" max="10" width="10.5" style="1782" customWidth="1"/>
    <col min="11" max="11" width="11" style="1830" customWidth="1"/>
    <col min="12" max="12" width="13.296875" style="1777" customWidth="1"/>
    <col min="13" max="13" width="13" style="1777" bestFit="1" customWidth="1"/>
    <col min="14" max="14" width="15.09765625" style="1777" customWidth="1"/>
    <col min="15" max="15" width="13.19921875" style="1777" bestFit="1" customWidth="1"/>
    <col min="16" max="16" width="11.69921875" style="1777" customWidth="1"/>
    <col min="17" max="17" width="9.59765625" style="1777" customWidth="1"/>
    <col min="18" max="18" width="16" style="1782" customWidth="1"/>
    <col min="19" max="19" width="10.69921875" style="1787" bestFit="1" customWidth="1"/>
    <col min="20" max="20" width="9" style="1777"/>
    <col min="21" max="21" width="16.19921875" style="1778" bestFit="1" customWidth="1"/>
    <col min="22" max="22" width="11.796875" style="1777" bestFit="1" customWidth="1"/>
    <col min="23" max="23" width="9" style="1777"/>
    <col min="24" max="25" width="10.69921875" style="1777" customWidth="1"/>
    <col min="26" max="27" width="9" style="1777"/>
    <col min="28" max="28" width="13.09765625" style="1777" bestFit="1" customWidth="1"/>
    <col min="29" max="29" width="10.59765625" style="1777" bestFit="1" customWidth="1"/>
    <col min="30" max="16384" width="9" style="1777"/>
  </cols>
  <sheetData>
    <row r="1" spans="1:24" ht="1.5" customHeight="1">
      <c r="A1" s="1764"/>
      <c r="B1" s="1765"/>
      <c r="C1" s="1766"/>
      <c r="D1" s="1767"/>
      <c r="E1" s="1768"/>
      <c r="F1" s="1768"/>
      <c r="G1" s="1769"/>
      <c r="H1" s="1774"/>
      <c r="I1" s="1774"/>
      <c r="J1" s="1775"/>
      <c r="K1" s="1776"/>
      <c r="M1" s="1778"/>
      <c r="R1" s="1777"/>
      <c r="S1" s="1777"/>
      <c r="U1" s="1777"/>
    </row>
    <row r="2" spans="1:24" ht="15" customHeight="1">
      <c r="B2" s="1780" t="s">
        <v>1687</v>
      </c>
      <c r="D2" s="1781"/>
      <c r="F2" s="139">
        <v>100000301</v>
      </c>
      <c r="G2" s="1782" t="s">
        <v>1047</v>
      </c>
      <c r="K2" s="1787">
        <v>6696.99</v>
      </c>
      <c r="R2" s="1777"/>
      <c r="S2" s="1777"/>
      <c r="U2" s="1777"/>
    </row>
    <row r="3" spans="1:24" s="1792" customFormat="1" ht="11.25" customHeight="1">
      <c r="A3" s="1788"/>
      <c r="B3" s="1789" t="s">
        <v>1692</v>
      </c>
      <c r="C3" s="1790"/>
      <c r="D3" s="1790"/>
      <c r="E3" s="1790"/>
      <c r="F3" s="1791">
        <v>1479.8</v>
      </c>
      <c r="H3" s="1789" t="s">
        <v>1691</v>
      </c>
      <c r="I3" s="1790"/>
      <c r="K3" s="1933"/>
      <c r="L3" s="1791">
        <v>1479.8</v>
      </c>
      <c r="M3" s="1953"/>
      <c r="N3" s="1953"/>
      <c r="O3" s="1953"/>
      <c r="P3" s="1777"/>
      <c r="Q3" s="1777"/>
      <c r="R3" s="1777"/>
      <c r="S3" s="1793"/>
      <c r="T3" s="1793"/>
    </row>
    <row r="4" spans="1:24" ht="11.25" customHeight="1">
      <c r="A4" s="1764"/>
      <c r="B4" s="1796" t="s">
        <v>1</v>
      </c>
      <c r="C4" s="1797" t="s">
        <v>2</v>
      </c>
      <c r="D4" s="1798" t="s">
        <v>1049</v>
      </c>
      <c r="E4" s="1799" t="s">
        <v>1050</v>
      </c>
      <c r="F4" s="1800" t="s">
        <v>1690</v>
      </c>
      <c r="G4" s="1971"/>
      <c r="H4" s="1796" t="s">
        <v>1</v>
      </c>
      <c r="I4" s="1797" t="s">
        <v>2</v>
      </c>
      <c r="J4" s="1798" t="s">
        <v>1049</v>
      </c>
      <c r="K4" s="1799" t="s">
        <v>1050</v>
      </c>
      <c r="L4" s="1800" t="s">
        <v>1693</v>
      </c>
      <c r="M4" s="1953"/>
      <c r="N4" s="1953"/>
      <c r="O4" s="1953"/>
      <c r="R4" s="1777"/>
      <c r="S4" s="1793"/>
      <c r="T4" s="1793"/>
      <c r="U4" s="1777"/>
      <c r="V4" s="1777" t="s">
        <v>1266</v>
      </c>
      <c r="W4" s="1777" t="s">
        <v>1267</v>
      </c>
      <c r="X4" s="1777" t="s">
        <v>1672</v>
      </c>
    </row>
    <row r="5" spans="1:24" ht="11.25" customHeight="1">
      <c r="A5" s="1787">
        <v>51131050</v>
      </c>
      <c r="B5" s="1801" t="s">
        <v>1052</v>
      </c>
      <c r="C5" s="1802" t="s">
        <v>12</v>
      </c>
      <c r="D5" s="1803"/>
      <c r="E5" s="1804"/>
      <c r="F5" s="1805">
        <f>ROUND(E5*$F$3,0)</f>
        <v>0</v>
      </c>
      <c r="G5" s="1977">
        <v>51131050</v>
      </c>
      <c r="H5" s="1806" t="s">
        <v>11</v>
      </c>
      <c r="I5" s="1806" t="s">
        <v>12</v>
      </c>
      <c r="J5" s="1803">
        <v>8539.34</v>
      </c>
      <c r="K5" s="1938">
        <v>1254.68</v>
      </c>
      <c r="L5" s="1805">
        <f>ROUND(K5*$L$3,0)</f>
        <v>1856675</v>
      </c>
      <c r="M5" s="1953"/>
      <c r="N5" s="1953"/>
      <c r="O5" s="1953"/>
      <c r="R5" s="1777"/>
      <c r="S5" s="1793"/>
      <c r="T5" s="1793"/>
      <c r="U5" s="1777"/>
      <c r="V5" s="1803">
        <f t="shared" ref="V5:X13" si="0">+D5+J5+P5</f>
        <v>8539.34</v>
      </c>
      <c r="W5" s="1938">
        <f t="shared" si="0"/>
        <v>1254.68</v>
      </c>
      <c r="X5" s="1807">
        <f t="shared" si="0"/>
        <v>1856675</v>
      </c>
    </row>
    <row r="6" spans="1:24" ht="11.25" customHeight="1">
      <c r="A6" s="1787">
        <v>51061030</v>
      </c>
      <c r="B6" s="1801" t="s">
        <v>1053</v>
      </c>
      <c r="C6" s="1802" t="s">
        <v>1054</v>
      </c>
      <c r="D6" s="1803"/>
      <c r="E6" s="1803"/>
      <c r="F6" s="1805">
        <f t="shared" ref="F6:F10" si="1">ROUND(E6*$F$3,0)</f>
        <v>0</v>
      </c>
      <c r="G6" s="1977">
        <v>51061030</v>
      </c>
      <c r="H6" s="1806" t="s">
        <v>13</v>
      </c>
      <c r="I6" s="1806" t="s">
        <v>14</v>
      </c>
      <c r="J6" s="1803">
        <v>28525.55</v>
      </c>
      <c r="K6" s="1938">
        <v>4191.24</v>
      </c>
      <c r="L6" s="1805">
        <f t="shared" ref="L6:L13" si="2">ROUND(K6*$L$3,0)</f>
        <v>6202197</v>
      </c>
      <c r="M6" s="1953"/>
      <c r="N6" s="1953"/>
      <c r="O6" s="1953"/>
      <c r="R6" s="1777"/>
      <c r="S6" s="1793"/>
      <c r="T6" s="1793"/>
      <c r="U6" s="1777"/>
      <c r="V6" s="1803">
        <f t="shared" si="0"/>
        <v>28525.55</v>
      </c>
      <c r="W6" s="1938">
        <f t="shared" si="0"/>
        <v>4191.24</v>
      </c>
      <c r="X6" s="1807">
        <f t="shared" si="0"/>
        <v>6202197</v>
      </c>
    </row>
    <row r="7" spans="1:24" ht="11.25" customHeight="1">
      <c r="A7" s="1787">
        <v>51201020</v>
      </c>
      <c r="B7" s="1801" t="s">
        <v>15</v>
      </c>
      <c r="C7" s="1802" t="s">
        <v>180</v>
      </c>
      <c r="D7" s="1803">
        <v>20000</v>
      </c>
      <c r="E7" s="1803">
        <v>2909.56</v>
      </c>
      <c r="F7" s="1805">
        <f t="shared" si="1"/>
        <v>4305567</v>
      </c>
      <c r="G7" s="1977">
        <v>51201020</v>
      </c>
      <c r="H7" s="1806" t="s">
        <v>15</v>
      </c>
      <c r="I7" s="1806" t="s">
        <v>1055</v>
      </c>
      <c r="J7" s="1810">
        <v>300</v>
      </c>
      <c r="K7" s="1938">
        <v>44.08</v>
      </c>
      <c r="L7" s="1805">
        <f t="shared" si="2"/>
        <v>65230</v>
      </c>
      <c r="M7" s="1953"/>
      <c r="N7" s="1953"/>
      <c r="O7" s="1953"/>
      <c r="R7" s="1777"/>
      <c r="S7" s="1793"/>
      <c r="T7" s="1793"/>
      <c r="U7" s="1777"/>
      <c r="V7" s="1803">
        <f t="shared" si="0"/>
        <v>20300</v>
      </c>
      <c r="W7" s="1938">
        <f t="shared" si="0"/>
        <v>2953.64</v>
      </c>
      <c r="X7" s="1807">
        <f t="shared" si="0"/>
        <v>4370797</v>
      </c>
    </row>
    <row r="8" spans="1:24" ht="13.05" customHeight="1">
      <c r="A8" s="1787">
        <v>51201030</v>
      </c>
      <c r="B8" s="1801" t="s">
        <v>1056</v>
      </c>
      <c r="C8" s="1802" t="s">
        <v>17</v>
      </c>
      <c r="D8" s="1803"/>
      <c r="E8" s="1803"/>
      <c r="F8" s="1805">
        <f t="shared" si="1"/>
        <v>0</v>
      </c>
      <c r="G8" s="1977">
        <v>51201030</v>
      </c>
      <c r="H8" s="1806" t="s">
        <v>15</v>
      </c>
      <c r="I8" s="1802" t="s">
        <v>17</v>
      </c>
      <c r="J8" s="1810">
        <v>20000</v>
      </c>
      <c r="K8" s="1938">
        <v>2938.58</v>
      </c>
      <c r="L8" s="1805">
        <f t="shared" si="2"/>
        <v>4348511</v>
      </c>
      <c r="M8" s="1953"/>
      <c r="N8" s="1953"/>
      <c r="O8" s="1953"/>
      <c r="R8" s="1777"/>
      <c r="S8" s="1793"/>
      <c r="T8" s="1793"/>
      <c r="U8" s="1777"/>
      <c r="V8" s="1803">
        <f t="shared" si="0"/>
        <v>20000</v>
      </c>
      <c r="W8" s="1938">
        <f t="shared" si="0"/>
        <v>2938.58</v>
      </c>
      <c r="X8" s="1807">
        <f t="shared" si="0"/>
        <v>4348511</v>
      </c>
    </row>
    <row r="9" spans="1:24" ht="11.25" customHeight="1">
      <c r="A9" s="1787">
        <v>51071700</v>
      </c>
      <c r="B9" s="1801" t="s">
        <v>19</v>
      </c>
      <c r="C9" s="1802" t="s">
        <v>20</v>
      </c>
      <c r="D9" s="1803"/>
      <c r="E9" s="1803"/>
      <c r="F9" s="1805">
        <f t="shared" si="1"/>
        <v>0</v>
      </c>
      <c r="G9" s="1977">
        <v>51071700</v>
      </c>
      <c r="H9" s="1806" t="s">
        <v>19</v>
      </c>
      <c r="I9" s="1802" t="s">
        <v>20</v>
      </c>
      <c r="J9" s="1810">
        <v>2532.8100000000004</v>
      </c>
      <c r="K9" s="1938">
        <v>372.14</v>
      </c>
      <c r="L9" s="1805">
        <f t="shared" si="2"/>
        <v>550693</v>
      </c>
      <c r="M9" s="1953"/>
      <c r="N9" s="1953"/>
      <c r="O9" s="1953"/>
      <c r="R9" s="1777"/>
      <c r="S9" s="1793"/>
      <c r="T9" s="1793"/>
      <c r="U9" s="1777"/>
      <c r="V9" s="1803">
        <f t="shared" si="0"/>
        <v>2532.8100000000004</v>
      </c>
      <c r="W9" s="1938">
        <f t="shared" si="0"/>
        <v>372.14</v>
      </c>
      <c r="X9" s="1807">
        <f t="shared" si="0"/>
        <v>550693</v>
      </c>
    </row>
    <row r="10" spans="1:24" ht="11.25" customHeight="1">
      <c r="A10" s="1787">
        <v>51321010</v>
      </c>
      <c r="B10" s="1801" t="s">
        <v>21</v>
      </c>
      <c r="C10" s="1802"/>
      <c r="D10" s="1803">
        <v>118213.51</v>
      </c>
      <c r="E10" s="1803">
        <v>17197.439999999999</v>
      </c>
      <c r="F10" s="1805">
        <f t="shared" si="1"/>
        <v>25448772</v>
      </c>
      <c r="G10" s="1978">
        <v>51321010</v>
      </c>
      <c r="H10" s="1806" t="s">
        <v>21</v>
      </c>
      <c r="I10" s="1806"/>
      <c r="J10" s="1803">
        <v>278049.07</v>
      </c>
      <c r="K10" s="1938">
        <v>40878.519999999997</v>
      </c>
      <c r="L10" s="1805">
        <f t="shared" si="2"/>
        <v>60492034</v>
      </c>
      <c r="M10" s="1953"/>
      <c r="N10" s="1953"/>
      <c r="O10" s="1953"/>
      <c r="R10" s="1777"/>
      <c r="S10" s="1793"/>
      <c r="T10" s="1793"/>
      <c r="U10" s="1777"/>
      <c r="V10" s="1803">
        <f t="shared" si="0"/>
        <v>396262.58</v>
      </c>
      <c r="W10" s="1938">
        <f t="shared" si="0"/>
        <v>58075.959999999992</v>
      </c>
      <c r="X10" s="1807">
        <f t="shared" si="0"/>
        <v>85940806</v>
      </c>
    </row>
    <row r="11" spans="1:24" ht="11.25" customHeight="1">
      <c r="A11" s="1787"/>
      <c r="B11" s="1801"/>
      <c r="C11" s="1802"/>
      <c r="D11" s="1803"/>
      <c r="E11" s="1803"/>
      <c r="F11" s="1805"/>
      <c r="G11" s="1980"/>
      <c r="H11" s="1806" t="s">
        <v>1670</v>
      </c>
      <c r="I11" s="1806" t="s">
        <v>140</v>
      </c>
      <c r="J11" s="1803"/>
      <c r="K11" s="1938"/>
      <c r="L11" s="1805">
        <f t="shared" si="2"/>
        <v>0</v>
      </c>
      <c r="M11" s="1953"/>
      <c r="N11" s="1953"/>
      <c r="O11" s="1953"/>
      <c r="R11" s="1777"/>
      <c r="S11" s="1793"/>
      <c r="T11" s="1793"/>
      <c r="U11" s="1777"/>
      <c r="V11" s="1803">
        <f t="shared" si="0"/>
        <v>0</v>
      </c>
      <c r="W11" s="1938">
        <f t="shared" si="0"/>
        <v>0</v>
      </c>
      <c r="X11" s="1807">
        <f t="shared" si="0"/>
        <v>0</v>
      </c>
    </row>
    <row r="12" spans="1:24" ht="10.5" customHeight="1">
      <c r="A12" s="1787">
        <v>51031020</v>
      </c>
      <c r="B12" s="1811" t="s">
        <v>1057</v>
      </c>
      <c r="C12" s="1812" t="s">
        <v>1058</v>
      </c>
      <c r="D12" s="1811"/>
      <c r="E12" s="1811"/>
      <c r="F12" s="1813"/>
      <c r="G12" s="1980">
        <v>52981010</v>
      </c>
      <c r="H12" s="1811" t="s">
        <v>1057</v>
      </c>
      <c r="I12" s="1811" t="s">
        <v>1279</v>
      </c>
      <c r="J12" s="1814"/>
      <c r="K12" s="1815"/>
      <c r="L12" s="1816">
        <f t="shared" si="2"/>
        <v>0</v>
      </c>
      <c r="M12" s="1953"/>
      <c r="N12" s="1953"/>
      <c r="O12" s="1953"/>
      <c r="R12" s="1777"/>
      <c r="S12" s="1793"/>
      <c r="T12" s="1793"/>
      <c r="U12" s="1777"/>
      <c r="V12" s="1803">
        <f t="shared" si="0"/>
        <v>0</v>
      </c>
      <c r="W12" s="1938">
        <f t="shared" si="0"/>
        <v>0</v>
      </c>
      <c r="X12" s="1807">
        <f t="shared" si="0"/>
        <v>0</v>
      </c>
    </row>
    <row r="13" spans="1:24" ht="11.25" customHeight="1">
      <c r="A13" s="1787">
        <v>52981010</v>
      </c>
      <c r="B13" s="1806" t="s">
        <v>1651</v>
      </c>
      <c r="C13" s="1802" t="s">
        <v>1060</v>
      </c>
      <c r="D13" s="1803"/>
      <c r="E13" s="1803"/>
      <c r="F13" s="1805"/>
      <c r="G13" s="1980"/>
      <c r="H13" s="1806" t="s">
        <v>1651</v>
      </c>
      <c r="I13" s="1806" t="s">
        <v>1060</v>
      </c>
      <c r="J13" s="1817"/>
      <c r="K13" s="1803"/>
      <c r="L13" s="1805">
        <f t="shared" si="2"/>
        <v>0</v>
      </c>
      <c r="M13" s="1953"/>
      <c r="N13" s="1953"/>
      <c r="O13" s="1953"/>
      <c r="R13" s="1777"/>
      <c r="S13" s="1793"/>
      <c r="T13" s="1793"/>
      <c r="U13" s="1777"/>
      <c r="V13" s="1803">
        <f t="shared" si="0"/>
        <v>0</v>
      </c>
      <c r="W13" s="1938">
        <f t="shared" si="0"/>
        <v>0</v>
      </c>
      <c r="X13" s="1807">
        <f t="shared" si="0"/>
        <v>0</v>
      </c>
    </row>
    <row r="14" spans="1:24" s="1782" customFormat="1" ht="15.6">
      <c r="A14" s="1819"/>
      <c r="B14" s="1820" t="s">
        <v>22</v>
      </c>
      <c r="C14" s="1821"/>
      <c r="D14" s="1822">
        <f>SUM(D5:D12)</f>
        <v>138213.51</v>
      </c>
      <c r="E14" s="1822">
        <f>SUM(E5:E12)</f>
        <v>20107</v>
      </c>
      <c r="F14" s="1823">
        <f>SUM(F5:F12)</f>
        <v>29754339</v>
      </c>
      <c r="G14" s="1976"/>
      <c r="H14" s="1824" t="s">
        <v>22</v>
      </c>
      <c r="I14" s="1825"/>
      <c r="J14" s="1822">
        <f>SUM(J5:J12)-J13</f>
        <v>337946.77</v>
      </c>
      <c r="K14" s="1799">
        <f>SUM(K5:K12)-K13</f>
        <v>49679.24</v>
      </c>
      <c r="L14" s="1826">
        <f>SUM(L5:L12)-L13</f>
        <v>73515340</v>
      </c>
      <c r="M14" s="1953"/>
      <c r="N14" s="1953"/>
      <c r="O14" s="1953"/>
      <c r="P14" s="1777"/>
      <c r="Q14" s="1777"/>
      <c r="R14" s="1777"/>
      <c r="S14" s="1793"/>
      <c r="T14" s="1793"/>
    </row>
    <row r="15" spans="1:24" ht="15.6">
      <c r="A15" s="1764"/>
      <c r="D15" s="1833"/>
      <c r="E15" s="1833"/>
      <c r="F15" s="1833"/>
      <c r="G15" s="1991"/>
      <c r="J15" s="1835">
        <f>+D14+P14+J14+J16</f>
        <v>511863.32</v>
      </c>
      <c r="K15" s="1835">
        <f>+E14+Q14+K14+K16</f>
        <v>75032.06</v>
      </c>
      <c r="L15" s="1836">
        <f>+F14+R14+L14</f>
        <v>103269679</v>
      </c>
      <c r="M15" s="1987"/>
      <c r="N15" s="1987"/>
      <c r="O15" s="227"/>
      <c r="S15" s="1793"/>
      <c r="T15" s="1793"/>
      <c r="U15" s="1777"/>
    </row>
    <row r="16" spans="1:24" ht="11.1" customHeight="1">
      <c r="A16" s="1764"/>
      <c r="G16" s="119">
        <v>51191010</v>
      </c>
      <c r="H16" s="1777" t="s">
        <v>1688</v>
      </c>
      <c r="I16" s="1777" t="s">
        <v>1689</v>
      </c>
      <c r="J16" s="1841">
        <v>35703.040000000001</v>
      </c>
      <c r="K16" s="1841">
        <v>5245.82</v>
      </c>
      <c r="L16" s="1836">
        <f t="shared" ref="L16" si="3">ROUND(K16*$L$3,0)</f>
        <v>7762764</v>
      </c>
      <c r="M16" s="1838"/>
      <c r="N16" s="1787"/>
      <c r="P16" s="1778"/>
      <c r="R16" s="1777"/>
      <c r="S16" s="227"/>
      <c r="T16" s="227"/>
      <c r="U16" s="1777"/>
      <c r="W16" s="227"/>
      <c r="X16" s="1782"/>
    </row>
    <row r="17" spans="1:29" ht="11.1" customHeight="1">
      <c r="A17" s="1764"/>
      <c r="D17" s="1833"/>
      <c r="E17" s="1833"/>
      <c r="F17" s="1833"/>
      <c r="G17" s="1977"/>
      <c r="J17" s="1837"/>
      <c r="K17" s="1839"/>
      <c r="L17" s="1840"/>
      <c r="M17" s="1827"/>
      <c r="O17" s="1838"/>
      <c r="P17" s="1787"/>
      <c r="R17" s="1778"/>
      <c r="S17" s="1777"/>
      <c r="U17" s="227"/>
      <c r="V17" s="227"/>
      <c r="Y17" s="227"/>
      <c r="Z17" s="1782"/>
    </row>
    <row r="18" spans="1:29" ht="11.1" customHeight="1">
      <c r="A18" s="1764"/>
      <c r="D18" s="1781"/>
      <c r="E18" s="197"/>
      <c r="F18" s="197"/>
      <c r="G18" s="1834"/>
      <c r="I18" s="227"/>
      <c r="J18" s="1831"/>
      <c r="K18" s="1841">
        <f>SUBTOTAL(9,K21:K96)</f>
        <v>511863.31999999989</v>
      </c>
      <c r="L18" s="137"/>
      <c r="M18" s="1841">
        <f>SUBTOTAL(9,M21:M96)</f>
        <v>75032.060591143294</v>
      </c>
      <c r="N18" s="227"/>
      <c r="O18" s="1782"/>
      <c r="P18" s="1787"/>
      <c r="R18" s="1777"/>
      <c r="S18" s="1777"/>
      <c r="U18" s="1777"/>
    </row>
    <row r="19" spans="1:29" ht="11.55" customHeight="1">
      <c r="A19" s="1764"/>
      <c r="B19" s="1842" t="s">
        <v>24</v>
      </c>
      <c r="C19" s="1843" t="s">
        <v>25</v>
      </c>
      <c r="D19" s="1974" t="s">
        <v>1061</v>
      </c>
      <c r="E19" s="1845" t="s">
        <v>26</v>
      </c>
      <c r="F19" s="1974" t="s">
        <v>1</v>
      </c>
      <c r="G19" s="1846" t="s">
        <v>2</v>
      </c>
      <c r="H19" s="2101" t="s">
        <v>29</v>
      </c>
      <c r="I19" s="2101"/>
      <c r="J19" s="2101"/>
      <c r="K19" s="2101" t="s">
        <v>30</v>
      </c>
      <c r="L19" s="2101"/>
      <c r="M19" s="2102"/>
      <c r="N19" s="2103" t="s">
        <v>31</v>
      </c>
      <c r="O19" s="2103"/>
      <c r="P19" s="2104"/>
      <c r="Q19" s="2104"/>
      <c r="R19" s="1846" t="s">
        <v>1062</v>
      </c>
      <c r="U19" s="1777"/>
    </row>
    <row r="20" spans="1:29" ht="11.1" customHeight="1">
      <c r="A20" s="1764"/>
      <c r="B20" s="1847" t="s">
        <v>1063</v>
      </c>
      <c r="C20" s="1848" t="s">
        <v>1064</v>
      </c>
      <c r="D20" s="1975" t="s">
        <v>1065</v>
      </c>
      <c r="E20" s="1850" t="s">
        <v>1066</v>
      </c>
      <c r="F20" s="1851" t="s">
        <v>1067</v>
      </c>
      <c r="G20" s="1852" t="s">
        <v>1068</v>
      </c>
      <c r="H20" s="1853" t="s">
        <v>1069</v>
      </c>
      <c r="I20" s="1853" t="s">
        <v>1070</v>
      </c>
      <c r="J20" s="1854" t="s">
        <v>34</v>
      </c>
      <c r="K20" s="1854" t="s">
        <v>1069</v>
      </c>
      <c r="L20" s="1853" t="s">
        <v>1070</v>
      </c>
      <c r="M20" s="1855" t="s">
        <v>34</v>
      </c>
      <c r="N20" s="1973" t="s">
        <v>1069</v>
      </c>
      <c r="O20" s="1973" t="s">
        <v>34</v>
      </c>
      <c r="P20" s="2105" t="s">
        <v>32</v>
      </c>
      <c r="Q20" s="2105"/>
      <c r="R20" s="1857" t="s">
        <v>1062</v>
      </c>
      <c r="U20" s="1777"/>
    </row>
    <row r="21" spans="1:29" ht="11.25" customHeight="1">
      <c r="B21" s="1939">
        <v>46112</v>
      </c>
      <c r="C21" s="1940"/>
      <c r="D21" s="1941"/>
      <c r="E21" s="1940"/>
      <c r="F21" s="1942"/>
      <c r="G21" s="1943"/>
      <c r="H21" s="1944"/>
      <c r="I21" s="1941"/>
      <c r="J21" s="1943"/>
      <c r="K21" s="1945"/>
      <c r="L21" s="1946"/>
      <c r="M21" s="1947"/>
      <c r="N21" s="1948">
        <v>138213.49000000133</v>
      </c>
      <c r="O21" s="1948">
        <v>20106.997802718459</v>
      </c>
      <c r="P21" s="1949"/>
      <c r="Q21" s="1940"/>
      <c r="R21" s="1950"/>
      <c r="S21" s="1951">
        <v>20107</v>
      </c>
      <c r="U21" s="1777"/>
    </row>
    <row r="22" spans="1:29" s="1778" customFormat="1" ht="11.25" customHeight="1">
      <c r="A22" s="1779"/>
      <c r="B22" s="1959">
        <v>46128</v>
      </c>
      <c r="C22" s="1960" t="s">
        <v>1088</v>
      </c>
      <c r="D22" s="1961"/>
      <c r="E22" s="1962">
        <v>1</v>
      </c>
      <c r="F22" s="1963"/>
      <c r="G22" s="1964"/>
      <c r="H22" s="1965">
        <v>374695.62</v>
      </c>
      <c r="I22" s="1966"/>
      <c r="J22" s="1965">
        <v>55078.720000000001</v>
      </c>
      <c r="K22" s="1957"/>
      <c r="L22" s="1967"/>
      <c r="M22" s="1958"/>
      <c r="N22" s="1968">
        <f t="shared" ref="N22" si="4">N21+H22-K22</f>
        <v>512909.11000000132</v>
      </c>
      <c r="O22" s="1968">
        <f t="shared" ref="O22" si="5">O21+J22-M22</f>
        <v>75185.717802718456</v>
      </c>
      <c r="P22" s="1969"/>
      <c r="Q22" s="1969"/>
      <c r="R22" s="1969"/>
      <c r="S22" s="1871"/>
      <c r="T22" s="1777"/>
      <c r="U22" s="1777"/>
      <c r="V22" s="1777"/>
      <c r="W22" s="1777"/>
      <c r="X22" s="1777"/>
      <c r="Y22" s="1777"/>
      <c r="Z22" s="1777"/>
      <c r="AA22" s="1777"/>
      <c r="AB22" s="1777"/>
      <c r="AC22" s="1777"/>
    </row>
    <row r="23" spans="1:29" s="1778" customFormat="1" ht="11.25" customHeight="1">
      <c r="A23" s="1779"/>
      <c r="B23" s="1959"/>
      <c r="C23" s="1960"/>
      <c r="D23" s="1961"/>
      <c r="E23" s="1962"/>
      <c r="F23" s="1963" t="s">
        <v>21</v>
      </c>
      <c r="G23" s="1964"/>
      <c r="H23" s="1965"/>
      <c r="I23" s="1966"/>
      <c r="J23" s="1965"/>
      <c r="K23" s="1957"/>
      <c r="L23" s="1967"/>
      <c r="M23" s="1983">
        <v>25</v>
      </c>
      <c r="N23" s="1968">
        <f t="shared" ref="N23:N28" si="6">N22+H23-K23</f>
        <v>512909.11000000132</v>
      </c>
      <c r="O23" s="1968">
        <f t="shared" ref="O23:O28" si="7">O22+J23-M23</f>
        <v>75160.717802718456</v>
      </c>
      <c r="P23" s="1969"/>
      <c r="Q23" s="1969"/>
      <c r="R23" s="1969"/>
      <c r="S23" s="1871"/>
      <c r="T23" s="1777"/>
      <c r="U23" s="1777"/>
      <c r="V23" s="1777"/>
      <c r="W23" s="1777"/>
      <c r="X23" s="1777"/>
      <c r="Y23" s="1777"/>
      <c r="Z23" s="1777"/>
      <c r="AA23" s="1777"/>
      <c r="AB23" s="1777"/>
      <c r="AC23" s="1777"/>
    </row>
    <row r="24" spans="1:29" s="1778" customFormat="1" ht="11.25" customHeight="1">
      <c r="A24" s="1779"/>
      <c r="B24" s="1884">
        <v>46129</v>
      </c>
      <c r="C24" s="1105" t="s">
        <v>1678</v>
      </c>
      <c r="D24" s="1885"/>
      <c r="E24" s="1886">
        <v>2</v>
      </c>
      <c r="F24" s="1887" t="s">
        <v>21</v>
      </c>
      <c r="G24" s="1888"/>
      <c r="H24" s="1889"/>
      <c r="I24" s="1891"/>
      <c r="J24" s="1889"/>
      <c r="K24" s="1982">
        <v>57899.61</v>
      </c>
      <c r="L24" s="1986">
        <f>'통장내역(환율표)'!$D$68</f>
        <v>6.8738999324298709</v>
      </c>
      <c r="M24" s="1981">
        <f t="shared" ref="M24:M88" si="8">K24/L24</f>
        <v>8423.1092348085622</v>
      </c>
      <c r="N24" s="1892">
        <f t="shared" si="6"/>
        <v>455009.50000000134</v>
      </c>
      <c r="O24" s="1892">
        <f t="shared" si="7"/>
        <v>66737.608567909891</v>
      </c>
      <c r="P24" s="1896"/>
      <c r="Q24" s="1896"/>
      <c r="R24" s="1896"/>
      <c r="S24" s="1871">
        <f>S21-M24</f>
        <v>11683.890765191438</v>
      </c>
      <c r="T24" s="1777"/>
      <c r="U24" s="1777"/>
      <c r="V24" s="1777"/>
      <c r="W24" s="1777"/>
      <c r="X24" s="1777"/>
      <c r="Y24" s="1777"/>
      <c r="Z24" s="1777"/>
      <c r="AA24" s="1777"/>
      <c r="AB24" s="1777"/>
      <c r="AC24" s="1777"/>
    </row>
    <row r="25" spans="1:29" s="1778" customFormat="1" ht="11.25" customHeight="1">
      <c r="A25" s="1779"/>
      <c r="B25" s="1884">
        <v>46129</v>
      </c>
      <c r="C25" s="1105" t="s">
        <v>1678</v>
      </c>
      <c r="D25" s="1885"/>
      <c r="E25" s="1886">
        <v>3</v>
      </c>
      <c r="F25" s="1887" t="s">
        <v>21</v>
      </c>
      <c r="G25" s="1888"/>
      <c r="H25" s="1889"/>
      <c r="I25" s="1902"/>
      <c r="J25" s="1889"/>
      <c r="K25" s="1982">
        <v>240</v>
      </c>
      <c r="L25" s="1986">
        <f>'통장내역(환율표)'!$D$68</f>
        <v>6.8738999324298709</v>
      </c>
      <c r="M25" s="1981">
        <f t="shared" si="8"/>
        <v>34.914677600661818</v>
      </c>
      <c r="N25" s="1892">
        <f t="shared" si="6"/>
        <v>454769.50000000134</v>
      </c>
      <c r="O25" s="1892">
        <f t="shared" si="7"/>
        <v>66702.693890309223</v>
      </c>
      <c r="P25" s="1896"/>
      <c r="Q25" s="1896"/>
      <c r="R25" s="1896"/>
      <c r="S25" s="1871">
        <f>S24-M25</f>
        <v>11648.976087590776</v>
      </c>
      <c r="T25" s="1777"/>
      <c r="U25" s="1777"/>
      <c r="V25" s="1777"/>
      <c r="W25" s="1777"/>
      <c r="X25" s="1777"/>
      <c r="Y25" s="1777"/>
      <c r="Z25" s="1777"/>
      <c r="AA25" s="1777"/>
      <c r="AB25" s="1777"/>
      <c r="AC25" s="1777"/>
    </row>
    <row r="26" spans="1:29" s="1778" customFormat="1" ht="11.25" customHeight="1">
      <c r="A26" s="1779"/>
      <c r="B26" s="1884">
        <v>46132</v>
      </c>
      <c r="C26" s="1105" t="s">
        <v>1679</v>
      </c>
      <c r="D26" s="1885"/>
      <c r="E26" s="1886">
        <v>4</v>
      </c>
      <c r="F26" s="1887" t="s">
        <v>15</v>
      </c>
      <c r="G26" s="1888" t="s">
        <v>1055</v>
      </c>
      <c r="H26" s="1889"/>
      <c r="I26" s="1902"/>
      <c r="J26" s="1889"/>
      <c r="K26" s="1982">
        <v>20000</v>
      </c>
      <c r="L26" s="1986">
        <f>'통장내역(환율표)'!$D$68</f>
        <v>6.8738999324298709</v>
      </c>
      <c r="M26" s="1981">
        <f t="shared" si="8"/>
        <v>2909.5564667218182</v>
      </c>
      <c r="N26" s="1892">
        <f t="shared" si="6"/>
        <v>434769.50000000134</v>
      </c>
      <c r="O26" s="1892">
        <f t="shared" si="7"/>
        <v>63793.137423587403</v>
      </c>
      <c r="P26" s="1896"/>
      <c r="Q26" s="1896"/>
      <c r="R26" s="1896"/>
      <c r="S26" s="1871">
        <f t="shared" ref="S26:S28" si="9">S25-M26</f>
        <v>8739.4196208689573</v>
      </c>
      <c r="T26" s="1777"/>
      <c r="U26" s="1777"/>
      <c r="V26" s="1777"/>
      <c r="W26" s="1777"/>
      <c r="X26" s="1777"/>
      <c r="Y26" s="1777"/>
      <c r="Z26" s="1777"/>
      <c r="AA26" s="1777"/>
      <c r="AB26" s="1777"/>
      <c r="AC26" s="1777"/>
    </row>
    <row r="27" spans="1:29" s="1778" customFormat="1" ht="11.25" customHeight="1">
      <c r="A27" s="1779"/>
      <c r="B27" s="1884">
        <v>46132</v>
      </c>
      <c r="C27" s="1105" t="s">
        <v>445</v>
      </c>
      <c r="D27" s="1885"/>
      <c r="E27" s="1886">
        <v>5</v>
      </c>
      <c r="F27" s="1887" t="s">
        <v>21</v>
      </c>
      <c r="G27" s="1888"/>
      <c r="H27" s="1889"/>
      <c r="I27" s="1902"/>
      <c r="J27" s="1889"/>
      <c r="K27" s="1982">
        <v>7.2</v>
      </c>
      <c r="L27" s="1986">
        <f>'통장내역(환율표)'!$D$68</f>
        <v>6.8738999324298709</v>
      </c>
      <c r="M27" s="1981">
        <f t="shared" si="8"/>
        <v>1.0474403280198545</v>
      </c>
      <c r="N27" s="1892">
        <f t="shared" si="6"/>
        <v>434762.30000000133</v>
      </c>
      <c r="O27" s="1892">
        <f t="shared" si="7"/>
        <v>63792.089983259386</v>
      </c>
      <c r="P27" s="1896"/>
      <c r="Q27" s="1896"/>
      <c r="R27" s="1896"/>
      <c r="S27" s="1871">
        <f t="shared" si="9"/>
        <v>8738.3721805409368</v>
      </c>
      <c r="T27" s="1777"/>
      <c r="U27" s="1777"/>
      <c r="V27" s="1777"/>
      <c r="W27" s="1777"/>
      <c r="X27" s="1777"/>
      <c r="Y27" s="1777"/>
      <c r="Z27" s="1777"/>
      <c r="AA27" s="1777"/>
      <c r="AB27" s="1777"/>
      <c r="AC27" s="1777"/>
    </row>
    <row r="28" spans="1:29" s="1778" customFormat="1" ht="11.25" customHeight="1">
      <c r="A28" s="1779"/>
      <c r="B28" s="1884">
        <v>46135</v>
      </c>
      <c r="C28" s="669" t="s">
        <v>1618</v>
      </c>
      <c r="D28" s="1885"/>
      <c r="E28" s="1886">
        <v>6</v>
      </c>
      <c r="F28" s="1887" t="s">
        <v>21</v>
      </c>
      <c r="G28" s="1888"/>
      <c r="H28" s="1889"/>
      <c r="I28" s="1902"/>
      <c r="J28" s="1889"/>
      <c r="K28" s="1982">
        <f>L28*M28</f>
        <v>60066.695941367412</v>
      </c>
      <c r="L28" s="1986">
        <f>'통장내역(환율표)'!$D$68</f>
        <v>6.8738999324298709</v>
      </c>
      <c r="M28" s="1981">
        <v>8738.3721805409368</v>
      </c>
      <c r="N28" s="1892">
        <f t="shared" si="6"/>
        <v>374695.60405863391</v>
      </c>
      <c r="O28" s="1892">
        <f t="shared" si="7"/>
        <v>55053.717802718449</v>
      </c>
      <c r="P28" s="1896"/>
      <c r="Q28" s="1896"/>
      <c r="R28" s="1896"/>
      <c r="S28" s="1871">
        <f t="shared" si="9"/>
        <v>0</v>
      </c>
      <c r="T28" s="1777"/>
      <c r="U28" s="1777"/>
      <c r="V28" s="1777"/>
      <c r="W28" s="1777"/>
      <c r="X28" s="1777"/>
      <c r="Y28" s="1777"/>
      <c r="Z28" s="1777"/>
      <c r="AA28" s="1777"/>
      <c r="AB28" s="1777"/>
      <c r="AC28" s="1777"/>
    </row>
    <row r="29" spans="1:29" s="1778" customFormat="1" ht="11.25" customHeight="1">
      <c r="A29" s="1779"/>
      <c r="B29" s="1884">
        <v>46135</v>
      </c>
      <c r="C29" s="669" t="s">
        <v>1618</v>
      </c>
      <c r="D29" s="1885"/>
      <c r="E29" s="1886">
        <v>6</v>
      </c>
      <c r="F29" s="1887" t="s">
        <v>21</v>
      </c>
      <c r="G29" s="1888"/>
      <c r="H29" s="1889"/>
      <c r="I29" s="1902"/>
      <c r="J29" s="1889"/>
      <c r="K29" s="1984">
        <f>315197.55-K28</f>
        <v>255130.85405863257</v>
      </c>
      <c r="L29" s="1985">
        <f>'통장내역(환율표)'!$D$75</f>
        <v>6.8060000305156487</v>
      </c>
      <c r="M29" s="1983">
        <f t="shared" si="8"/>
        <v>37486.167045947383</v>
      </c>
      <c r="N29" s="1892">
        <f t="shared" ref="N29:N92" si="10">N28+H29-K29</f>
        <v>119564.75000000134</v>
      </c>
      <c r="O29" s="1892">
        <f t="shared" ref="O29:O92" si="11">O28+J29-M29</f>
        <v>17567.550756771067</v>
      </c>
      <c r="P29" s="1896"/>
      <c r="Q29" s="1896"/>
      <c r="R29" s="1896"/>
      <c r="S29" s="1871">
        <f>55053.72-M29</f>
        <v>17567.552954052619</v>
      </c>
      <c r="T29" s="1777"/>
      <c r="U29" s="1777"/>
      <c r="V29" s="1777"/>
      <c r="W29" s="1777"/>
      <c r="X29" s="1777"/>
      <c r="Y29" s="1777"/>
      <c r="Z29" s="1777"/>
      <c r="AA29" s="1777"/>
      <c r="AB29" s="1777"/>
      <c r="AC29" s="1777"/>
    </row>
    <row r="30" spans="1:29" s="1778" customFormat="1" ht="11.25" customHeight="1">
      <c r="A30" s="1779"/>
      <c r="B30" s="1884">
        <v>46135</v>
      </c>
      <c r="C30" s="669" t="s">
        <v>445</v>
      </c>
      <c r="D30" s="1885"/>
      <c r="E30" s="1886">
        <v>7</v>
      </c>
      <c r="F30" s="1887" t="s">
        <v>21</v>
      </c>
      <c r="G30" s="1888"/>
      <c r="H30" s="1889"/>
      <c r="I30" s="1902"/>
      <c r="J30" s="1889"/>
      <c r="K30" s="1984">
        <v>12</v>
      </c>
      <c r="L30" s="1985">
        <f>'통장내역(환율표)'!$D$75</f>
        <v>6.8060000305156487</v>
      </c>
      <c r="M30" s="1983">
        <f t="shared" si="8"/>
        <v>1.7631501537167689</v>
      </c>
      <c r="N30" s="1892">
        <f t="shared" si="10"/>
        <v>119552.75000000134</v>
      </c>
      <c r="O30" s="1892">
        <f t="shared" si="11"/>
        <v>17565.787606617349</v>
      </c>
      <c r="P30" s="1896"/>
      <c r="Q30" s="1896"/>
      <c r="R30" s="1896"/>
      <c r="S30" s="1871">
        <f>S29-M30</f>
        <v>17565.789803898901</v>
      </c>
      <c r="T30" s="1777"/>
      <c r="U30" s="1777"/>
      <c r="V30" s="1777"/>
      <c r="W30" s="1777"/>
      <c r="X30" s="1777"/>
      <c r="Y30" s="1777"/>
      <c r="Z30" s="1777"/>
      <c r="AA30" s="1777"/>
      <c r="AB30" s="1777"/>
      <c r="AC30" s="1777"/>
    </row>
    <row r="31" spans="1:29" s="1778" customFormat="1" ht="11.25" customHeight="1">
      <c r="A31" s="1779"/>
      <c r="B31" s="1884">
        <v>46135</v>
      </c>
      <c r="C31" s="669" t="s">
        <v>1680</v>
      </c>
      <c r="D31" s="1885"/>
      <c r="E31" s="1886">
        <v>8</v>
      </c>
      <c r="F31" s="1887" t="s">
        <v>21</v>
      </c>
      <c r="G31" s="1888"/>
      <c r="H31" s="1889"/>
      <c r="I31" s="1902"/>
      <c r="J31" s="1889"/>
      <c r="K31" s="1984">
        <v>1010</v>
      </c>
      <c r="L31" s="1985">
        <f>'통장내역(환율표)'!$D$75</f>
        <v>6.8060000305156487</v>
      </c>
      <c r="M31" s="1983">
        <f t="shared" si="8"/>
        <v>148.39847127116138</v>
      </c>
      <c r="N31" s="1892">
        <f t="shared" si="10"/>
        <v>118542.75000000134</v>
      </c>
      <c r="O31" s="1892">
        <f t="shared" si="11"/>
        <v>17417.389135346188</v>
      </c>
      <c r="P31" s="1896"/>
      <c r="Q31" s="1896"/>
      <c r="R31" s="1896"/>
      <c r="S31" s="1871">
        <f t="shared" ref="S31:S94" si="12">S30-M31</f>
        <v>17417.39133262774</v>
      </c>
      <c r="T31" s="1777"/>
      <c r="U31" s="1777"/>
      <c r="V31" s="1777"/>
      <c r="W31" s="1777"/>
      <c r="X31" s="1777"/>
      <c r="Y31" s="1777"/>
      <c r="Z31" s="1777"/>
      <c r="AA31" s="1777"/>
      <c r="AB31" s="1777"/>
      <c r="AC31" s="1777"/>
    </row>
    <row r="32" spans="1:29" s="1778" customFormat="1" ht="11.25" customHeight="1">
      <c r="A32" s="1779"/>
      <c r="B32" s="1884">
        <v>46135</v>
      </c>
      <c r="C32" s="669" t="s">
        <v>1681</v>
      </c>
      <c r="D32" s="1885"/>
      <c r="E32" s="1886">
        <v>9</v>
      </c>
      <c r="F32" s="1887" t="s">
        <v>21</v>
      </c>
      <c r="G32" s="1888"/>
      <c r="H32" s="1889"/>
      <c r="I32" s="1902"/>
      <c r="J32" s="1889"/>
      <c r="K32" s="1984">
        <v>1010</v>
      </c>
      <c r="L32" s="1985">
        <f>'통장내역(환율표)'!$D$75</f>
        <v>6.8060000305156487</v>
      </c>
      <c r="M32" s="1983">
        <f t="shared" si="8"/>
        <v>148.39847127116138</v>
      </c>
      <c r="N32" s="1892">
        <f t="shared" si="10"/>
        <v>117532.75000000134</v>
      </c>
      <c r="O32" s="1892">
        <f t="shared" si="11"/>
        <v>17268.990664075027</v>
      </c>
      <c r="P32" s="1896"/>
      <c r="Q32" s="1896"/>
      <c r="R32" s="1896"/>
      <c r="S32" s="1871">
        <f t="shared" si="12"/>
        <v>17268.992861356579</v>
      </c>
      <c r="T32" s="1777"/>
      <c r="U32" s="1777"/>
      <c r="V32" s="1777"/>
      <c r="W32" s="1777"/>
      <c r="X32" s="1777"/>
      <c r="Y32" s="1777"/>
      <c r="Z32" s="1777"/>
      <c r="AA32" s="1777"/>
      <c r="AB32" s="1777"/>
      <c r="AC32" s="1777"/>
    </row>
    <row r="33" spans="1:29" s="1778" customFormat="1" ht="11.25" customHeight="1">
      <c r="A33" s="1779"/>
      <c r="B33" s="1884">
        <v>46135</v>
      </c>
      <c r="C33" s="669" t="s">
        <v>445</v>
      </c>
      <c r="D33" s="1885"/>
      <c r="E33" s="1886">
        <v>10</v>
      </c>
      <c r="F33" s="1887" t="s">
        <v>21</v>
      </c>
      <c r="G33" s="1888"/>
      <c r="H33" s="1889"/>
      <c r="I33" s="1902"/>
      <c r="J33" s="1889"/>
      <c r="K33" s="1984">
        <v>3.6</v>
      </c>
      <c r="L33" s="1985">
        <f>'통장내역(환율표)'!$D$75</f>
        <v>6.8060000305156487</v>
      </c>
      <c r="M33" s="1983">
        <f t="shared" si="8"/>
        <v>0.52894504611503068</v>
      </c>
      <c r="N33" s="1892">
        <f t="shared" si="10"/>
        <v>117529.15000000133</v>
      </c>
      <c r="O33" s="1892">
        <f t="shared" si="11"/>
        <v>17268.461719028914</v>
      </c>
      <c r="P33" s="1896"/>
      <c r="Q33" s="1896"/>
      <c r="R33" s="1896"/>
      <c r="S33" s="1871">
        <f t="shared" si="12"/>
        <v>17268.463916310466</v>
      </c>
      <c r="T33" s="1777"/>
      <c r="U33" s="1777"/>
      <c r="V33" s="1777"/>
      <c r="W33" s="1777"/>
      <c r="X33" s="1777"/>
      <c r="Y33" s="1777"/>
      <c r="Z33" s="1777"/>
      <c r="AA33" s="1777"/>
      <c r="AB33" s="1777"/>
      <c r="AC33" s="1777"/>
    </row>
    <row r="34" spans="1:29" s="1778" customFormat="1" ht="11.25" customHeight="1">
      <c r="A34" s="1779"/>
      <c r="B34" s="1884">
        <v>46136</v>
      </c>
      <c r="C34" s="669" t="s">
        <v>1682</v>
      </c>
      <c r="D34" s="1885"/>
      <c r="E34" s="1886">
        <v>11</v>
      </c>
      <c r="F34" s="1887" t="s">
        <v>1683</v>
      </c>
      <c r="G34" s="1888" t="s">
        <v>1684</v>
      </c>
      <c r="H34" s="1889"/>
      <c r="I34" s="1902"/>
      <c r="J34" s="1889"/>
      <c r="K34" s="1984">
        <v>8181.08</v>
      </c>
      <c r="L34" s="1985">
        <f>'통장내역(환율표)'!$D$75</f>
        <v>6.8060000305156487</v>
      </c>
      <c r="M34" s="1983">
        <f t="shared" si="8"/>
        <v>1202.0393716307653</v>
      </c>
      <c r="N34" s="1892">
        <f t="shared" si="10"/>
        <v>109348.07000000133</v>
      </c>
      <c r="O34" s="1892">
        <f t="shared" si="11"/>
        <v>16066.422347398147</v>
      </c>
      <c r="P34" s="1896"/>
      <c r="Q34" s="1896"/>
      <c r="R34" s="1896"/>
      <c r="S34" s="1871">
        <f t="shared" si="12"/>
        <v>16066.424544679699</v>
      </c>
      <c r="T34" s="1777"/>
      <c r="U34" s="1777"/>
      <c r="V34" s="1777"/>
      <c r="W34" s="1777"/>
      <c r="X34" s="1777"/>
      <c r="Y34" s="1777"/>
      <c r="Z34" s="1777"/>
      <c r="AA34" s="1777"/>
      <c r="AB34" s="1777"/>
      <c r="AC34" s="1777"/>
    </row>
    <row r="35" spans="1:29" s="1778" customFormat="1" ht="11.25" customHeight="1">
      <c r="A35" s="1779"/>
      <c r="B35" s="1884">
        <v>46136</v>
      </c>
      <c r="C35" s="669" t="s">
        <v>445</v>
      </c>
      <c r="D35" s="1885"/>
      <c r="E35" s="1886">
        <v>12</v>
      </c>
      <c r="F35" s="1887" t="s">
        <v>21</v>
      </c>
      <c r="G35" s="1888"/>
      <c r="H35" s="1889"/>
      <c r="I35" s="1902"/>
      <c r="J35" s="1889"/>
      <c r="K35" s="1984">
        <v>3.6</v>
      </c>
      <c r="L35" s="1985">
        <f>'통장내역(환율표)'!$D$75</f>
        <v>6.8060000305156487</v>
      </c>
      <c r="M35" s="1983">
        <f t="shared" si="8"/>
        <v>0.52894504611503068</v>
      </c>
      <c r="N35" s="1892">
        <f t="shared" si="10"/>
        <v>109344.47000000133</v>
      </c>
      <c r="O35" s="1892">
        <f t="shared" si="11"/>
        <v>16065.893402352032</v>
      </c>
      <c r="P35" s="1896"/>
      <c r="Q35" s="1896"/>
      <c r="R35" s="1896"/>
      <c r="S35" s="1871">
        <f t="shared" si="12"/>
        <v>16065.895599633584</v>
      </c>
      <c r="T35" s="1777"/>
      <c r="U35" s="1777"/>
      <c r="V35" s="1777"/>
      <c r="W35" s="1777"/>
      <c r="X35" s="1777"/>
      <c r="Y35" s="1777"/>
      <c r="Z35" s="1777"/>
      <c r="AA35" s="1777"/>
      <c r="AB35" s="1777"/>
      <c r="AC35" s="1777"/>
    </row>
    <row r="36" spans="1:29" s="1778" customFormat="1" ht="11.25" customHeight="1">
      <c r="A36" s="1779"/>
      <c r="B36" s="1884">
        <v>46136</v>
      </c>
      <c r="C36" s="669" t="s">
        <v>1682</v>
      </c>
      <c r="D36" s="1885"/>
      <c r="E36" s="1886">
        <v>13</v>
      </c>
      <c r="F36" s="1887" t="s">
        <v>1683</v>
      </c>
      <c r="G36" s="1888" t="s">
        <v>1684</v>
      </c>
      <c r="H36" s="1889"/>
      <c r="I36" s="1902"/>
      <c r="J36" s="1889"/>
      <c r="K36" s="1984">
        <v>27521.96</v>
      </c>
      <c r="L36" s="1985">
        <f>'통장내역(환율표)'!$D$75</f>
        <v>6.8060000305156487</v>
      </c>
      <c r="M36" s="1983">
        <f t="shared" si="8"/>
        <v>4043.7790003822302</v>
      </c>
      <c r="N36" s="1892">
        <f t="shared" si="10"/>
        <v>81822.510000001319</v>
      </c>
      <c r="O36" s="1892">
        <f t="shared" si="11"/>
        <v>12022.114401969802</v>
      </c>
      <c r="P36" s="1896"/>
      <c r="Q36" s="1896"/>
      <c r="R36" s="1896"/>
      <c r="S36" s="1871">
        <f t="shared" si="12"/>
        <v>12022.116599251354</v>
      </c>
      <c r="T36" s="1777"/>
      <c r="U36" s="1777"/>
      <c r="V36" s="1777"/>
      <c r="W36" s="1777"/>
      <c r="X36" s="1777"/>
      <c r="Y36" s="1777"/>
      <c r="Z36" s="1777"/>
      <c r="AA36" s="1777"/>
      <c r="AB36" s="1777"/>
      <c r="AC36" s="1777"/>
    </row>
    <row r="37" spans="1:29" s="1778" customFormat="1" ht="11.25" customHeight="1">
      <c r="A37" s="1779"/>
      <c r="B37" s="1884">
        <v>46136</v>
      </c>
      <c r="C37" s="669" t="s">
        <v>445</v>
      </c>
      <c r="D37" s="1885"/>
      <c r="E37" s="1886">
        <v>14</v>
      </c>
      <c r="F37" s="1887" t="s">
        <v>21</v>
      </c>
      <c r="G37" s="1888"/>
      <c r="H37" s="1889"/>
      <c r="I37" s="1902"/>
      <c r="J37" s="1889"/>
      <c r="K37" s="1984">
        <v>7.2</v>
      </c>
      <c r="L37" s="1985">
        <f>'통장내역(환율표)'!$D$75</f>
        <v>6.8060000305156487</v>
      </c>
      <c r="M37" s="1983">
        <f t="shared" si="8"/>
        <v>1.0578900922300614</v>
      </c>
      <c r="N37" s="1892">
        <f t="shared" si="10"/>
        <v>81815.310000001322</v>
      </c>
      <c r="O37" s="1892">
        <f t="shared" si="11"/>
        <v>12021.056511877572</v>
      </c>
      <c r="P37" s="1894"/>
      <c r="Q37" s="1894"/>
      <c r="R37" s="1894"/>
      <c r="S37" s="1871">
        <f t="shared" si="12"/>
        <v>12021.058709159124</v>
      </c>
      <c r="T37" s="1777"/>
      <c r="U37" s="1777"/>
      <c r="V37" s="1777"/>
      <c r="W37" s="1777"/>
      <c r="X37" s="1777"/>
      <c r="Y37" s="1777"/>
      <c r="Z37" s="1777"/>
      <c r="AA37" s="1777"/>
      <c r="AB37" s="1777"/>
      <c r="AC37" s="1777"/>
    </row>
    <row r="38" spans="1:29" s="1778" customFormat="1" ht="11.25" customHeight="1">
      <c r="A38" s="1779"/>
      <c r="B38" s="1884">
        <v>46137</v>
      </c>
      <c r="C38" s="669" t="s">
        <v>305</v>
      </c>
      <c r="D38" s="1885"/>
      <c r="E38" s="1886">
        <v>15</v>
      </c>
      <c r="F38" s="1887" t="s">
        <v>15</v>
      </c>
      <c r="G38" s="1888" t="s">
        <v>226</v>
      </c>
      <c r="H38" s="1889"/>
      <c r="I38" s="1902"/>
      <c r="J38" s="1889"/>
      <c r="K38" s="1984">
        <v>7000</v>
      </c>
      <c r="L38" s="1985">
        <f>'통장내역(환율표)'!$D$75</f>
        <v>6.8060000305156487</v>
      </c>
      <c r="M38" s="1983">
        <f t="shared" si="8"/>
        <v>1028.5042563347818</v>
      </c>
      <c r="N38" s="1892">
        <f t="shared" si="10"/>
        <v>74815.310000001322</v>
      </c>
      <c r="O38" s="1892">
        <f t="shared" si="11"/>
        <v>10992.552255542791</v>
      </c>
      <c r="P38" s="1894"/>
      <c r="Q38" s="1894"/>
      <c r="R38" s="1894"/>
      <c r="S38" s="1871">
        <f t="shared" si="12"/>
        <v>10992.554452824343</v>
      </c>
      <c r="T38" s="1777"/>
      <c r="U38" s="1777"/>
      <c r="V38" s="1777"/>
      <c r="W38" s="1777"/>
      <c r="X38" s="1777"/>
      <c r="Y38" s="1777"/>
      <c r="Z38" s="1777"/>
      <c r="AA38" s="1777"/>
      <c r="AB38" s="1777"/>
      <c r="AC38" s="1777"/>
    </row>
    <row r="39" spans="1:29" s="1778" customFormat="1" ht="11.25" customHeight="1">
      <c r="A39" s="1779"/>
      <c r="B39" s="1884">
        <v>46137</v>
      </c>
      <c r="C39" s="1105" t="s">
        <v>1107</v>
      </c>
      <c r="D39" s="1885"/>
      <c r="E39" s="1886">
        <v>15</v>
      </c>
      <c r="F39" s="1887" t="s">
        <v>21</v>
      </c>
      <c r="G39" s="1888"/>
      <c r="H39" s="1889"/>
      <c r="I39" s="1902"/>
      <c r="J39" s="1889"/>
      <c r="K39" s="1984">
        <v>6000</v>
      </c>
      <c r="L39" s="1985">
        <f>'통장내역(환율표)'!$D$75</f>
        <v>6.8060000305156487</v>
      </c>
      <c r="M39" s="1983">
        <f t="shared" si="8"/>
        <v>881.57507685838448</v>
      </c>
      <c r="N39" s="1892">
        <f t="shared" si="10"/>
        <v>68815.310000001322</v>
      </c>
      <c r="O39" s="1892">
        <f t="shared" si="11"/>
        <v>10110.977178684407</v>
      </c>
      <c r="P39" s="1894"/>
      <c r="Q39" s="1894"/>
      <c r="R39" s="1894"/>
      <c r="S39" s="1871">
        <f t="shared" si="12"/>
        <v>10110.979375965959</v>
      </c>
      <c r="T39" s="1777"/>
      <c r="U39" s="1777"/>
      <c r="V39" s="1777"/>
      <c r="W39" s="1777"/>
      <c r="X39" s="1777"/>
      <c r="Y39" s="1777"/>
      <c r="Z39" s="1777"/>
      <c r="AA39" s="1777"/>
      <c r="AB39" s="1777"/>
      <c r="AC39" s="1777"/>
    </row>
    <row r="40" spans="1:29" s="1778" customFormat="1" ht="11.25" customHeight="1">
      <c r="A40" s="1779"/>
      <c r="B40" s="1884">
        <v>46137</v>
      </c>
      <c r="C40" s="1105" t="s">
        <v>1108</v>
      </c>
      <c r="D40" s="1885"/>
      <c r="E40" s="1886">
        <v>15</v>
      </c>
      <c r="F40" s="1887" t="s">
        <v>21</v>
      </c>
      <c r="G40" s="1888"/>
      <c r="H40" s="1889"/>
      <c r="I40" s="1902"/>
      <c r="J40" s="1889"/>
      <c r="K40" s="1984">
        <v>260</v>
      </c>
      <c r="L40" s="1985">
        <f>'통장내역(환율표)'!$D$75</f>
        <v>6.8060000305156487</v>
      </c>
      <c r="M40" s="1983">
        <f t="shared" si="8"/>
        <v>38.201586663863324</v>
      </c>
      <c r="N40" s="1892">
        <f t="shared" si="10"/>
        <v>68555.310000001322</v>
      </c>
      <c r="O40" s="1892">
        <f t="shared" si="11"/>
        <v>10072.775592020544</v>
      </c>
      <c r="P40" s="1903"/>
      <c r="Q40" s="1894"/>
      <c r="R40" s="1894"/>
      <c r="S40" s="1871">
        <f t="shared" si="12"/>
        <v>10072.777789302096</v>
      </c>
      <c r="T40" s="1777"/>
      <c r="U40" s="1777"/>
      <c r="V40" s="1777"/>
      <c r="W40" s="1777"/>
      <c r="X40" s="1777"/>
      <c r="Y40" s="1777"/>
      <c r="Z40" s="1777"/>
      <c r="AA40" s="1777"/>
      <c r="AB40" s="1777"/>
      <c r="AC40" s="1777"/>
    </row>
    <row r="41" spans="1:29" s="1778" customFormat="1" ht="11.25" customHeight="1">
      <c r="A41" s="1779"/>
      <c r="B41" s="1884">
        <v>46137</v>
      </c>
      <c r="C41" s="1105" t="s">
        <v>305</v>
      </c>
      <c r="D41" s="1885"/>
      <c r="E41" s="1886">
        <v>15</v>
      </c>
      <c r="F41" s="1887" t="s">
        <v>15</v>
      </c>
      <c r="G41" s="1888" t="s">
        <v>226</v>
      </c>
      <c r="H41" s="1889"/>
      <c r="I41" s="1902"/>
      <c r="J41" s="1889"/>
      <c r="K41" s="1984">
        <v>7000</v>
      </c>
      <c r="L41" s="1985">
        <f>'통장내역(환율표)'!$D$75</f>
        <v>6.8060000305156487</v>
      </c>
      <c r="M41" s="1983">
        <f t="shared" si="8"/>
        <v>1028.5042563347818</v>
      </c>
      <c r="N41" s="1892">
        <f t="shared" si="10"/>
        <v>61555.310000001322</v>
      </c>
      <c r="O41" s="1892">
        <f t="shared" si="11"/>
        <v>9044.2713356857621</v>
      </c>
      <c r="P41" s="1903"/>
      <c r="Q41" s="1894"/>
      <c r="R41" s="1894"/>
      <c r="S41" s="1871">
        <f t="shared" si="12"/>
        <v>9044.2735329673142</v>
      </c>
      <c r="T41" s="1777"/>
      <c r="U41" s="1777"/>
      <c r="V41" s="1777"/>
      <c r="W41" s="1777"/>
      <c r="X41" s="1777"/>
      <c r="Y41" s="1777"/>
      <c r="Z41" s="1777"/>
      <c r="AA41" s="1777"/>
      <c r="AB41" s="1777"/>
      <c r="AC41" s="1777"/>
    </row>
    <row r="42" spans="1:29" s="1778" customFormat="1" ht="12" customHeight="1">
      <c r="A42" s="1779"/>
      <c r="B42" s="1884">
        <v>46137</v>
      </c>
      <c r="C42" s="1105" t="s">
        <v>1107</v>
      </c>
      <c r="D42" s="1885"/>
      <c r="E42" s="1886">
        <v>15</v>
      </c>
      <c r="F42" s="1887" t="s">
        <v>21</v>
      </c>
      <c r="G42" s="1888"/>
      <c r="H42" s="1889"/>
      <c r="I42" s="1902"/>
      <c r="J42" s="1889"/>
      <c r="K42" s="1984">
        <v>6000</v>
      </c>
      <c r="L42" s="1985">
        <f>'통장내역(환율표)'!$D$75</f>
        <v>6.8060000305156487</v>
      </c>
      <c r="M42" s="1983">
        <f t="shared" si="8"/>
        <v>881.57507685838448</v>
      </c>
      <c r="N42" s="1892">
        <f t="shared" si="10"/>
        <v>55555.310000001322</v>
      </c>
      <c r="O42" s="1892">
        <f t="shared" si="11"/>
        <v>8162.6962588273773</v>
      </c>
      <c r="P42" s="1903"/>
      <c r="Q42" s="1894"/>
      <c r="R42" s="1894"/>
      <c r="S42" s="1871">
        <f t="shared" si="12"/>
        <v>8162.6984561089293</v>
      </c>
      <c r="T42" s="1777"/>
      <c r="U42" s="1777"/>
      <c r="V42" s="1777"/>
      <c r="W42" s="1777"/>
      <c r="X42" s="1777"/>
      <c r="Y42" s="1777"/>
      <c r="Z42" s="1777"/>
      <c r="AA42" s="1777"/>
      <c r="AB42" s="1777"/>
      <c r="AC42" s="1777"/>
    </row>
    <row r="43" spans="1:29" s="1778" customFormat="1" ht="12" customHeight="1">
      <c r="A43" s="1779"/>
      <c r="B43" s="1884">
        <v>46137</v>
      </c>
      <c r="C43" s="1105" t="s">
        <v>1108</v>
      </c>
      <c r="D43" s="1885"/>
      <c r="E43" s="1886">
        <v>15</v>
      </c>
      <c r="F43" s="1887" t="s">
        <v>21</v>
      </c>
      <c r="G43" s="1888"/>
      <c r="H43" s="1889"/>
      <c r="I43" s="1902"/>
      <c r="J43" s="1889"/>
      <c r="K43" s="1984">
        <v>540</v>
      </c>
      <c r="L43" s="1985">
        <f>'통장내역(환율표)'!$D$75</f>
        <v>6.8060000305156487</v>
      </c>
      <c r="M43" s="1983">
        <f t="shared" si="8"/>
        <v>79.3417569172546</v>
      </c>
      <c r="N43" s="1892">
        <f t="shared" si="10"/>
        <v>55015.310000001322</v>
      </c>
      <c r="O43" s="1892">
        <f t="shared" si="11"/>
        <v>8083.354501910123</v>
      </c>
      <c r="P43" s="1903"/>
      <c r="Q43" s="1894"/>
      <c r="R43" s="1894"/>
      <c r="S43" s="1871">
        <f t="shared" si="12"/>
        <v>8083.356699191675</v>
      </c>
      <c r="T43" s="1777"/>
      <c r="U43" s="1777"/>
      <c r="V43" s="1777"/>
      <c r="W43" s="1777"/>
      <c r="X43" s="1777"/>
      <c r="Y43" s="1777"/>
      <c r="Z43" s="1777"/>
      <c r="AA43" s="1777"/>
      <c r="AB43" s="1777"/>
      <c r="AC43" s="1777"/>
    </row>
    <row r="44" spans="1:29" s="1778" customFormat="1" ht="12" customHeight="1">
      <c r="A44" s="1779"/>
      <c r="B44" s="1884">
        <v>46137</v>
      </c>
      <c r="C44" s="1105" t="s">
        <v>305</v>
      </c>
      <c r="D44" s="1885"/>
      <c r="E44" s="1886">
        <v>15</v>
      </c>
      <c r="F44" s="1887" t="s">
        <v>15</v>
      </c>
      <c r="G44" s="1888" t="s">
        <v>226</v>
      </c>
      <c r="H44" s="1889"/>
      <c r="I44" s="1902"/>
      <c r="J44" s="1889"/>
      <c r="K44" s="1984">
        <v>6000</v>
      </c>
      <c r="L44" s="1985">
        <f>'통장내역(환율표)'!$D$75</f>
        <v>6.8060000305156487</v>
      </c>
      <c r="M44" s="1983">
        <f t="shared" si="8"/>
        <v>881.57507685838448</v>
      </c>
      <c r="N44" s="1892">
        <f t="shared" si="10"/>
        <v>49015.310000001322</v>
      </c>
      <c r="O44" s="1892">
        <f t="shared" si="11"/>
        <v>7201.7794250517381</v>
      </c>
      <c r="P44" s="1903"/>
      <c r="Q44" s="1894"/>
      <c r="R44" s="1894"/>
      <c r="S44" s="1871">
        <f t="shared" si="12"/>
        <v>7201.7816223332902</v>
      </c>
      <c r="T44" s="1777"/>
      <c r="U44" s="1777"/>
      <c r="V44" s="1777"/>
      <c r="W44" s="1777"/>
      <c r="X44" s="1777"/>
      <c r="Y44" s="1777"/>
      <c r="Z44" s="1777"/>
      <c r="AA44" s="1777"/>
      <c r="AB44" s="1777"/>
      <c r="AC44" s="1777"/>
    </row>
    <row r="45" spans="1:29" s="1778" customFormat="1" ht="12" customHeight="1">
      <c r="A45" s="1779"/>
      <c r="B45" s="1884">
        <v>46137</v>
      </c>
      <c r="C45" s="1105" t="s">
        <v>1107</v>
      </c>
      <c r="D45" s="1885"/>
      <c r="E45" s="1886">
        <v>15</v>
      </c>
      <c r="F45" s="1887" t="s">
        <v>21</v>
      </c>
      <c r="G45" s="1888"/>
      <c r="H45" s="1889"/>
      <c r="I45" s="1902"/>
      <c r="J45" s="1889"/>
      <c r="K45" s="1984">
        <v>6000</v>
      </c>
      <c r="L45" s="1985">
        <f>'통장내역(환율표)'!$D$75</f>
        <v>6.8060000305156487</v>
      </c>
      <c r="M45" s="1983">
        <f t="shared" si="8"/>
        <v>881.57507685838448</v>
      </c>
      <c r="N45" s="1892">
        <f t="shared" si="10"/>
        <v>43015.310000001322</v>
      </c>
      <c r="O45" s="1892">
        <f t="shared" si="11"/>
        <v>6320.2043481933533</v>
      </c>
      <c r="P45" s="1903"/>
      <c r="Q45" s="1894"/>
      <c r="R45" s="1894"/>
      <c r="S45" s="1871">
        <f t="shared" si="12"/>
        <v>6320.2065454749054</v>
      </c>
      <c r="T45" s="1777"/>
      <c r="U45" s="1777"/>
      <c r="V45" s="1777"/>
      <c r="W45" s="1777"/>
      <c r="X45" s="1777"/>
      <c r="Y45" s="1777"/>
      <c r="Z45" s="1777"/>
      <c r="AA45" s="1777"/>
      <c r="AB45" s="1777"/>
      <c r="AC45" s="1777"/>
    </row>
    <row r="46" spans="1:29" s="1778" customFormat="1" ht="12" customHeight="1">
      <c r="A46" s="1779"/>
      <c r="B46" s="1884">
        <v>46137</v>
      </c>
      <c r="C46" s="1105" t="s">
        <v>1108</v>
      </c>
      <c r="D46" s="1885"/>
      <c r="E46" s="1886">
        <v>15</v>
      </c>
      <c r="F46" s="1887" t="s">
        <v>21</v>
      </c>
      <c r="G46" s="1888"/>
      <c r="H46" s="1904"/>
      <c r="I46" s="1902"/>
      <c r="J46" s="1889"/>
      <c r="K46" s="1984">
        <v>60</v>
      </c>
      <c r="L46" s="1985">
        <f>'통장내역(환율표)'!$D$75</f>
        <v>6.8060000305156487</v>
      </c>
      <c r="M46" s="1983">
        <f t="shared" si="8"/>
        <v>8.815750768583845</v>
      </c>
      <c r="N46" s="1892">
        <f t="shared" si="10"/>
        <v>42955.310000001322</v>
      </c>
      <c r="O46" s="1892">
        <f t="shared" si="11"/>
        <v>6311.3885974247696</v>
      </c>
      <c r="P46" s="1903"/>
      <c r="Q46" s="1894"/>
      <c r="R46" s="1903"/>
      <c r="S46" s="1871">
        <f t="shared" si="12"/>
        <v>6311.3907947063217</v>
      </c>
      <c r="T46" s="1777"/>
      <c r="U46" s="1777"/>
      <c r="V46" s="1777"/>
      <c r="W46" s="1777"/>
      <c r="X46" s="1777"/>
      <c r="Y46" s="1777"/>
      <c r="Z46" s="1777"/>
      <c r="AA46" s="1777"/>
      <c r="AB46" s="1777"/>
      <c r="AC46" s="1777"/>
    </row>
    <row r="47" spans="1:29" s="1778" customFormat="1" ht="12" customHeight="1">
      <c r="A47" s="1779"/>
      <c r="B47" s="1884">
        <v>46137</v>
      </c>
      <c r="C47" s="1105" t="s">
        <v>445</v>
      </c>
      <c r="D47" s="1885"/>
      <c r="E47" s="1886">
        <v>16</v>
      </c>
      <c r="F47" s="1887" t="s">
        <v>21</v>
      </c>
      <c r="G47" s="1888"/>
      <c r="H47" s="1904"/>
      <c r="I47" s="1902"/>
      <c r="J47" s="1889"/>
      <c r="K47" s="1984">
        <v>7.2</v>
      </c>
      <c r="L47" s="1985">
        <f>'통장내역(환율표)'!$D$75</f>
        <v>6.8060000305156487</v>
      </c>
      <c r="M47" s="1983">
        <f t="shared" si="8"/>
        <v>1.0578900922300614</v>
      </c>
      <c r="N47" s="1892">
        <f t="shared" si="10"/>
        <v>42948.110000001325</v>
      </c>
      <c r="O47" s="1892">
        <f t="shared" si="11"/>
        <v>6310.3307073325395</v>
      </c>
      <c r="P47" s="1903"/>
      <c r="Q47" s="1894"/>
      <c r="R47" s="1894"/>
      <c r="S47" s="1871">
        <f t="shared" si="12"/>
        <v>6310.3329046140916</v>
      </c>
      <c r="T47" s="1777"/>
      <c r="U47" s="1777"/>
      <c r="V47" s="1777"/>
      <c r="W47" s="1777"/>
      <c r="X47" s="1777"/>
      <c r="Y47" s="1777"/>
      <c r="Z47" s="1777"/>
      <c r="AA47" s="1777"/>
      <c r="AB47" s="1777"/>
      <c r="AC47" s="1777"/>
    </row>
    <row r="48" spans="1:29" s="1778" customFormat="1" ht="12" customHeight="1">
      <c r="A48" s="1779"/>
      <c r="B48" s="1884">
        <v>46137</v>
      </c>
      <c r="C48" s="1105" t="s">
        <v>1461</v>
      </c>
      <c r="D48" s="1885" t="s">
        <v>1426</v>
      </c>
      <c r="E48" s="1886">
        <v>17</v>
      </c>
      <c r="F48" s="1887" t="s">
        <v>19</v>
      </c>
      <c r="G48" s="1888" t="s">
        <v>1609</v>
      </c>
      <c r="H48" s="1904"/>
      <c r="I48" s="1889"/>
      <c r="J48" s="1889"/>
      <c r="K48" s="1984">
        <v>418.2</v>
      </c>
      <c r="L48" s="1985">
        <f>'통장내역(환율표)'!$D$75</f>
        <v>6.8060000305156487</v>
      </c>
      <c r="M48" s="1983">
        <f t="shared" si="8"/>
        <v>61.445782857029393</v>
      </c>
      <c r="N48" s="1892">
        <f t="shared" si="10"/>
        <v>42529.910000001328</v>
      </c>
      <c r="O48" s="1892">
        <f t="shared" si="11"/>
        <v>6248.8849244755102</v>
      </c>
      <c r="P48" s="1903"/>
      <c r="Q48" s="1894"/>
      <c r="R48" s="1894"/>
      <c r="S48" s="1871">
        <f t="shared" si="12"/>
        <v>6248.8871217570622</v>
      </c>
      <c r="T48" s="1777"/>
      <c r="U48" s="1777"/>
      <c r="V48" s="1777"/>
      <c r="W48" s="1777"/>
      <c r="X48" s="1777"/>
      <c r="Y48" s="1777"/>
      <c r="Z48" s="1777"/>
      <c r="AA48" s="1777"/>
      <c r="AB48" s="1777"/>
      <c r="AC48" s="1777"/>
    </row>
    <row r="49" spans="1:29" s="1778" customFormat="1" ht="12" customHeight="1">
      <c r="A49" s="1779"/>
      <c r="B49" s="1884">
        <v>46137</v>
      </c>
      <c r="C49" s="1105" t="s">
        <v>11</v>
      </c>
      <c r="D49" s="1885" t="s">
        <v>1426</v>
      </c>
      <c r="E49" s="1886">
        <v>18</v>
      </c>
      <c r="F49" s="1887" t="s">
        <v>11</v>
      </c>
      <c r="G49" s="1888" t="s">
        <v>12</v>
      </c>
      <c r="H49" s="1904"/>
      <c r="I49" s="1889"/>
      <c r="J49" s="1889"/>
      <c r="K49" s="1984">
        <v>3741.39</v>
      </c>
      <c r="L49" s="1985">
        <f>'통장내역(환율표)'!$D$75</f>
        <v>6.8060000305156487</v>
      </c>
      <c r="M49" s="1983">
        <f t="shared" si="8"/>
        <v>549.71936280119849</v>
      </c>
      <c r="N49" s="1892">
        <f t="shared" si="10"/>
        <v>38788.520000001328</v>
      </c>
      <c r="O49" s="1892">
        <f t="shared" si="11"/>
        <v>5699.1655616743119</v>
      </c>
      <c r="P49" s="1903"/>
      <c r="Q49" s="1894"/>
      <c r="R49" s="1894"/>
      <c r="S49" s="1871">
        <f t="shared" si="12"/>
        <v>5699.167758955864</v>
      </c>
      <c r="T49" s="1777"/>
      <c r="U49" s="1777"/>
      <c r="V49" s="1777"/>
      <c r="W49" s="1777"/>
      <c r="X49" s="1777"/>
      <c r="Y49" s="1777"/>
      <c r="Z49" s="1777"/>
      <c r="AA49" s="1777"/>
      <c r="AB49" s="1777"/>
      <c r="AC49" s="1777"/>
    </row>
    <row r="50" spans="1:29" s="1778" customFormat="1" ht="12" customHeight="1">
      <c r="A50" s="1779"/>
      <c r="B50" s="1884">
        <v>46137</v>
      </c>
      <c r="C50" s="1105" t="s">
        <v>1611</v>
      </c>
      <c r="D50" s="1885" t="s">
        <v>1426</v>
      </c>
      <c r="E50" s="1886">
        <v>19</v>
      </c>
      <c r="F50" s="1887" t="s">
        <v>13</v>
      </c>
      <c r="G50" s="1888" t="s">
        <v>14</v>
      </c>
      <c r="H50" s="1904"/>
      <c r="I50" s="1889"/>
      <c r="J50" s="1889"/>
      <c r="K50" s="1984">
        <v>256.5</v>
      </c>
      <c r="L50" s="1985">
        <f>'통장내역(환율표)'!$D$75</f>
        <v>6.8060000305156487</v>
      </c>
      <c r="M50" s="1983">
        <f t="shared" si="8"/>
        <v>37.687334535695939</v>
      </c>
      <c r="N50" s="1892">
        <f t="shared" si="10"/>
        <v>38532.020000001328</v>
      </c>
      <c r="O50" s="1892">
        <f t="shared" si="11"/>
        <v>5661.4782271386157</v>
      </c>
      <c r="P50" s="1903"/>
      <c r="Q50" s="1894"/>
      <c r="R50" s="1894"/>
      <c r="S50" s="1871">
        <f t="shared" si="12"/>
        <v>5661.4804244201678</v>
      </c>
      <c r="T50" s="1777"/>
      <c r="U50" s="1777"/>
      <c r="V50" s="1777"/>
      <c r="W50" s="1777"/>
      <c r="X50" s="1777"/>
      <c r="Y50" s="1777"/>
      <c r="Z50" s="1777"/>
      <c r="AA50" s="1777"/>
      <c r="AB50" s="1777"/>
      <c r="AC50" s="1777"/>
    </row>
    <row r="51" spans="1:29" s="1778" customFormat="1" ht="12" customHeight="1">
      <c r="A51" s="1779"/>
      <c r="B51" s="1884">
        <v>46137</v>
      </c>
      <c r="C51" s="1105" t="s">
        <v>1403</v>
      </c>
      <c r="D51" s="1885" t="s">
        <v>1426</v>
      </c>
      <c r="E51" s="1886">
        <v>20</v>
      </c>
      <c r="F51" s="1887" t="s">
        <v>13</v>
      </c>
      <c r="G51" s="1888" t="s">
        <v>14</v>
      </c>
      <c r="H51" s="1904"/>
      <c r="I51" s="1889"/>
      <c r="J51" s="1889"/>
      <c r="K51" s="1984">
        <v>11609.11</v>
      </c>
      <c r="L51" s="1985">
        <f>'통장내역(환율표)'!$D$75</f>
        <v>6.8060000305156487</v>
      </c>
      <c r="M51" s="1983">
        <f t="shared" si="8"/>
        <v>1705.71700675124</v>
      </c>
      <c r="N51" s="1892">
        <f t="shared" si="10"/>
        <v>26922.910000001328</v>
      </c>
      <c r="O51" s="1892">
        <f t="shared" si="11"/>
        <v>3955.7612203873759</v>
      </c>
      <c r="Q51" s="1894"/>
      <c r="R51" s="1903"/>
      <c r="S51" s="1871">
        <f t="shared" si="12"/>
        <v>3955.763417668928</v>
      </c>
      <c r="T51" s="1777"/>
      <c r="U51" s="1777"/>
      <c r="V51" s="1777"/>
      <c r="W51" s="1777"/>
      <c r="X51" s="1777"/>
      <c r="Y51" s="1777"/>
      <c r="Z51" s="1777"/>
      <c r="AA51" s="1777"/>
      <c r="AB51" s="1777"/>
      <c r="AC51" s="1777"/>
    </row>
    <row r="52" spans="1:29" s="1778" customFormat="1" ht="12" customHeight="1">
      <c r="A52" s="1779"/>
      <c r="B52" s="1884">
        <v>46137</v>
      </c>
      <c r="C52" s="1105" t="s">
        <v>1409</v>
      </c>
      <c r="D52" s="1885" t="s">
        <v>1426</v>
      </c>
      <c r="E52" s="1886">
        <v>21</v>
      </c>
      <c r="F52" s="1887" t="s">
        <v>21</v>
      </c>
      <c r="G52" s="1888"/>
      <c r="H52" s="1889"/>
      <c r="I52" s="1889"/>
      <c r="J52" s="1889"/>
      <c r="K52" s="1984">
        <v>89.9</v>
      </c>
      <c r="L52" s="1985">
        <f>'통장내역(환율표)'!$D$75</f>
        <v>6.8060000305156487</v>
      </c>
      <c r="M52" s="1983">
        <f t="shared" si="8"/>
        <v>13.208933234928129</v>
      </c>
      <c r="N52" s="1892">
        <f t="shared" si="10"/>
        <v>26833.010000001326</v>
      </c>
      <c r="O52" s="1892">
        <f t="shared" si="11"/>
        <v>3942.5522871524477</v>
      </c>
      <c r="P52" s="1903"/>
      <c r="Q52" s="1894"/>
      <c r="R52" s="1903"/>
      <c r="S52" s="1871">
        <f t="shared" si="12"/>
        <v>3942.5544844339997</v>
      </c>
      <c r="T52" s="1777"/>
      <c r="U52" s="1777"/>
      <c r="V52" s="1777"/>
      <c r="W52" s="1777"/>
      <c r="X52" s="1777"/>
      <c r="Y52" s="1777"/>
      <c r="Z52" s="1777"/>
      <c r="AA52" s="1777"/>
      <c r="AB52" s="1777"/>
      <c r="AC52" s="1777"/>
    </row>
    <row r="53" spans="1:29" s="1778" customFormat="1" ht="12" customHeight="1">
      <c r="A53" s="1779"/>
      <c r="B53" s="1884">
        <v>46137</v>
      </c>
      <c r="C53" s="1897" t="s">
        <v>1405</v>
      </c>
      <c r="D53" s="1898" t="s">
        <v>1426</v>
      </c>
      <c r="E53" s="1886">
        <v>22</v>
      </c>
      <c r="F53" s="1899" t="s">
        <v>21</v>
      </c>
      <c r="G53" s="1900" t="s">
        <v>1609</v>
      </c>
      <c r="H53" s="1889"/>
      <c r="I53" s="1905"/>
      <c r="J53" s="1905"/>
      <c r="K53" s="1984">
        <v>35</v>
      </c>
      <c r="L53" s="1985">
        <f>'통장내역(환율표)'!$D$75</f>
        <v>6.8060000305156487</v>
      </c>
      <c r="M53" s="1983">
        <f t="shared" si="8"/>
        <v>5.1425212816739094</v>
      </c>
      <c r="N53" s="1892">
        <f t="shared" si="10"/>
        <v>26798.010000001326</v>
      </c>
      <c r="O53" s="1892">
        <f t="shared" si="11"/>
        <v>3937.4097658707738</v>
      </c>
      <c r="P53" s="1903"/>
      <c r="Q53" s="1894"/>
      <c r="R53" s="1894"/>
      <c r="S53" s="1871">
        <f t="shared" si="12"/>
        <v>3937.4119631523258</v>
      </c>
      <c r="T53" s="1777"/>
      <c r="U53" s="1777"/>
      <c r="V53" s="1777"/>
      <c r="W53" s="1777"/>
      <c r="X53" s="1777"/>
      <c r="Y53" s="1777"/>
      <c r="Z53" s="1777"/>
      <c r="AA53" s="1777"/>
      <c r="AB53" s="1777"/>
      <c r="AC53" s="1777"/>
    </row>
    <row r="54" spans="1:29" s="1778" customFormat="1" ht="12" customHeight="1">
      <c r="A54" s="1779"/>
      <c r="B54" s="1884">
        <v>46137</v>
      </c>
      <c r="C54" s="1897" t="s">
        <v>445</v>
      </c>
      <c r="D54" s="1898" t="s">
        <v>1426</v>
      </c>
      <c r="E54" s="1886">
        <v>23</v>
      </c>
      <c r="F54" s="1899" t="s">
        <v>21</v>
      </c>
      <c r="G54" s="1900"/>
      <c r="H54" s="1889"/>
      <c r="I54" s="1905"/>
      <c r="J54" s="1905"/>
      <c r="K54" s="1984">
        <v>7.2</v>
      </c>
      <c r="L54" s="1985">
        <f>'통장내역(환율표)'!$D$75</f>
        <v>6.8060000305156487</v>
      </c>
      <c r="M54" s="1983">
        <f t="shared" si="8"/>
        <v>1.0578900922300614</v>
      </c>
      <c r="N54" s="1892">
        <f t="shared" si="10"/>
        <v>26790.810000001326</v>
      </c>
      <c r="O54" s="1892">
        <f t="shared" si="11"/>
        <v>3936.3518757785437</v>
      </c>
      <c r="P54" s="1903"/>
      <c r="Q54" s="1894"/>
      <c r="R54" s="1894"/>
      <c r="S54" s="1871">
        <f t="shared" si="12"/>
        <v>3936.3540730600957</v>
      </c>
      <c r="T54" s="1777"/>
      <c r="U54" s="1777"/>
      <c r="V54" s="1777"/>
      <c r="W54" s="1777"/>
      <c r="X54" s="1777"/>
      <c r="Y54" s="1777"/>
      <c r="Z54" s="1777"/>
      <c r="AA54" s="1777"/>
      <c r="AB54" s="1777"/>
      <c r="AC54" s="1777"/>
    </row>
    <row r="55" spans="1:29" s="1778" customFormat="1" ht="12" customHeight="1">
      <c r="A55" s="1779"/>
      <c r="B55" s="1884">
        <v>46137</v>
      </c>
      <c r="C55" s="1897" t="s">
        <v>11</v>
      </c>
      <c r="D55" s="1898" t="s">
        <v>1612</v>
      </c>
      <c r="E55" s="1886">
        <v>24</v>
      </c>
      <c r="F55" s="1899" t="s">
        <v>11</v>
      </c>
      <c r="G55" s="1900" t="s">
        <v>12</v>
      </c>
      <c r="H55" s="1889"/>
      <c r="I55" s="1905"/>
      <c r="J55" s="1905"/>
      <c r="K55" s="1984">
        <v>843.5</v>
      </c>
      <c r="L55" s="1985">
        <f>'통장내역(환율표)'!$D$75</f>
        <v>6.8060000305156487</v>
      </c>
      <c r="M55" s="1983">
        <f t="shared" si="8"/>
        <v>123.93476288834121</v>
      </c>
      <c r="N55" s="1892">
        <f t="shared" si="10"/>
        <v>25947.310000001326</v>
      </c>
      <c r="O55" s="1892">
        <f t="shared" si="11"/>
        <v>3812.4171128902026</v>
      </c>
      <c r="P55" s="1903"/>
      <c r="Q55" s="1894"/>
      <c r="R55" s="1894"/>
      <c r="S55" s="1871">
        <f t="shared" si="12"/>
        <v>3812.4193101717547</v>
      </c>
      <c r="T55" s="1777"/>
      <c r="U55" s="1777"/>
      <c r="V55" s="1777"/>
      <c r="W55" s="1777"/>
      <c r="X55" s="1777"/>
      <c r="Y55" s="1777"/>
      <c r="Z55" s="1777"/>
      <c r="AA55" s="1777"/>
      <c r="AB55" s="1777"/>
      <c r="AC55" s="1777"/>
    </row>
    <row r="56" spans="1:29" s="1778" customFormat="1" ht="12" customHeight="1">
      <c r="A56" s="1779"/>
      <c r="B56" s="1884">
        <v>46137</v>
      </c>
      <c r="C56" s="1897" t="s">
        <v>1611</v>
      </c>
      <c r="D56" s="1898" t="s">
        <v>1612</v>
      </c>
      <c r="E56" s="1886">
        <v>25</v>
      </c>
      <c r="F56" s="1899" t="s">
        <v>13</v>
      </c>
      <c r="G56" s="1900" t="s">
        <v>14</v>
      </c>
      <c r="H56" s="1889"/>
      <c r="I56" s="1905"/>
      <c r="J56" s="1905"/>
      <c r="K56" s="1984">
        <v>183</v>
      </c>
      <c r="L56" s="1985">
        <f>'통장내역(환율표)'!$D$75</f>
        <v>6.8060000305156487</v>
      </c>
      <c r="M56" s="1983">
        <f t="shared" si="8"/>
        <v>26.888039844180724</v>
      </c>
      <c r="N56" s="1892">
        <f t="shared" si="10"/>
        <v>25764.310000001326</v>
      </c>
      <c r="O56" s="1892">
        <f t="shared" si="11"/>
        <v>3785.5290730460219</v>
      </c>
      <c r="P56" s="1903"/>
      <c r="Q56" s="1894"/>
      <c r="R56" s="1894"/>
      <c r="S56" s="1871">
        <f t="shared" si="12"/>
        <v>3785.531270327574</v>
      </c>
      <c r="T56" s="1777"/>
      <c r="U56" s="1777"/>
      <c r="V56" s="1777"/>
      <c r="W56" s="1777"/>
      <c r="X56" s="1777"/>
      <c r="Y56" s="1777"/>
      <c r="Z56" s="1777"/>
      <c r="AA56" s="1777"/>
      <c r="AB56" s="1777"/>
      <c r="AC56" s="1777"/>
    </row>
    <row r="57" spans="1:29" s="1778" customFormat="1" ht="12" customHeight="1">
      <c r="A57" s="1779"/>
      <c r="B57" s="1884">
        <v>46137</v>
      </c>
      <c r="C57" s="1897" t="s">
        <v>19</v>
      </c>
      <c r="D57" s="1898" t="s">
        <v>1612</v>
      </c>
      <c r="E57" s="1886">
        <v>26</v>
      </c>
      <c r="F57" s="1899" t="s">
        <v>19</v>
      </c>
      <c r="G57" s="1900" t="s">
        <v>1609</v>
      </c>
      <c r="H57" s="1889"/>
      <c r="I57" s="1905"/>
      <c r="J57" s="1905"/>
      <c r="K57" s="1984">
        <v>218</v>
      </c>
      <c r="L57" s="1985">
        <f>'통장내역(환율표)'!$D$75</f>
        <v>6.8060000305156487</v>
      </c>
      <c r="M57" s="1983">
        <f t="shared" si="8"/>
        <v>32.030561125854632</v>
      </c>
      <c r="N57" s="1892">
        <f t="shared" si="10"/>
        <v>25546.310000001326</v>
      </c>
      <c r="O57" s="1892">
        <f t="shared" si="11"/>
        <v>3753.4985119201674</v>
      </c>
      <c r="P57" s="1903"/>
      <c r="Q57" s="1894"/>
      <c r="R57" s="1894"/>
      <c r="S57" s="1871">
        <f t="shared" si="12"/>
        <v>3753.5007092017195</v>
      </c>
      <c r="T57" s="1777"/>
      <c r="U57" s="1777"/>
      <c r="V57" s="1777"/>
      <c r="W57" s="1777"/>
      <c r="X57" s="1777"/>
      <c r="Y57" s="1777"/>
      <c r="Z57" s="1777"/>
      <c r="AA57" s="1777"/>
      <c r="AB57" s="1777"/>
      <c r="AC57" s="1777"/>
    </row>
    <row r="58" spans="1:29" s="1778" customFormat="1" ht="12" customHeight="1">
      <c r="A58" s="1779"/>
      <c r="B58" s="1884">
        <v>46137</v>
      </c>
      <c r="C58" s="1897" t="s">
        <v>1409</v>
      </c>
      <c r="D58" s="1898" t="s">
        <v>1612</v>
      </c>
      <c r="E58" s="1886">
        <v>27</v>
      </c>
      <c r="F58" s="1899" t="s">
        <v>21</v>
      </c>
      <c r="G58" s="1900"/>
      <c r="H58" s="1889"/>
      <c r="I58" s="1889"/>
      <c r="J58" s="1889"/>
      <c r="K58" s="1984">
        <v>475</v>
      </c>
      <c r="L58" s="1985">
        <f>'통장내역(환율표)'!$D$75</f>
        <v>6.8060000305156487</v>
      </c>
      <c r="M58" s="1983">
        <f t="shared" si="8"/>
        <v>69.791360251288765</v>
      </c>
      <c r="N58" s="1892">
        <f t="shared" si="10"/>
        <v>25071.310000001326</v>
      </c>
      <c r="O58" s="1892">
        <f t="shared" si="11"/>
        <v>3683.7071516688789</v>
      </c>
      <c r="P58" s="1903"/>
      <c r="Q58" s="1894"/>
      <c r="R58" s="1894"/>
      <c r="S58" s="1871">
        <f t="shared" si="12"/>
        <v>3683.7093489504309</v>
      </c>
      <c r="T58" s="1777"/>
      <c r="U58" s="1777"/>
      <c r="V58" s="1777"/>
      <c r="W58" s="1777"/>
      <c r="X58" s="1777"/>
      <c r="Y58" s="1777"/>
      <c r="Z58" s="1777"/>
      <c r="AA58" s="1777"/>
      <c r="AB58" s="1777"/>
      <c r="AC58" s="1777"/>
    </row>
    <row r="59" spans="1:29" s="1778" customFormat="1" ht="12" customHeight="1">
      <c r="A59" s="1779"/>
      <c r="B59" s="1884">
        <v>46137</v>
      </c>
      <c r="C59" s="1897" t="s">
        <v>1405</v>
      </c>
      <c r="D59" s="1898" t="s">
        <v>1612</v>
      </c>
      <c r="E59" s="1886">
        <v>28</v>
      </c>
      <c r="F59" s="1899" t="s">
        <v>21</v>
      </c>
      <c r="G59" s="1900" t="s">
        <v>1609</v>
      </c>
      <c r="H59" s="1889"/>
      <c r="I59" s="1889"/>
      <c r="J59" s="1889"/>
      <c r="K59" s="1984">
        <v>309</v>
      </c>
      <c r="L59" s="1985">
        <f>'통장내역(환율표)'!$D$75</f>
        <v>6.8060000305156487</v>
      </c>
      <c r="M59" s="1983">
        <f t="shared" si="8"/>
        <v>45.401116458206801</v>
      </c>
      <c r="N59" s="1892">
        <f t="shared" si="10"/>
        <v>24762.310000001326</v>
      </c>
      <c r="O59" s="1892">
        <f t="shared" si="11"/>
        <v>3638.3060352106722</v>
      </c>
      <c r="P59" s="1903" t="s">
        <v>1669</v>
      </c>
      <c r="Q59" s="1894"/>
      <c r="R59" s="1894"/>
      <c r="S59" s="1871">
        <f t="shared" si="12"/>
        <v>3638.3082324922243</v>
      </c>
      <c r="T59" s="1777"/>
      <c r="U59" s="1777"/>
      <c r="V59" s="1777"/>
      <c r="W59" s="1777"/>
      <c r="X59" s="1777"/>
      <c r="Y59" s="1777"/>
      <c r="Z59" s="1777"/>
      <c r="AA59" s="1777"/>
      <c r="AB59" s="1777"/>
      <c r="AC59" s="1777"/>
    </row>
    <row r="60" spans="1:29" s="1778" customFormat="1" ht="12" customHeight="1">
      <c r="A60" s="1779"/>
      <c r="B60" s="1884">
        <v>46137</v>
      </c>
      <c r="C60" s="1897" t="s">
        <v>445</v>
      </c>
      <c r="D60" s="1898" t="s">
        <v>1612</v>
      </c>
      <c r="E60" s="1886">
        <v>29</v>
      </c>
      <c r="F60" s="1899" t="s">
        <v>21</v>
      </c>
      <c r="G60" s="1900"/>
      <c r="H60" s="1889"/>
      <c r="I60" s="1889"/>
      <c r="J60" s="1889"/>
      <c r="K60" s="1984">
        <v>3.6</v>
      </c>
      <c r="L60" s="1985">
        <f>'통장내역(환율표)'!$D$75</f>
        <v>6.8060000305156487</v>
      </c>
      <c r="M60" s="1983">
        <f t="shared" si="8"/>
        <v>0.52894504611503068</v>
      </c>
      <c r="N60" s="1892">
        <f t="shared" si="10"/>
        <v>24758.710000001327</v>
      </c>
      <c r="O60" s="1892">
        <f t="shared" si="11"/>
        <v>3637.7770901645572</v>
      </c>
      <c r="Q60" s="1894"/>
      <c r="R60" s="1894"/>
      <c r="S60" s="1871">
        <f t="shared" si="12"/>
        <v>3637.7792874461093</v>
      </c>
      <c r="T60" s="1777"/>
      <c r="U60" s="1777"/>
      <c r="V60" s="1777"/>
      <c r="W60" s="1777"/>
      <c r="X60" s="1777"/>
      <c r="Y60" s="1777"/>
      <c r="Z60" s="1777"/>
      <c r="AA60" s="1777"/>
      <c r="AB60" s="1777"/>
      <c r="AC60" s="1777"/>
    </row>
    <row r="61" spans="1:29" s="1778" customFormat="1" ht="12" customHeight="1">
      <c r="A61" s="1779"/>
      <c r="B61" s="1884">
        <v>46137</v>
      </c>
      <c r="C61" s="1897" t="s">
        <v>1611</v>
      </c>
      <c r="D61" s="1898" t="s">
        <v>1613</v>
      </c>
      <c r="E61" s="1886">
        <v>30</v>
      </c>
      <c r="F61" s="1899" t="s">
        <v>13</v>
      </c>
      <c r="G61" s="1900" t="s">
        <v>14</v>
      </c>
      <c r="H61" s="1889"/>
      <c r="I61" s="1889"/>
      <c r="J61" s="1889"/>
      <c r="K61" s="1984">
        <v>683.3</v>
      </c>
      <c r="L61" s="1985">
        <f>'통장내역(환율표)'!$D$75</f>
        <v>6.8060000305156487</v>
      </c>
      <c r="M61" s="1983">
        <f t="shared" si="8"/>
        <v>100.39670833622235</v>
      </c>
      <c r="N61" s="1892">
        <f t="shared" si="10"/>
        <v>24075.410000001328</v>
      </c>
      <c r="O61" s="1892">
        <f t="shared" si="11"/>
        <v>3537.380381828335</v>
      </c>
      <c r="P61" s="1903"/>
      <c r="Q61" s="1894"/>
      <c r="R61" s="1894"/>
      <c r="S61" s="1871">
        <f t="shared" si="12"/>
        <v>3537.382579109887</v>
      </c>
      <c r="T61" s="1777"/>
      <c r="U61" s="1777"/>
      <c r="V61" s="1777"/>
      <c r="W61" s="1777"/>
      <c r="X61" s="1777"/>
      <c r="Y61" s="1777"/>
      <c r="Z61" s="1777"/>
      <c r="AA61" s="1777"/>
      <c r="AB61" s="1777"/>
      <c r="AC61" s="1777"/>
    </row>
    <row r="62" spans="1:29" s="1782" customFormat="1" ht="11.25" customHeight="1">
      <c r="A62" s="1779"/>
      <c r="B62" s="1884">
        <v>46137</v>
      </c>
      <c r="C62" s="1897" t="s">
        <v>1403</v>
      </c>
      <c r="D62" s="1898" t="s">
        <v>1613</v>
      </c>
      <c r="E62" s="1886">
        <v>31</v>
      </c>
      <c r="F62" s="1899" t="s">
        <v>13</v>
      </c>
      <c r="G62" s="1900" t="s">
        <v>14</v>
      </c>
      <c r="H62" s="1889"/>
      <c r="I62" s="1889"/>
      <c r="J62" s="1889"/>
      <c r="K62" s="1984">
        <v>2297.4</v>
      </c>
      <c r="L62" s="1985">
        <f>'통장내역(환율표)'!$D$75</f>
        <v>6.8060000305156487</v>
      </c>
      <c r="M62" s="1983">
        <f t="shared" si="8"/>
        <v>337.55509692907543</v>
      </c>
      <c r="N62" s="1892">
        <f t="shared" si="10"/>
        <v>21778.010000001326</v>
      </c>
      <c r="O62" s="1892">
        <f t="shared" si="11"/>
        <v>3199.8252848992597</v>
      </c>
      <c r="P62" s="1903"/>
      <c r="Q62" s="1894"/>
      <c r="R62" s="1894"/>
      <c r="S62" s="1871">
        <f t="shared" si="12"/>
        <v>3199.8274821808118</v>
      </c>
      <c r="T62" s="1777"/>
      <c r="U62" s="1777"/>
      <c r="V62" s="1777"/>
      <c r="W62" s="1777"/>
      <c r="X62" s="1777"/>
      <c r="Y62" s="1777"/>
      <c r="Z62" s="1777"/>
      <c r="AA62" s="1777"/>
      <c r="AB62" s="1777"/>
      <c r="AC62" s="1777"/>
    </row>
    <row r="63" spans="1:29" s="1782" customFormat="1" ht="11.25" customHeight="1">
      <c r="A63" s="1779"/>
      <c r="B63" s="1884">
        <v>46137</v>
      </c>
      <c r="C63" s="1897" t="s">
        <v>1409</v>
      </c>
      <c r="D63" s="1898" t="s">
        <v>1613</v>
      </c>
      <c r="E63" s="1886">
        <v>32</v>
      </c>
      <c r="F63" s="1899" t="s">
        <v>21</v>
      </c>
      <c r="G63" s="1900"/>
      <c r="H63" s="1889"/>
      <c r="I63" s="1889"/>
      <c r="J63" s="1889"/>
      <c r="K63" s="1984">
        <v>80.8</v>
      </c>
      <c r="L63" s="1985">
        <f>'통장내역(환율표)'!$D$75</f>
        <v>6.8060000305156487</v>
      </c>
      <c r="M63" s="1983">
        <f t="shared" si="8"/>
        <v>11.87187770169291</v>
      </c>
      <c r="N63" s="1892">
        <f t="shared" si="10"/>
        <v>21697.210000001327</v>
      </c>
      <c r="O63" s="1892">
        <f t="shared" si="11"/>
        <v>3187.9534071975668</v>
      </c>
      <c r="P63" s="1903"/>
      <c r="Q63" s="1894"/>
      <c r="R63" s="1894"/>
      <c r="S63" s="1871">
        <f t="shared" si="12"/>
        <v>3187.9556044791188</v>
      </c>
      <c r="T63" s="1777"/>
      <c r="U63" s="1777"/>
      <c r="V63" s="1777"/>
      <c r="W63" s="1777"/>
      <c r="X63" s="1777"/>
      <c r="Y63" s="1777"/>
      <c r="Z63" s="1777"/>
      <c r="AA63" s="1777"/>
      <c r="AB63" s="1777"/>
      <c r="AC63" s="1777"/>
    </row>
    <row r="64" spans="1:29" s="1782" customFormat="1" ht="11.25" customHeight="1">
      <c r="A64" s="1779"/>
      <c r="B64" s="1884">
        <v>46137</v>
      </c>
      <c r="C64" s="1897" t="s">
        <v>1405</v>
      </c>
      <c r="D64" s="1898" t="s">
        <v>1613</v>
      </c>
      <c r="E64" s="1886">
        <v>33</v>
      </c>
      <c r="F64" s="1899" t="s">
        <v>21</v>
      </c>
      <c r="G64" s="1900" t="s">
        <v>1609</v>
      </c>
      <c r="H64" s="1889"/>
      <c r="I64" s="1889"/>
      <c r="J64" s="1889"/>
      <c r="K64" s="1984">
        <v>543.5</v>
      </c>
      <c r="L64" s="1985">
        <f>'통장내역(환율표)'!$D$75</f>
        <v>6.8060000305156487</v>
      </c>
      <c r="M64" s="1983">
        <f t="shared" si="8"/>
        <v>79.856009045421999</v>
      </c>
      <c r="N64" s="1892">
        <f t="shared" si="10"/>
        <v>21153.710000001327</v>
      </c>
      <c r="O64" s="1892">
        <f t="shared" si="11"/>
        <v>3108.0973981521447</v>
      </c>
      <c r="P64" s="1903"/>
      <c r="Q64" s="1894"/>
      <c r="R64" s="1894"/>
      <c r="S64" s="1871">
        <f t="shared" si="12"/>
        <v>3108.0995954336968</v>
      </c>
      <c r="T64" s="1777"/>
      <c r="U64" s="1777"/>
      <c r="V64" s="1777"/>
      <c r="W64" s="1777"/>
      <c r="X64" s="1777"/>
      <c r="Y64" s="1777"/>
      <c r="Z64" s="1777"/>
      <c r="AA64" s="1777"/>
      <c r="AB64" s="1777"/>
      <c r="AC64" s="1777"/>
    </row>
    <row r="65" spans="1:29" s="1782" customFormat="1" ht="11.25" customHeight="1">
      <c r="A65" s="1779"/>
      <c r="B65" s="1884">
        <v>46137</v>
      </c>
      <c r="C65" s="1897" t="s">
        <v>19</v>
      </c>
      <c r="D65" s="1898" t="s">
        <v>1613</v>
      </c>
      <c r="E65" s="1886">
        <v>34</v>
      </c>
      <c r="F65" s="1899" t="s">
        <v>19</v>
      </c>
      <c r="G65" s="1900" t="s">
        <v>1609</v>
      </c>
      <c r="H65" s="1889"/>
      <c r="I65" s="1889"/>
      <c r="J65" s="1889"/>
      <c r="K65" s="1984">
        <v>300</v>
      </c>
      <c r="L65" s="1985">
        <f>'통장내역(환율표)'!$D$75</f>
        <v>6.8060000305156487</v>
      </c>
      <c r="M65" s="1983">
        <f t="shared" si="8"/>
        <v>44.07875384291922</v>
      </c>
      <c r="N65" s="1892">
        <f t="shared" si="10"/>
        <v>20853.710000001327</v>
      </c>
      <c r="O65" s="1892">
        <f t="shared" si="11"/>
        <v>3064.0186443092257</v>
      </c>
      <c r="P65" s="1903"/>
      <c r="Q65" s="1894"/>
      <c r="R65" s="1894"/>
      <c r="S65" s="1871">
        <f t="shared" si="12"/>
        <v>3064.0208415907778</v>
      </c>
      <c r="T65" s="1777"/>
      <c r="U65" s="1777"/>
      <c r="V65" s="1777"/>
      <c r="W65" s="1777"/>
      <c r="X65" s="1777"/>
      <c r="Y65" s="1777"/>
      <c r="Z65" s="1777"/>
      <c r="AA65" s="1777"/>
      <c r="AB65" s="1777"/>
      <c r="AC65" s="1777"/>
    </row>
    <row r="66" spans="1:29" s="1782" customFormat="1" ht="11.25" customHeight="1">
      <c r="A66" s="1779"/>
      <c r="B66" s="1884">
        <v>46137</v>
      </c>
      <c r="C66" s="1897" t="s">
        <v>445</v>
      </c>
      <c r="D66" s="1898" t="s">
        <v>1613</v>
      </c>
      <c r="E66" s="1886">
        <v>35</v>
      </c>
      <c r="F66" s="1899" t="s">
        <v>21</v>
      </c>
      <c r="G66" s="1900"/>
      <c r="H66" s="1889"/>
      <c r="I66" s="1889"/>
      <c r="J66" s="1889"/>
      <c r="K66" s="1984">
        <v>3.6</v>
      </c>
      <c r="L66" s="1985">
        <f>'통장내역(환율표)'!$D$75</f>
        <v>6.8060000305156487</v>
      </c>
      <c r="M66" s="1983">
        <f t="shared" si="8"/>
        <v>0.52894504611503068</v>
      </c>
      <c r="N66" s="1892">
        <f t="shared" si="10"/>
        <v>20850.110000001328</v>
      </c>
      <c r="O66" s="1892">
        <f t="shared" si="11"/>
        <v>3063.4896992631107</v>
      </c>
      <c r="P66" s="1903"/>
      <c r="Q66" s="1894"/>
      <c r="R66" s="1894"/>
      <c r="S66" s="1871">
        <f t="shared" si="12"/>
        <v>3063.4918965446627</v>
      </c>
      <c r="T66" s="1777"/>
      <c r="U66" s="1777"/>
      <c r="V66" s="1777"/>
      <c r="W66" s="1777"/>
      <c r="X66" s="1777"/>
      <c r="Y66" s="1777"/>
      <c r="Z66" s="1777"/>
      <c r="AA66" s="1777"/>
      <c r="AB66" s="1777"/>
      <c r="AC66" s="1777"/>
    </row>
    <row r="67" spans="1:29" s="1782" customFormat="1" ht="11.25" customHeight="1">
      <c r="A67" s="1779"/>
      <c r="B67" s="1884">
        <v>46137</v>
      </c>
      <c r="C67" s="1952" t="s">
        <v>1685</v>
      </c>
      <c r="D67" s="1898" t="s">
        <v>1436</v>
      </c>
      <c r="E67" s="1886">
        <v>36</v>
      </c>
      <c r="F67" s="1899" t="s">
        <v>13</v>
      </c>
      <c r="G67" s="1900" t="s">
        <v>14</v>
      </c>
      <c r="H67" s="1889"/>
      <c r="I67" s="1889"/>
      <c r="J67" s="1889"/>
      <c r="K67" s="1984">
        <v>2400</v>
      </c>
      <c r="L67" s="1985">
        <f>'통장내역(환율표)'!$D$75</f>
        <v>6.8060000305156487</v>
      </c>
      <c r="M67" s="1983">
        <f t="shared" si="8"/>
        <v>352.63003074335376</v>
      </c>
      <c r="N67" s="1892">
        <f t="shared" si="10"/>
        <v>18450.110000001328</v>
      </c>
      <c r="O67" s="1892">
        <f t="shared" si="11"/>
        <v>2710.8596685197567</v>
      </c>
      <c r="P67" s="1903"/>
      <c r="Q67" s="1894"/>
      <c r="R67" s="1894"/>
      <c r="S67" s="1871">
        <f t="shared" si="12"/>
        <v>2710.8618658013088</v>
      </c>
      <c r="T67" s="1777"/>
      <c r="U67" s="1777"/>
      <c r="V67" s="1777"/>
      <c r="W67" s="1777"/>
      <c r="X67" s="1777"/>
      <c r="Y67" s="1777"/>
      <c r="Z67" s="1777"/>
      <c r="AA67" s="1777"/>
      <c r="AB67" s="1777"/>
      <c r="AC67" s="1777"/>
    </row>
    <row r="68" spans="1:29" s="1782" customFormat="1" ht="11.25" customHeight="1">
      <c r="A68" s="1779"/>
      <c r="B68" s="1884">
        <v>46137</v>
      </c>
      <c r="C68" s="1897" t="s">
        <v>11</v>
      </c>
      <c r="D68" s="1898" t="s">
        <v>1436</v>
      </c>
      <c r="E68" s="1886">
        <v>37</v>
      </c>
      <c r="F68" s="1899" t="s">
        <v>11</v>
      </c>
      <c r="G68" s="1900" t="s">
        <v>12</v>
      </c>
      <c r="H68" s="1889"/>
      <c r="I68" s="1889"/>
      <c r="J68" s="1889"/>
      <c r="K68" s="1984">
        <v>192.45</v>
      </c>
      <c r="L68" s="1985">
        <f>'통장내역(환율표)'!$D$75</f>
        <v>6.8060000305156487</v>
      </c>
      <c r="M68" s="1983">
        <f t="shared" si="8"/>
        <v>28.276520590232678</v>
      </c>
      <c r="N68" s="1892">
        <f t="shared" si="10"/>
        <v>18257.660000001328</v>
      </c>
      <c r="O68" s="1892">
        <f t="shared" si="11"/>
        <v>2682.5831479295239</v>
      </c>
      <c r="P68" s="1903"/>
      <c r="Q68" s="1894"/>
      <c r="R68" s="1894"/>
      <c r="S68" s="1871">
        <f t="shared" si="12"/>
        <v>2682.5853452110759</v>
      </c>
      <c r="T68" s="1777"/>
      <c r="U68" s="1777"/>
      <c r="V68" s="1777"/>
      <c r="W68" s="1777"/>
      <c r="X68" s="1777"/>
      <c r="Y68" s="1777"/>
      <c r="Z68" s="1777"/>
      <c r="AA68" s="1777"/>
      <c r="AB68" s="1777"/>
      <c r="AC68" s="1777"/>
    </row>
    <row r="69" spans="1:29" s="1782" customFormat="1" ht="11.25" customHeight="1">
      <c r="A69" s="1779"/>
      <c r="B69" s="1884">
        <v>46137</v>
      </c>
      <c r="C69" s="1897" t="s">
        <v>1611</v>
      </c>
      <c r="D69" s="1898" t="s">
        <v>1436</v>
      </c>
      <c r="E69" s="1886">
        <v>38</v>
      </c>
      <c r="F69" s="1899" t="s">
        <v>13</v>
      </c>
      <c r="G69" s="1900" t="s">
        <v>14</v>
      </c>
      <c r="H69" s="1889"/>
      <c r="I69" s="1889"/>
      <c r="J69" s="1889"/>
      <c r="K69" s="1984">
        <v>30.5</v>
      </c>
      <c r="L69" s="1985">
        <f>'통장내역(환율표)'!$D$75</f>
        <v>6.8060000305156487</v>
      </c>
      <c r="M69" s="1983">
        <f t="shared" si="8"/>
        <v>4.4813399740301207</v>
      </c>
      <c r="N69" s="1892">
        <f t="shared" si="10"/>
        <v>18227.160000001328</v>
      </c>
      <c r="O69" s="1892">
        <f t="shared" si="11"/>
        <v>2678.1018079554938</v>
      </c>
      <c r="P69" s="1903"/>
      <c r="Q69" s="1894"/>
      <c r="R69" s="1894"/>
      <c r="S69" s="1871">
        <f t="shared" si="12"/>
        <v>2678.1040052370458</v>
      </c>
      <c r="T69" s="1777"/>
      <c r="U69" s="1777"/>
      <c r="V69" s="1777"/>
      <c r="W69" s="1777"/>
      <c r="X69" s="1777"/>
      <c r="Y69" s="1777"/>
      <c r="Z69" s="1777"/>
      <c r="AA69" s="1777"/>
      <c r="AB69" s="1777"/>
      <c r="AC69" s="1777"/>
    </row>
    <row r="70" spans="1:29" s="1782" customFormat="1" ht="11.25" customHeight="1">
      <c r="A70" s="1779"/>
      <c r="B70" s="1884">
        <v>46137</v>
      </c>
      <c r="C70" s="1897" t="s">
        <v>19</v>
      </c>
      <c r="D70" s="1898" t="s">
        <v>1436</v>
      </c>
      <c r="E70" s="1886">
        <v>39</v>
      </c>
      <c r="F70" s="1899" t="s">
        <v>19</v>
      </c>
      <c r="G70" s="1900" t="s">
        <v>1609</v>
      </c>
      <c r="H70" s="1889"/>
      <c r="I70" s="1889"/>
      <c r="J70" s="1889"/>
      <c r="K70" s="1984">
        <v>249.9</v>
      </c>
      <c r="L70" s="1985">
        <f>'통장내역(환율표)'!$D$75</f>
        <v>6.8060000305156487</v>
      </c>
      <c r="M70" s="1983">
        <f t="shared" si="8"/>
        <v>36.717601951151714</v>
      </c>
      <c r="N70" s="1892">
        <f t="shared" si="10"/>
        <v>17977.260000001326</v>
      </c>
      <c r="O70" s="1892">
        <f t="shared" si="11"/>
        <v>2641.3842060043421</v>
      </c>
      <c r="P70" s="1903"/>
      <c r="Q70" s="1894"/>
      <c r="R70" s="1894"/>
      <c r="S70" s="1871">
        <f t="shared" si="12"/>
        <v>2641.3864032858942</v>
      </c>
      <c r="T70" s="1777"/>
      <c r="U70" s="1777"/>
      <c r="V70" s="1777"/>
      <c r="W70" s="1777"/>
      <c r="X70" s="1777"/>
      <c r="Y70" s="1777"/>
      <c r="Z70" s="1777"/>
      <c r="AA70" s="1777"/>
      <c r="AB70" s="1777"/>
      <c r="AC70" s="1777"/>
    </row>
    <row r="71" spans="1:29" s="1782" customFormat="1" ht="11.25" customHeight="1">
      <c r="A71" s="1779"/>
      <c r="B71" s="1884">
        <v>46137</v>
      </c>
      <c r="C71" s="1952" t="s">
        <v>1405</v>
      </c>
      <c r="D71" s="1898" t="s">
        <v>1436</v>
      </c>
      <c r="E71" s="1886">
        <v>40</v>
      </c>
      <c r="F71" s="1899" t="s">
        <v>21</v>
      </c>
      <c r="G71" s="1900"/>
      <c r="H71" s="1889"/>
      <c r="I71" s="1889"/>
      <c r="J71" s="1889"/>
      <c r="K71" s="1984">
        <v>278.09999999999997</v>
      </c>
      <c r="L71" s="1985">
        <f>'통장내역(환율표)'!$D$75</f>
        <v>6.8060000305156487</v>
      </c>
      <c r="M71" s="1983">
        <f t="shared" si="8"/>
        <v>40.861004812386113</v>
      </c>
      <c r="N71" s="1892">
        <f t="shared" si="10"/>
        <v>17699.160000001328</v>
      </c>
      <c r="O71" s="1892">
        <f t="shared" si="11"/>
        <v>2600.5232011919561</v>
      </c>
      <c r="P71" s="1903"/>
      <c r="Q71" s="1894"/>
      <c r="R71" s="1894"/>
      <c r="S71" s="1871">
        <f t="shared" si="12"/>
        <v>2600.5253984735082</v>
      </c>
      <c r="T71" s="1777"/>
      <c r="U71" s="1777"/>
      <c r="V71" s="1777"/>
      <c r="W71" s="1777"/>
      <c r="X71" s="1777"/>
      <c r="Y71" s="1777"/>
      <c r="Z71" s="1777"/>
      <c r="AA71" s="1777"/>
      <c r="AB71" s="1777"/>
      <c r="AC71" s="1777"/>
    </row>
    <row r="72" spans="1:29" s="1782" customFormat="1" ht="11.25" customHeight="1">
      <c r="A72" s="1779"/>
      <c r="B72" s="1884">
        <v>46137</v>
      </c>
      <c r="C72" s="1897" t="s">
        <v>1676</v>
      </c>
      <c r="D72" s="1898" t="s">
        <v>1436</v>
      </c>
      <c r="E72" s="1886">
        <v>41</v>
      </c>
      <c r="F72" s="1899" t="s">
        <v>21</v>
      </c>
      <c r="G72" s="1900"/>
      <c r="H72" s="1889"/>
      <c r="I72" s="1889"/>
      <c r="J72" s="1889"/>
      <c r="K72" s="1984">
        <v>157.32</v>
      </c>
      <c r="L72" s="1985">
        <f>'통장내역(환율표)'!$D$75</f>
        <v>6.8060000305156487</v>
      </c>
      <c r="M72" s="1983">
        <f t="shared" si="8"/>
        <v>23.114898515226841</v>
      </c>
      <c r="N72" s="1892">
        <f t="shared" si="10"/>
        <v>17541.840000001328</v>
      </c>
      <c r="O72" s="1892">
        <f t="shared" si="11"/>
        <v>2577.4083026767294</v>
      </c>
      <c r="P72" s="1903"/>
      <c r="Q72" s="1894"/>
      <c r="R72" s="1894"/>
      <c r="S72" s="1871">
        <f t="shared" si="12"/>
        <v>2577.4104999582814</v>
      </c>
      <c r="T72" s="1777"/>
      <c r="U72" s="1777"/>
      <c r="V72" s="1777"/>
      <c r="W72" s="1777"/>
      <c r="X72" s="1777"/>
      <c r="Y72" s="1777"/>
      <c r="Z72" s="1777"/>
      <c r="AA72" s="1777"/>
      <c r="AB72" s="1777"/>
      <c r="AC72" s="1777"/>
    </row>
    <row r="73" spans="1:29" s="1782" customFormat="1" ht="11.25" customHeight="1">
      <c r="A73" s="1779"/>
      <c r="B73" s="1884">
        <v>46137</v>
      </c>
      <c r="C73" s="1897" t="s">
        <v>1677</v>
      </c>
      <c r="D73" s="1898" t="s">
        <v>1436</v>
      </c>
      <c r="E73" s="1886">
        <v>42</v>
      </c>
      <c r="F73" s="1899" t="s">
        <v>15</v>
      </c>
      <c r="G73" s="1900" t="s">
        <v>1055</v>
      </c>
      <c r="H73" s="1889"/>
      <c r="I73" s="1889"/>
      <c r="J73" s="1889"/>
      <c r="K73" s="1984">
        <v>300</v>
      </c>
      <c r="L73" s="1985">
        <f>'통장내역(환율표)'!$D$75</f>
        <v>6.8060000305156487</v>
      </c>
      <c r="M73" s="1983">
        <f t="shared" si="8"/>
        <v>44.07875384291922</v>
      </c>
      <c r="N73" s="1892">
        <f t="shared" si="10"/>
        <v>17241.840000001328</v>
      </c>
      <c r="O73" s="1892">
        <f t="shared" si="11"/>
        <v>2533.3295488338103</v>
      </c>
      <c r="P73" s="1903"/>
      <c r="Q73" s="1894"/>
      <c r="R73" s="1894"/>
      <c r="S73" s="1871">
        <f t="shared" si="12"/>
        <v>2533.3317461153624</v>
      </c>
      <c r="T73" s="1777"/>
      <c r="U73" s="1777"/>
      <c r="V73" s="1777"/>
      <c r="W73" s="1777"/>
      <c r="X73" s="1777"/>
      <c r="Y73" s="1777"/>
      <c r="Z73" s="1777"/>
      <c r="AA73" s="1777"/>
      <c r="AB73" s="1777"/>
      <c r="AC73" s="1777"/>
    </row>
    <row r="74" spans="1:29" s="1782" customFormat="1" ht="11.25" customHeight="1">
      <c r="A74" s="1779"/>
      <c r="B74" s="1884">
        <v>46137</v>
      </c>
      <c r="C74" s="1897" t="s">
        <v>445</v>
      </c>
      <c r="D74" s="1898" t="s">
        <v>1436</v>
      </c>
      <c r="E74" s="1886">
        <v>43</v>
      </c>
      <c r="F74" s="1899" t="s">
        <v>21</v>
      </c>
      <c r="G74" s="1900"/>
      <c r="H74" s="1889"/>
      <c r="I74" s="1889"/>
      <c r="J74" s="1889"/>
      <c r="K74" s="1984">
        <v>3.6</v>
      </c>
      <c r="L74" s="1985">
        <f>'통장내역(환율표)'!$D$75</f>
        <v>6.8060000305156487</v>
      </c>
      <c r="M74" s="1983">
        <f t="shared" si="8"/>
        <v>0.52894504611503068</v>
      </c>
      <c r="N74" s="1892">
        <f t="shared" si="10"/>
        <v>17238.240000001329</v>
      </c>
      <c r="O74" s="1892">
        <f t="shared" si="11"/>
        <v>2532.8006037876953</v>
      </c>
      <c r="P74" s="1903"/>
      <c r="Q74" s="1894"/>
      <c r="R74" s="1894"/>
      <c r="S74" s="1871">
        <f t="shared" si="12"/>
        <v>2532.8028010692474</v>
      </c>
      <c r="T74" s="1777"/>
      <c r="U74" s="1777"/>
      <c r="V74" s="1777"/>
      <c r="W74" s="1777"/>
      <c r="X74" s="1777"/>
      <c r="Y74" s="1777"/>
      <c r="Z74" s="1777"/>
      <c r="AA74" s="1777"/>
      <c r="AB74" s="1777"/>
      <c r="AC74" s="1777"/>
    </row>
    <row r="75" spans="1:29" s="1782" customFormat="1" ht="11.25" customHeight="1">
      <c r="A75" s="1779"/>
      <c r="B75" s="1884">
        <v>46137</v>
      </c>
      <c r="C75" s="1952" t="s">
        <v>19</v>
      </c>
      <c r="D75" s="1898" t="s">
        <v>1614</v>
      </c>
      <c r="E75" s="1886">
        <v>44</v>
      </c>
      <c r="F75" s="1899" t="s">
        <v>19</v>
      </c>
      <c r="G75" s="1900" t="s">
        <v>1609</v>
      </c>
      <c r="H75" s="1889"/>
      <c r="I75" s="1902"/>
      <c r="J75" s="1889"/>
      <c r="K75" s="1984">
        <v>746.71</v>
      </c>
      <c r="L75" s="1985">
        <f>'통장내역(환율표)'!$D$75</f>
        <v>6.8060000305156487</v>
      </c>
      <c r="M75" s="1983">
        <f t="shared" si="8"/>
        <v>109.71348760682072</v>
      </c>
      <c r="N75" s="1892">
        <f t="shared" si="10"/>
        <v>16491.53000000133</v>
      </c>
      <c r="O75" s="1892">
        <f t="shared" si="11"/>
        <v>2423.0871161808745</v>
      </c>
      <c r="P75" s="1903"/>
      <c r="Q75" s="1894"/>
      <c r="R75" s="1894"/>
      <c r="S75" s="1871">
        <f t="shared" si="12"/>
        <v>2423.0893134624266</v>
      </c>
      <c r="T75" s="1777"/>
      <c r="U75" s="1777"/>
      <c r="V75" s="1777"/>
      <c r="W75" s="1777"/>
      <c r="X75" s="1777"/>
      <c r="Y75" s="1777"/>
      <c r="Z75" s="1777"/>
      <c r="AA75" s="1777"/>
      <c r="AB75" s="1777"/>
      <c r="AC75" s="1777"/>
    </row>
    <row r="76" spans="1:29" s="1782" customFormat="1" ht="11.25" customHeight="1">
      <c r="A76" s="1779"/>
      <c r="B76" s="1884">
        <v>46137</v>
      </c>
      <c r="C76" s="1897" t="s">
        <v>1403</v>
      </c>
      <c r="D76" s="1898" t="s">
        <v>1686</v>
      </c>
      <c r="E76" s="1886">
        <v>45</v>
      </c>
      <c r="F76" s="1899" t="s">
        <v>13</v>
      </c>
      <c r="G76" s="1900" t="s">
        <v>14</v>
      </c>
      <c r="H76" s="1889"/>
      <c r="I76" s="1902"/>
      <c r="J76" s="1889"/>
      <c r="K76" s="1984">
        <v>2392.12</v>
      </c>
      <c r="L76" s="1985">
        <f>'통장내역(환율표)'!$D$75</f>
        <v>6.8060000305156487</v>
      </c>
      <c r="M76" s="1983">
        <f t="shared" si="8"/>
        <v>351.47222880907975</v>
      </c>
      <c r="N76" s="1892">
        <f t="shared" si="10"/>
        <v>14099.410000001331</v>
      </c>
      <c r="O76" s="1892">
        <f t="shared" si="11"/>
        <v>2071.6148873717948</v>
      </c>
      <c r="P76" s="1903"/>
      <c r="Q76" s="1894"/>
      <c r="R76" s="1894"/>
      <c r="S76" s="1871">
        <f t="shared" si="12"/>
        <v>2071.6170846533469</v>
      </c>
      <c r="T76" s="1777"/>
      <c r="U76" s="1777"/>
      <c r="V76" s="1777"/>
      <c r="W76" s="1777"/>
      <c r="X76" s="1777"/>
      <c r="Y76" s="1777"/>
      <c r="Z76" s="1777"/>
      <c r="AA76" s="1777"/>
      <c r="AB76" s="1777"/>
      <c r="AC76" s="1777"/>
    </row>
    <row r="77" spans="1:29" s="1782" customFormat="1" ht="11.25" customHeight="1">
      <c r="A77" s="1779"/>
      <c r="B77" s="1884">
        <v>46137</v>
      </c>
      <c r="C77" s="1952" t="s">
        <v>11</v>
      </c>
      <c r="D77" s="1898" t="s">
        <v>1686</v>
      </c>
      <c r="E77" s="1886">
        <v>46</v>
      </c>
      <c r="F77" s="1899" t="s">
        <v>11</v>
      </c>
      <c r="G77" s="1900" t="s">
        <v>12</v>
      </c>
      <c r="H77" s="1889"/>
      <c r="I77" s="1906"/>
      <c r="J77" s="1901"/>
      <c r="K77" s="1984">
        <v>867</v>
      </c>
      <c r="L77" s="1985">
        <f>'통장내역(환율표)'!$D$75</f>
        <v>6.8060000305156487</v>
      </c>
      <c r="M77" s="1983">
        <f t="shared" si="8"/>
        <v>127.38759860603655</v>
      </c>
      <c r="N77" s="1892">
        <f t="shared" si="10"/>
        <v>13232.410000001331</v>
      </c>
      <c r="O77" s="1892">
        <f t="shared" si="11"/>
        <v>1944.2272887657582</v>
      </c>
      <c r="P77" s="1903"/>
      <c r="Q77" s="1894"/>
      <c r="R77" s="1894"/>
      <c r="S77" s="1871">
        <f t="shared" si="12"/>
        <v>1944.2294860473103</v>
      </c>
      <c r="T77" s="1777"/>
      <c r="U77" s="1777"/>
      <c r="V77" s="1777"/>
      <c r="W77" s="1777"/>
      <c r="X77" s="1777"/>
      <c r="Y77" s="1777"/>
      <c r="Z77" s="1777"/>
      <c r="AA77" s="1777"/>
      <c r="AB77" s="1777"/>
      <c r="AC77" s="1777"/>
    </row>
    <row r="78" spans="1:29" s="1782" customFormat="1" ht="11.25" customHeight="1">
      <c r="A78" s="1779"/>
      <c r="B78" s="1884">
        <v>46137</v>
      </c>
      <c r="C78" s="1952" t="s">
        <v>1611</v>
      </c>
      <c r="D78" s="1898" t="s">
        <v>1686</v>
      </c>
      <c r="E78" s="1886">
        <v>47</v>
      </c>
      <c r="F78" s="1899" t="s">
        <v>13</v>
      </c>
      <c r="G78" s="1900" t="s">
        <v>14</v>
      </c>
      <c r="H78" s="1889"/>
      <c r="I78" s="1906"/>
      <c r="J78" s="1901"/>
      <c r="K78" s="1984">
        <v>496.59</v>
      </c>
      <c r="L78" s="1985">
        <f>'통장내역(환율표)'!$D$75</f>
        <v>6.8060000305156487</v>
      </c>
      <c r="M78" s="1983">
        <f t="shared" si="8"/>
        <v>72.963561236184191</v>
      </c>
      <c r="N78" s="1892">
        <f t="shared" si="10"/>
        <v>12735.820000001331</v>
      </c>
      <c r="O78" s="1892">
        <f t="shared" si="11"/>
        <v>1871.263727529574</v>
      </c>
      <c r="P78" s="1903"/>
      <c r="Q78" s="1894"/>
      <c r="R78" s="1894"/>
      <c r="S78" s="1871">
        <f t="shared" si="12"/>
        <v>1871.2659248111261</v>
      </c>
      <c r="T78" s="1777"/>
      <c r="U78" s="1777"/>
      <c r="V78" s="1777"/>
      <c r="W78" s="1777"/>
      <c r="X78" s="1777"/>
      <c r="Y78" s="1777"/>
      <c r="Z78" s="1777"/>
      <c r="AA78" s="1777"/>
      <c r="AB78" s="1777"/>
      <c r="AC78" s="1777"/>
    </row>
    <row r="79" spans="1:29" s="1782" customFormat="1" ht="11.25" customHeight="1">
      <c r="A79" s="1779"/>
      <c r="B79" s="1884">
        <v>46137</v>
      </c>
      <c r="C79" s="1952" t="s">
        <v>19</v>
      </c>
      <c r="D79" s="1898" t="s">
        <v>1686</v>
      </c>
      <c r="E79" s="1886">
        <v>48</v>
      </c>
      <c r="F79" s="1899" t="s">
        <v>19</v>
      </c>
      <c r="G79" s="1900" t="s">
        <v>1609</v>
      </c>
      <c r="H79" s="1889"/>
      <c r="I79" s="1906"/>
      <c r="J79" s="1901"/>
      <c r="K79" s="1984">
        <v>300</v>
      </c>
      <c r="L79" s="1985">
        <f>'통장내역(환율표)'!$D$75</f>
        <v>6.8060000305156487</v>
      </c>
      <c r="M79" s="1983">
        <f t="shared" si="8"/>
        <v>44.07875384291922</v>
      </c>
      <c r="N79" s="1892">
        <f t="shared" si="10"/>
        <v>12435.820000001331</v>
      </c>
      <c r="O79" s="1892">
        <f t="shared" si="11"/>
        <v>1827.1849736866548</v>
      </c>
      <c r="P79" s="1903"/>
      <c r="Q79" s="1894"/>
      <c r="R79" s="1894"/>
      <c r="S79" s="1871">
        <f t="shared" si="12"/>
        <v>1827.1871709682068</v>
      </c>
      <c r="T79" s="1777"/>
      <c r="U79" s="1777"/>
      <c r="V79" s="1777"/>
      <c r="W79" s="1777"/>
      <c r="X79" s="1777"/>
      <c r="Y79" s="1777"/>
      <c r="Z79" s="1777"/>
      <c r="AA79" s="1777"/>
      <c r="AB79" s="1777"/>
      <c r="AC79" s="1777"/>
    </row>
    <row r="80" spans="1:29" s="1782" customFormat="1" ht="11.25" customHeight="1">
      <c r="A80" s="1779"/>
      <c r="B80" s="1884">
        <v>46137</v>
      </c>
      <c r="C80" s="1952" t="s">
        <v>445</v>
      </c>
      <c r="D80" s="1898" t="s">
        <v>1686</v>
      </c>
      <c r="E80" s="1886">
        <v>49</v>
      </c>
      <c r="F80" s="1899" t="s">
        <v>21</v>
      </c>
      <c r="G80" s="1900"/>
      <c r="H80" s="1889"/>
      <c r="I80" s="1906"/>
      <c r="J80" s="1901"/>
      <c r="K80" s="1984">
        <v>3.6</v>
      </c>
      <c r="L80" s="1985">
        <f>'통장내역(환율표)'!$D$75</f>
        <v>6.8060000305156487</v>
      </c>
      <c r="M80" s="1983">
        <f t="shared" si="8"/>
        <v>0.52894504611503068</v>
      </c>
      <c r="N80" s="1892">
        <f t="shared" si="10"/>
        <v>12432.220000001331</v>
      </c>
      <c r="O80" s="1892">
        <f t="shared" si="11"/>
        <v>1826.6560286405397</v>
      </c>
      <c r="P80" s="1903"/>
      <c r="Q80" s="1894"/>
      <c r="R80" s="1894"/>
      <c r="S80" s="1871">
        <f t="shared" si="12"/>
        <v>1826.6582259220918</v>
      </c>
      <c r="T80" s="1777"/>
      <c r="U80" s="1777"/>
      <c r="V80" s="1777"/>
      <c r="W80" s="1777"/>
      <c r="X80" s="1777"/>
      <c r="Y80" s="1777"/>
      <c r="Z80" s="1777"/>
      <c r="AA80" s="1777"/>
      <c r="AB80" s="1777"/>
      <c r="AC80" s="1777"/>
    </row>
    <row r="81" spans="1:29" s="1782" customFormat="1" ht="11.25" customHeight="1">
      <c r="A81" s="1779"/>
      <c r="B81" s="1884">
        <v>46137</v>
      </c>
      <c r="C81" s="1952" t="s">
        <v>1406</v>
      </c>
      <c r="D81" s="1898" t="s">
        <v>1615</v>
      </c>
      <c r="E81" s="1886">
        <v>50</v>
      </c>
      <c r="F81" s="1899" t="s">
        <v>13</v>
      </c>
      <c r="G81" s="1900" t="s">
        <v>14</v>
      </c>
      <c r="H81" s="1889"/>
      <c r="I81" s="639"/>
      <c r="J81" s="639"/>
      <c r="K81" s="1984">
        <v>3385.06</v>
      </c>
      <c r="L81" s="1985">
        <f>'통장내역(환율표)'!$D$75</f>
        <v>6.8060000305156487</v>
      </c>
      <c r="M81" s="1983">
        <f t="shared" si="8"/>
        <v>497.3640882783738</v>
      </c>
      <c r="N81" s="1892">
        <f t="shared" si="10"/>
        <v>9047.1600000013314</v>
      </c>
      <c r="O81" s="1892">
        <f t="shared" si="11"/>
        <v>1329.2919403621659</v>
      </c>
      <c r="P81" s="1903"/>
      <c r="Q81" s="1894"/>
      <c r="R81" s="1894"/>
      <c r="S81" s="1871">
        <f t="shared" si="12"/>
        <v>1329.2941376437179</v>
      </c>
      <c r="T81" s="1777"/>
      <c r="U81" s="1777"/>
      <c r="V81" s="1777"/>
      <c r="W81" s="1777"/>
      <c r="X81" s="1777"/>
      <c r="Y81" s="1777"/>
      <c r="Z81" s="1777"/>
      <c r="AA81" s="1777"/>
      <c r="AB81" s="1777"/>
      <c r="AC81" s="1777"/>
    </row>
    <row r="82" spans="1:29" s="1782" customFormat="1" ht="11.25" customHeight="1">
      <c r="A82" s="1779"/>
      <c r="B82" s="1884">
        <v>46137</v>
      </c>
      <c r="C82" s="669" t="s">
        <v>1407</v>
      </c>
      <c r="D82" s="1885" t="s">
        <v>1615</v>
      </c>
      <c r="E82" s="1886">
        <v>51</v>
      </c>
      <c r="F82" s="1887" t="s">
        <v>13</v>
      </c>
      <c r="G82" s="1888" t="s">
        <v>14</v>
      </c>
      <c r="H82" s="1904"/>
      <c r="I82" s="1906"/>
      <c r="J82" s="1901"/>
      <c r="K82" s="1984">
        <v>156</v>
      </c>
      <c r="L82" s="1985">
        <f>'통장내역(환율표)'!$D$75</f>
        <v>6.8060000305156487</v>
      </c>
      <c r="M82" s="1983">
        <f t="shared" si="8"/>
        <v>22.920951998317996</v>
      </c>
      <c r="N82" s="1892">
        <f t="shared" si="10"/>
        <v>8891.1600000013314</v>
      </c>
      <c r="O82" s="1892">
        <f t="shared" si="11"/>
        <v>1306.3709883638478</v>
      </c>
      <c r="P82" s="1903"/>
      <c r="Q82" s="1894"/>
      <c r="R82" s="1894"/>
      <c r="S82" s="1871">
        <f t="shared" si="12"/>
        <v>1306.3731856453999</v>
      </c>
      <c r="T82" s="1777"/>
      <c r="U82" s="1777"/>
      <c r="V82" s="1777"/>
      <c r="W82" s="1777"/>
      <c r="X82" s="1777"/>
      <c r="Y82" s="1777"/>
      <c r="Z82" s="1777"/>
      <c r="AA82" s="1777"/>
      <c r="AB82" s="1777"/>
      <c r="AC82" s="1777"/>
    </row>
    <row r="83" spans="1:29" s="1782" customFormat="1" ht="11.25" customHeight="1">
      <c r="A83" s="1779"/>
      <c r="B83" s="1884">
        <v>46137</v>
      </c>
      <c r="C83" s="669" t="s">
        <v>1408</v>
      </c>
      <c r="D83" s="1885" t="s">
        <v>1615</v>
      </c>
      <c r="E83" s="1886">
        <v>52</v>
      </c>
      <c r="F83" s="1887" t="s">
        <v>13</v>
      </c>
      <c r="G83" s="1888" t="s">
        <v>14</v>
      </c>
      <c r="H83" s="1904"/>
      <c r="I83" s="1906"/>
      <c r="J83" s="1901"/>
      <c r="K83" s="1984">
        <v>749</v>
      </c>
      <c r="L83" s="1985">
        <f>'통장내역(환율표)'!$D$75</f>
        <v>6.8060000305156487</v>
      </c>
      <c r="M83" s="1983">
        <f t="shared" si="8"/>
        <v>110.04995542782166</v>
      </c>
      <c r="N83" s="1892">
        <f t="shared" si="10"/>
        <v>8142.1600000013314</v>
      </c>
      <c r="O83" s="1892">
        <f t="shared" si="11"/>
        <v>1196.3210329360261</v>
      </c>
      <c r="P83" s="1903"/>
      <c r="Q83" s="1894"/>
      <c r="R83" s="1894"/>
      <c r="S83" s="1871">
        <f t="shared" si="12"/>
        <v>1196.3232302175782</v>
      </c>
      <c r="T83" s="1777"/>
      <c r="U83" s="1777"/>
      <c r="V83" s="1777"/>
      <c r="W83" s="1777"/>
      <c r="X83" s="1777"/>
      <c r="Y83" s="1777"/>
      <c r="Z83" s="1777"/>
      <c r="AA83" s="1777"/>
      <c r="AB83" s="1777"/>
      <c r="AC83" s="1777"/>
    </row>
    <row r="84" spans="1:29" s="1782" customFormat="1" ht="11.25" customHeight="1">
      <c r="A84" s="1779"/>
      <c r="B84" s="1884">
        <v>46137</v>
      </c>
      <c r="C84" s="669" t="s">
        <v>445</v>
      </c>
      <c r="D84" s="1885" t="s">
        <v>1615</v>
      </c>
      <c r="E84" s="1886">
        <v>53</v>
      </c>
      <c r="F84" s="1887" t="s">
        <v>21</v>
      </c>
      <c r="G84" s="1888"/>
      <c r="H84" s="1904"/>
      <c r="I84" s="1906"/>
      <c r="J84" s="1901"/>
      <c r="K84" s="1984">
        <v>3.6</v>
      </c>
      <c r="L84" s="1985">
        <f>'통장내역(환율표)'!$D$75</f>
        <v>6.8060000305156487</v>
      </c>
      <c r="M84" s="1983">
        <f t="shared" si="8"/>
        <v>0.52894504611503068</v>
      </c>
      <c r="N84" s="1892">
        <f t="shared" si="10"/>
        <v>8138.560000001331</v>
      </c>
      <c r="O84" s="1892">
        <f t="shared" si="11"/>
        <v>1195.792087889911</v>
      </c>
      <c r="P84" s="1903"/>
      <c r="Q84" s="1894"/>
      <c r="R84" s="1894"/>
      <c r="S84" s="1871">
        <f t="shared" si="12"/>
        <v>1195.7942851714631</v>
      </c>
      <c r="T84" s="1777"/>
      <c r="U84" s="1777"/>
      <c r="V84" s="1777"/>
      <c r="W84" s="1777"/>
      <c r="X84" s="1777"/>
      <c r="Y84" s="1777"/>
      <c r="Z84" s="1777"/>
      <c r="AA84" s="1777"/>
      <c r="AB84" s="1777"/>
      <c r="AC84" s="1777"/>
    </row>
    <row r="85" spans="1:29" s="1782" customFormat="1" ht="11.25" customHeight="1">
      <c r="A85" s="1779"/>
      <c r="B85" s="1884">
        <v>46137</v>
      </c>
      <c r="C85" s="669" t="s">
        <v>1408</v>
      </c>
      <c r="D85" s="1885" t="s">
        <v>1616</v>
      </c>
      <c r="E85" s="1886">
        <v>54</v>
      </c>
      <c r="F85" s="1887" t="s">
        <v>13</v>
      </c>
      <c r="G85" s="1888" t="s">
        <v>14</v>
      </c>
      <c r="H85" s="1904"/>
      <c r="I85" s="1908"/>
      <c r="J85" s="1908"/>
      <c r="K85" s="1984">
        <v>167</v>
      </c>
      <c r="L85" s="1985">
        <f>'통장내역(환율표)'!$D$75</f>
        <v>6.8060000305156487</v>
      </c>
      <c r="M85" s="1983">
        <f t="shared" si="8"/>
        <v>24.537172972558366</v>
      </c>
      <c r="N85" s="1892">
        <f t="shared" si="10"/>
        <v>7971.560000001331</v>
      </c>
      <c r="O85" s="1892">
        <f t="shared" si="11"/>
        <v>1171.2549149173526</v>
      </c>
      <c r="P85" s="1903"/>
      <c r="Q85" s="1894"/>
      <c r="R85" s="1894"/>
      <c r="S85" s="1871">
        <f t="shared" si="12"/>
        <v>1171.2571121989047</v>
      </c>
      <c r="T85" s="1777"/>
      <c r="U85" s="1777"/>
      <c r="V85" s="1777"/>
      <c r="W85" s="1777"/>
      <c r="X85" s="1777"/>
      <c r="Y85" s="1777"/>
      <c r="Z85" s="1777"/>
      <c r="AA85" s="1777"/>
      <c r="AB85" s="1777"/>
      <c r="AC85" s="1777"/>
    </row>
    <row r="86" spans="1:29" s="1782" customFormat="1" ht="11.25" customHeight="1">
      <c r="A86" s="1779"/>
      <c r="B86" s="1884">
        <v>46137</v>
      </c>
      <c r="C86" s="669" t="s">
        <v>1406</v>
      </c>
      <c r="D86" s="1885" t="s">
        <v>1616</v>
      </c>
      <c r="E86" s="1886">
        <v>55</v>
      </c>
      <c r="F86" s="1887" t="s">
        <v>13</v>
      </c>
      <c r="G86" s="1888" t="s">
        <v>14</v>
      </c>
      <c r="H86" s="1904"/>
      <c r="I86" s="1905"/>
      <c r="J86" s="1905"/>
      <c r="K86" s="1984">
        <v>1657.97</v>
      </c>
      <c r="L86" s="1985">
        <f>'통장내역(환율표)'!$D$75</f>
        <v>6.8060000305156487</v>
      </c>
      <c r="M86" s="1983">
        <f t="shared" si="8"/>
        <v>243.60417169648261</v>
      </c>
      <c r="N86" s="1892">
        <f t="shared" si="10"/>
        <v>6313.5900000013307</v>
      </c>
      <c r="O86" s="1892">
        <f t="shared" si="11"/>
        <v>927.65074322087003</v>
      </c>
      <c r="P86" s="1903"/>
      <c r="Q86" s="1894"/>
      <c r="R86" s="1894"/>
      <c r="S86" s="1871">
        <f t="shared" si="12"/>
        <v>927.6529405024221</v>
      </c>
      <c r="T86" s="1777"/>
      <c r="U86" s="1777"/>
      <c r="V86" s="1777"/>
      <c r="W86" s="1777"/>
      <c r="X86" s="1777"/>
      <c r="Y86" s="1777"/>
      <c r="Z86" s="1777"/>
      <c r="AA86" s="1777"/>
      <c r="AB86" s="1777"/>
      <c r="AC86" s="1777"/>
    </row>
    <row r="87" spans="1:29" s="1782" customFormat="1" ht="11.25" customHeight="1">
      <c r="A87" s="1779"/>
      <c r="B87" s="1884">
        <v>46137</v>
      </c>
      <c r="C87" s="669" t="s">
        <v>1407</v>
      </c>
      <c r="D87" s="1885" t="s">
        <v>1616</v>
      </c>
      <c r="E87" s="1886">
        <v>56</v>
      </c>
      <c r="F87" s="1887" t="s">
        <v>13</v>
      </c>
      <c r="G87" s="1888" t="s">
        <v>14</v>
      </c>
      <c r="H87" s="1904"/>
      <c r="I87" s="1905"/>
      <c r="J87" s="1905"/>
      <c r="K87" s="1984">
        <v>62</v>
      </c>
      <c r="L87" s="1985">
        <f>'통장내역(환율표)'!$D$75</f>
        <v>6.8060000305156487</v>
      </c>
      <c r="M87" s="1983">
        <f t="shared" si="8"/>
        <v>9.1096091275366398</v>
      </c>
      <c r="N87" s="1892">
        <f t="shared" si="10"/>
        <v>6251.5900000013307</v>
      </c>
      <c r="O87" s="1892">
        <f t="shared" si="11"/>
        <v>918.54113409333343</v>
      </c>
      <c r="P87" s="1903"/>
      <c r="Q87" s="1894"/>
      <c r="R87" s="1894"/>
      <c r="S87" s="1871">
        <f t="shared" si="12"/>
        <v>918.5433313748855</v>
      </c>
      <c r="T87" s="1777"/>
      <c r="U87" s="1777"/>
      <c r="V87" s="1777"/>
      <c r="W87" s="1777"/>
      <c r="X87" s="1777"/>
      <c r="Y87" s="1777"/>
      <c r="Z87" s="1777"/>
      <c r="AA87" s="1777"/>
      <c r="AB87" s="1777"/>
      <c r="AC87" s="1777"/>
    </row>
    <row r="88" spans="1:29" s="1782" customFormat="1" ht="11.25" customHeight="1">
      <c r="A88" s="1779"/>
      <c r="B88" s="1884">
        <v>46137</v>
      </c>
      <c r="C88" s="669" t="s">
        <v>445</v>
      </c>
      <c r="D88" s="1885" t="s">
        <v>1616</v>
      </c>
      <c r="E88" s="1886">
        <v>57</v>
      </c>
      <c r="F88" s="1887" t="s">
        <v>21</v>
      </c>
      <c r="G88" s="1888"/>
      <c r="H88" s="1904"/>
      <c r="I88" s="1905"/>
      <c r="J88" s="1905"/>
      <c r="K88" s="1984">
        <v>3.6</v>
      </c>
      <c r="L88" s="1985">
        <f>'통장내역(환율표)'!$D$75</f>
        <v>6.8060000305156487</v>
      </c>
      <c r="M88" s="1983">
        <f t="shared" si="8"/>
        <v>0.52894504611503068</v>
      </c>
      <c r="N88" s="1892">
        <f t="shared" si="10"/>
        <v>6247.9900000013304</v>
      </c>
      <c r="O88" s="1892">
        <f t="shared" si="11"/>
        <v>918.01218904721838</v>
      </c>
      <c r="P88" s="1903"/>
      <c r="Q88" s="1894"/>
      <c r="R88" s="1894"/>
      <c r="S88" s="1871">
        <f t="shared" si="12"/>
        <v>918.01438632877046</v>
      </c>
      <c r="T88" s="1777"/>
      <c r="U88" s="1777"/>
      <c r="V88" s="1777"/>
      <c r="W88" s="1777"/>
      <c r="X88" s="1777"/>
      <c r="Y88" s="1777"/>
      <c r="Z88" s="1777"/>
      <c r="AA88" s="1777"/>
      <c r="AB88" s="1777"/>
      <c r="AC88" s="1777"/>
    </row>
    <row r="89" spans="1:29" s="1782" customFormat="1" ht="11.25" customHeight="1">
      <c r="A89" s="1779"/>
      <c r="B89" s="1884">
        <v>46137</v>
      </c>
      <c r="C89" s="669" t="s">
        <v>1406</v>
      </c>
      <c r="D89" s="1885" t="s">
        <v>1617</v>
      </c>
      <c r="E89" s="1886">
        <v>58</v>
      </c>
      <c r="F89" s="1887" t="s">
        <v>13</v>
      </c>
      <c r="G89" s="1888" t="s">
        <v>14</v>
      </c>
      <c r="H89" s="1889"/>
      <c r="I89" s="1905"/>
      <c r="J89" s="1905"/>
      <c r="K89" s="1984">
        <v>1606</v>
      </c>
      <c r="L89" s="1985">
        <f>'통장내역(환율표)'!$D$75</f>
        <v>6.8060000305156487</v>
      </c>
      <c r="M89" s="1983">
        <f t="shared" ref="M89:M96" si="13">K89/L89</f>
        <v>235.96826223909423</v>
      </c>
      <c r="N89" s="1892">
        <f t="shared" si="10"/>
        <v>4641.9900000013304</v>
      </c>
      <c r="O89" s="1892">
        <f t="shared" si="11"/>
        <v>682.04392680812418</v>
      </c>
      <c r="P89" s="1903"/>
      <c r="Q89" s="1894"/>
      <c r="R89" s="1894"/>
      <c r="S89" s="1871">
        <f t="shared" si="12"/>
        <v>682.04612408967625</v>
      </c>
      <c r="T89" s="1777"/>
      <c r="U89" s="1777"/>
      <c r="V89" s="1777"/>
      <c r="W89" s="1777"/>
      <c r="X89" s="1777"/>
      <c r="Y89" s="1777"/>
      <c r="Z89" s="1777"/>
      <c r="AA89" s="1777"/>
      <c r="AB89" s="1777"/>
      <c r="AC89" s="1777"/>
    </row>
    <row r="90" spans="1:29" s="1782" customFormat="1" ht="11.25" customHeight="1">
      <c r="A90" s="1779"/>
      <c r="B90" s="1884">
        <v>46137</v>
      </c>
      <c r="C90" s="1105" t="s">
        <v>1408</v>
      </c>
      <c r="D90" s="1885" t="s">
        <v>1617</v>
      </c>
      <c r="E90" s="1886">
        <v>59</v>
      </c>
      <c r="F90" s="1887" t="s">
        <v>13</v>
      </c>
      <c r="G90" s="1888" t="s">
        <v>14</v>
      </c>
      <c r="H90" s="1889"/>
      <c r="I90" s="1905"/>
      <c r="J90" s="1905"/>
      <c r="K90" s="1984">
        <v>215</v>
      </c>
      <c r="L90" s="1985">
        <f>'통장내역(환율표)'!$D$75</f>
        <v>6.8060000305156487</v>
      </c>
      <c r="M90" s="1983">
        <f t="shared" si="13"/>
        <v>31.589773587425444</v>
      </c>
      <c r="N90" s="1892">
        <f t="shared" si="10"/>
        <v>4426.9900000013304</v>
      </c>
      <c r="O90" s="1892">
        <f t="shared" si="11"/>
        <v>650.45415322069869</v>
      </c>
      <c r="P90" s="1903"/>
      <c r="Q90" s="1894"/>
      <c r="R90" s="1894"/>
      <c r="S90" s="1871">
        <f t="shared" si="12"/>
        <v>650.45635050225076</v>
      </c>
      <c r="T90" s="1777"/>
      <c r="U90" s="1777"/>
      <c r="V90" s="1777"/>
      <c r="W90" s="1777"/>
      <c r="X90" s="1777"/>
      <c r="Y90" s="1777"/>
      <c r="Z90" s="1777"/>
      <c r="AA90" s="1777"/>
      <c r="AB90" s="1777"/>
      <c r="AC90" s="1777"/>
    </row>
    <row r="91" spans="1:29" s="1782" customFormat="1" ht="11.25" customHeight="1">
      <c r="A91" s="1779"/>
      <c r="B91" s="1884">
        <v>46137</v>
      </c>
      <c r="C91" s="669" t="s">
        <v>1407</v>
      </c>
      <c r="D91" s="1885" t="s">
        <v>1617</v>
      </c>
      <c r="E91" s="1886">
        <v>60</v>
      </c>
      <c r="F91" s="1887" t="s">
        <v>13</v>
      </c>
      <c r="G91" s="1888" t="s">
        <v>14</v>
      </c>
      <c r="H91" s="1889"/>
      <c r="I91" s="1905"/>
      <c r="J91" s="1905"/>
      <c r="K91" s="1984">
        <v>69</v>
      </c>
      <c r="L91" s="1985">
        <f>'통장내역(환율표)'!$D$75</f>
        <v>6.8060000305156487</v>
      </c>
      <c r="M91" s="1983">
        <f t="shared" si="13"/>
        <v>10.138113383871421</v>
      </c>
      <c r="N91" s="1892">
        <f t="shared" si="10"/>
        <v>4357.9900000013304</v>
      </c>
      <c r="O91" s="1892">
        <f t="shared" si="11"/>
        <v>640.31603983682726</v>
      </c>
      <c r="P91" s="1903"/>
      <c r="Q91" s="1894"/>
      <c r="R91" s="1894"/>
      <c r="S91" s="1871">
        <f t="shared" si="12"/>
        <v>640.31823711837933</v>
      </c>
      <c r="T91" s="1777"/>
      <c r="U91" s="1777"/>
      <c r="V91" s="1777"/>
      <c r="W91" s="1777"/>
      <c r="X91" s="1777"/>
      <c r="Y91" s="1777"/>
      <c r="Z91" s="1777"/>
      <c r="AA91" s="1777"/>
      <c r="AB91" s="1777"/>
      <c r="AC91" s="1777"/>
    </row>
    <row r="92" spans="1:29" s="1782" customFormat="1" ht="11.25" customHeight="1">
      <c r="A92" s="1779"/>
      <c r="B92" s="1884">
        <v>46137</v>
      </c>
      <c r="C92" s="669" t="s">
        <v>445</v>
      </c>
      <c r="D92" s="1885" t="s">
        <v>1617</v>
      </c>
      <c r="E92" s="1886">
        <v>61</v>
      </c>
      <c r="F92" s="1887" t="s">
        <v>21</v>
      </c>
      <c r="G92" s="1888"/>
      <c r="H92" s="1889"/>
      <c r="I92" s="1902"/>
      <c r="J92" s="1889"/>
      <c r="K92" s="1984">
        <v>3.6</v>
      </c>
      <c r="L92" s="1985">
        <f>'통장내역(환율표)'!$D$75</f>
        <v>6.8060000305156487</v>
      </c>
      <c r="M92" s="1983">
        <f t="shared" si="13"/>
        <v>0.52894504611503068</v>
      </c>
      <c r="N92" s="1892">
        <f t="shared" si="10"/>
        <v>4354.39000000133</v>
      </c>
      <c r="O92" s="1892">
        <f t="shared" si="11"/>
        <v>639.78709479071222</v>
      </c>
      <c r="P92" s="1903"/>
      <c r="Q92" s="1894"/>
      <c r="R92" s="1894"/>
      <c r="S92" s="1871">
        <f t="shared" si="12"/>
        <v>639.78929207226429</v>
      </c>
      <c r="T92" s="1777"/>
      <c r="U92" s="1777"/>
      <c r="V92" s="1777"/>
      <c r="W92" s="1777"/>
      <c r="X92" s="1777"/>
      <c r="Y92" s="1777"/>
      <c r="Z92" s="1777"/>
      <c r="AA92" s="1777"/>
      <c r="AB92" s="1777"/>
      <c r="AC92" s="1777"/>
    </row>
    <row r="93" spans="1:29" s="1782" customFormat="1" ht="11.25" customHeight="1">
      <c r="A93" s="1779"/>
      <c r="B93" s="1884">
        <v>46137</v>
      </c>
      <c r="C93" s="669" t="s">
        <v>11</v>
      </c>
      <c r="D93" s="1885" t="s">
        <v>1454</v>
      </c>
      <c r="E93" s="1886">
        <v>62</v>
      </c>
      <c r="F93" s="1887" t="s">
        <v>11</v>
      </c>
      <c r="G93" s="1888" t="s">
        <v>12</v>
      </c>
      <c r="H93" s="1889"/>
      <c r="I93" s="1902"/>
      <c r="J93" s="1889"/>
      <c r="K93" s="1984">
        <v>2895</v>
      </c>
      <c r="L93" s="1985">
        <f>'통장내역(환율표)'!$D$75</f>
        <v>6.8060000305156487</v>
      </c>
      <c r="M93" s="1983">
        <f t="shared" si="13"/>
        <v>425.35997458417052</v>
      </c>
      <c r="N93" s="1892">
        <f t="shared" ref="N93:N96" si="14">N92+H93-K93</f>
        <v>1459.39000000133</v>
      </c>
      <c r="O93" s="1892">
        <f t="shared" ref="O93:O96" si="15">O92+J93-M93</f>
        <v>214.4271202065417</v>
      </c>
      <c r="P93" s="1903"/>
      <c r="Q93" s="1894"/>
      <c r="R93" s="1894"/>
      <c r="S93" s="1871">
        <f t="shared" si="12"/>
        <v>214.42931748809377</v>
      </c>
      <c r="T93" s="1777"/>
      <c r="U93" s="1777"/>
      <c r="V93" s="1777"/>
      <c r="W93" s="1777"/>
      <c r="X93" s="1777"/>
      <c r="Y93" s="1777"/>
      <c r="Z93" s="1777"/>
      <c r="AA93" s="1777"/>
      <c r="AB93" s="1777"/>
      <c r="AC93" s="1777"/>
    </row>
    <row r="94" spans="1:29" s="1782" customFormat="1" ht="11.25" customHeight="1">
      <c r="A94" s="1779"/>
      <c r="B94" s="1884">
        <v>46137</v>
      </c>
      <c r="C94" s="1105" t="s">
        <v>1611</v>
      </c>
      <c r="D94" s="1885" t="s">
        <v>1454</v>
      </c>
      <c r="E94" s="1886">
        <v>63</v>
      </c>
      <c r="F94" s="1887" t="s">
        <v>13</v>
      </c>
      <c r="G94" s="1888" t="s">
        <v>14</v>
      </c>
      <c r="H94" s="1889"/>
      <c r="I94" s="1902"/>
      <c r="J94" s="1889"/>
      <c r="K94" s="1984">
        <v>110</v>
      </c>
      <c r="L94" s="1985">
        <f>'통장내역(환율표)'!$D$75</f>
        <v>6.8060000305156487</v>
      </c>
      <c r="M94" s="1983">
        <f t="shared" si="13"/>
        <v>16.162209742403714</v>
      </c>
      <c r="N94" s="1892">
        <f t="shared" si="14"/>
        <v>1349.39000000133</v>
      </c>
      <c r="O94" s="1892">
        <f t="shared" si="15"/>
        <v>198.26491046413798</v>
      </c>
      <c r="P94" s="1903"/>
      <c r="Q94" s="1894"/>
      <c r="R94" s="1894"/>
      <c r="S94" s="1871">
        <f t="shared" si="12"/>
        <v>198.26710774569005</v>
      </c>
      <c r="T94" s="1777"/>
      <c r="U94" s="1777"/>
      <c r="V94" s="1777"/>
      <c r="W94" s="1777"/>
      <c r="X94" s="1777"/>
      <c r="Y94" s="1777"/>
      <c r="Z94" s="1777"/>
      <c r="AA94" s="1777"/>
      <c r="AB94" s="1777"/>
      <c r="AC94" s="1777"/>
    </row>
    <row r="95" spans="1:29" s="1782" customFormat="1" ht="11.25" customHeight="1">
      <c r="A95" s="1779"/>
      <c r="B95" s="1884">
        <v>46137</v>
      </c>
      <c r="C95" s="669" t="s">
        <v>19</v>
      </c>
      <c r="D95" s="1885" t="s">
        <v>1454</v>
      </c>
      <c r="E95" s="1886">
        <v>64</v>
      </c>
      <c r="F95" s="1887" t="s">
        <v>19</v>
      </c>
      <c r="G95" s="1888" t="s">
        <v>1609</v>
      </c>
      <c r="H95" s="1889"/>
      <c r="I95" s="1902"/>
      <c r="J95" s="1889"/>
      <c r="K95" s="1984">
        <v>300</v>
      </c>
      <c r="L95" s="1985">
        <f>'통장내역(환율표)'!$D$75</f>
        <v>6.8060000305156487</v>
      </c>
      <c r="M95" s="1983">
        <f t="shared" si="13"/>
        <v>44.07875384291922</v>
      </c>
      <c r="N95" s="1892">
        <f t="shared" si="14"/>
        <v>1049.39000000133</v>
      </c>
      <c r="O95" s="1892">
        <f t="shared" si="15"/>
        <v>154.18615662121877</v>
      </c>
      <c r="P95" s="1903"/>
      <c r="Q95" s="1894"/>
      <c r="R95" s="1894"/>
      <c r="S95" s="1871">
        <f t="shared" ref="S95:S96" si="16">S94-M95</f>
        <v>154.18835390277084</v>
      </c>
      <c r="T95" s="1777"/>
      <c r="U95" s="1777"/>
      <c r="V95" s="1777"/>
      <c r="W95" s="1777"/>
      <c r="X95" s="1777"/>
      <c r="Y95" s="1777"/>
      <c r="Z95" s="1777"/>
      <c r="AA95" s="1777"/>
      <c r="AB95" s="1777"/>
      <c r="AC95" s="1777"/>
    </row>
    <row r="96" spans="1:29" s="1782" customFormat="1" ht="11.25" customHeight="1">
      <c r="A96" s="1779"/>
      <c r="B96" s="1884">
        <v>46137</v>
      </c>
      <c r="C96" s="669" t="s">
        <v>445</v>
      </c>
      <c r="D96" s="1885" t="s">
        <v>1454</v>
      </c>
      <c r="E96" s="1886">
        <v>65</v>
      </c>
      <c r="F96" s="1887" t="s">
        <v>21</v>
      </c>
      <c r="G96" s="1888"/>
      <c r="H96" s="1889"/>
      <c r="I96" s="1902"/>
      <c r="J96" s="1889"/>
      <c r="K96" s="1984">
        <v>3.6</v>
      </c>
      <c r="L96" s="1985">
        <f>'통장내역(환율표)'!$D$75</f>
        <v>6.8060000305156487</v>
      </c>
      <c r="M96" s="1983">
        <f t="shared" si="13"/>
        <v>0.52894504611503068</v>
      </c>
      <c r="N96" s="1892">
        <f t="shared" si="14"/>
        <v>1045.7900000013301</v>
      </c>
      <c r="O96" s="1892">
        <f t="shared" si="15"/>
        <v>153.65721157510373</v>
      </c>
      <c r="P96" s="1903"/>
      <c r="Q96" s="1894"/>
      <c r="R96" s="1894"/>
      <c r="S96" s="1871">
        <f t="shared" si="16"/>
        <v>153.6594088566558</v>
      </c>
      <c r="T96" s="1777"/>
      <c r="U96" s="1777"/>
      <c r="V96" s="1777"/>
      <c r="W96" s="1777"/>
      <c r="X96" s="1777"/>
      <c r="Y96" s="1777"/>
      <c r="Z96" s="1777"/>
      <c r="AA96" s="1777"/>
      <c r="AB96" s="1777"/>
      <c r="AC96" s="1777"/>
    </row>
    <row r="97" spans="8:15" ht="11.25" customHeight="1">
      <c r="H97" s="1919"/>
      <c r="I97" s="1919"/>
      <c r="J97" s="1920"/>
      <c r="K97" s="1921"/>
      <c r="L97" s="1919"/>
      <c r="M97" s="1919"/>
      <c r="N97" s="1919"/>
      <c r="O97" s="1919"/>
    </row>
    <row r="98" spans="8:15" ht="11.25" customHeight="1">
      <c r="K98" s="1921"/>
    </row>
    <row r="99" spans="8:15" ht="11.25" customHeight="1">
      <c r="K99" s="1921"/>
    </row>
    <row r="100" spans="8:15" ht="11.25" customHeight="1">
      <c r="K100" s="1921"/>
    </row>
    <row r="101" spans="8:15" ht="11.25" customHeight="1">
      <c r="K101" s="1921"/>
    </row>
    <row r="102" spans="8:15" ht="11.25" customHeight="1">
      <c r="K102" s="1921"/>
    </row>
    <row r="103" spans="8:15" ht="11.25" customHeight="1">
      <c r="K103" s="1921"/>
    </row>
    <row r="104" spans="8:15" ht="11.25" customHeight="1">
      <c r="K104" s="1921"/>
    </row>
    <row r="105" spans="8:15" ht="11.25" customHeight="1">
      <c r="K105" s="1921"/>
    </row>
    <row r="106" spans="8:15" ht="11.25" customHeight="1">
      <c r="K106" s="1921"/>
    </row>
    <row r="107" spans="8:15" ht="11.25" customHeight="1">
      <c r="K107" s="1921"/>
    </row>
    <row r="108" spans="8:15" ht="11.25" customHeight="1">
      <c r="K108" s="1921"/>
    </row>
  </sheetData>
  <autoFilter ref="B20:R96" xr:uid="{00000000-0009-0000-0000-000001000000}">
    <filterColumn colId="14" showButton="0"/>
    <sortState xmlns:xlrd2="http://schemas.microsoft.com/office/spreadsheetml/2017/richdata2" ref="B21:R96">
      <sortCondition sortBy="cellColor" ref="M20:M96" dxfId="1"/>
    </sortState>
  </autoFilter>
  <mergeCells count="5">
    <mergeCell ref="H19:J19"/>
    <mergeCell ref="K19:M19"/>
    <mergeCell ref="N19:O19"/>
    <mergeCell ref="P19:Q19"/>
    <mergeCell ref="P20:Q20"/>
  </mergeCells>
  <phoneticPr fontId="3" type="noConversion"/>
  <pageMargins left="0.7" right="0.7" top="0.75" bottom="0.75" header="0.3" footer="0.3"/>
  <pageSetup paperSize="256" orientation="portrait" r:id="rId1"/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1321-FA3C-495A-A4FE-65D27AD3434F}">
  <sheetPr>
    <tabColor rgb="FFFFC000"/>
  </sheetPr>
  <dimension ref="A1:BC107"/>
  <sheetViews>
    <sheetView showGridLines="0" tabSelected="1" zoomScale="85" zoomScaleNormal="85" workbookViewId="0">
      <pane ySplit="21" topLeftCell="A22" activePane="bottomLeft" state="frozen"/>
      <selection pane="bottomLeft" activeCell="F102" sqref="F102"/>
    </sheetView>
  </sheetViews>
  <sheetFormatPr defaultColWidth="9" defaultRowHeight="11.25" customHeight="1"/>
  <cols>
    <col min="1" max="1" width="1.69921875" style="1779" customWidth="1"/>
    <col min="2" max="2" width="9.69921875" style="1832" customWidth="1"/>
    <col min="3" max="3" width="24" style="1781" customWidth="1"/>
    <col min="4" max="4" width="15.69921875" style="1777" customWidth="1"/>
    <col min="5" max="5" width="12.59765625" style="1777" bestFit="1" customWidth="1"/>
    <col min="6" max="6" width="15.09765625" style="1777" customWidth="1"/>
    <col min="7" max="7" width="9.796875" style="1782" customWidth="1"/>
    <col min="8" max="8" width="9.69921875" style="1777" customWidth="1"/>
    <col min="9" max="9" width="13.19921875" style="1777" bestFit="1" customWidth="1"/>
    <col min="10" max="10" width="10.5" style="1782" customWidth="1"/>
    <col min="11" max="11" width="11" style="1830" customWidth="1"/>
    <col min="12" max="12" width="13.296875" style="1777" customWidth="1"/>
    <col min="13" max="13" width="13" style="1777" bestFit="1" customWidth="1"/>
    <col min="14" max="14" width="15.09765625" style="1777" customWidth="1"/>
    <col min="15" max="15" width="13.19921875" style="1777" bestFit="1" customWidth="1"/>
    <col min="16" max="16" width="11.69921875" style="1777" customWidth="1"/>
    <col min="17" max="17" width="9.59765625" style="1777" customWidth="1"/>
    <col min="18" max="18" width="16" style="1782" customWidth="1"/>
    <col min="19" max="19" width="13.59765625" style="1787" bestFit="1" customWidth="1"/>
    <col min="20" max="20" width="12.5" style="1777" bestFit="1" customWidth="1"/>
    <col min="21" max="21" width="16.19921875" style="1778" bestFit="1" customWidth="1"/>
    <col min="22" max="22" width="11.796875" style="1777" hidden="1" customWidth="1"/>
    <col min="23" max="23" width="0" style="1777" hidden="1" customWidth="1"/>
    <col min="24" max="24" width="10.69921875" style="1777" hidden="1" customWidth="1"/>
    <col min="25" max="25" width="10.69921875" style="1777" customWidth="1"/>
    <col min="26" max="27" width="9" style="1777"/>
    <col min="28" max="28" width="13.09765625" style="1777" bestFit="1" customWidth="1"/>
    <col min="29" max="29" width="10.59765625" style="1777" bestFit="1" customWidth="1"/>
    <col min="30" max="16384" width="9" style="1777"/>
  </cols>
  <sheetData>
    <row r="1" spans="1:55" ht="1.5" customHeight="1">
      <c r="A1" s="1764"/>
      <c r="B1" s="1765"/>
      <c r="C1" s="1766"/>
      <c r="D1" s="1767"/>
      <c r="E1" s="1768"/>
      <c r="F1" s="1768"/>
      <c r="G1" s="1769"/>
      <c r="H1" s="1774"/>
      <c r="I1" s="1774"/>
      <c r="J1" s="1775"/>
      <c r="K1" s="1776"/>
      <c r="M1" s="1778"/>
      <c r="R1" s="1777"/>
      <c r="S1" s="1777"/>
      <c r="U1" s="1777"/>
    </row>
    <row r="2" spans="1:55" ht="15" customHeight="1">
      <c r="B2" s="1780" t="s">
        <v>1694</v>
      </c>
      <c r="D2" s="1781"/>
      <c r="F2" s="139">
        <v>100000301</v>
      </c>
      <c r="G2" s="1782" t="s">
        <v>1047</v>
      </c>
      <c r="K2" s="1787">
        <v>6696.99</v>
      </c>
      <c r="R2" s="1777"/>
      <c r="S2" s="1777"/>
      <c r="U2" s="1777"/>
    </row>
    <row r="3" spans="1:55" s="1792" customFormat="1" ht="11.25" customHeight="1">
      <c r="A3" s="1788"/>
      <c r="B3" s="1789" t="s">
        <v>1703</v>
      </c>
      <c r="C3" s="1790"/>
      <c r="D3" s="1790"/>
      <c r="E3" s="1790"/>
      <c r="F3" s="1791">
        <v>1479.8</v>
      </c>
      <c r="H3" s="1789" t="s">
        <v>1704</v>
      </c>
      <c r="I3" s="1790"/>
      <c r="K3" s="1933"/>
      <c r="L3" s="1791">
        <v>1473.1</v>
      </c>
      <c r="M3" s="1953"/>
      <c r="N3" s="1789" t="s">
        <v>1705</v>
      </c>
      <c r="O3" s="1790"/>
      <c r="Q3" s="1933"/>
      <c r="R3" s="1791">
        <v>1484.3</v>
      </c>
      <c r="S3" s="1793"/>
      <c r="T3" s="1793"/>
      <c r="Y3" s="2018"/>
      <c r="Z3" s="2018"/>
      <c r="AA3" s="2018"/>
      <c r="AB3" s="2018"/>
      <c r="AC3" s="2018"/>
      <c r="AD3" s="2018"/>
      <c r="AE3" s="2018"/>
      <c r="AF3" s="2018"/>
      <c r="AG3" s="2018"/>
      <c r="AH3" s="2018"/>
      <c r="AI3" s="2018"/>
      <c r="AJ3" s="2018"/>
      <c r="AK3" s="2018"/>
      <c r="AL3" s="2018"/>
      <c r="AM3" s="2018"/>
      <c r="AN3" s="2018"/>
      <c r="AO3" s="2018"/>
      <c r="AP3" s="2018"/>
      <c r="AQ3" s="2018"/>
      <c r="AR3" s="2018"/>
      <c r="AS3" s="2018"/>
      <c r="AT3" s="2018"/>
      <c r="AU3" s="2018"/>
      <c r="AV3" s="2018"/>
      <c r="AW3" s="2018"/>
      <c r="AX3" s="2018"/>
      <c r="AY3" s="2018"/>
      <c r="AZ3" s="2018"/>
      <c r="BA3" s="2018"/>
      <c r="BB3" s="2018"/>
      <c r="BC3" s="2018"/>
    </row>
    <row r="4" spans="1:55" ht="11.25" customHeight="1">
      <c r="A4" s="1764"/>
      <c r="B4" s="1796" t="s">
        <v>1</v>
      </c>
      <c r="C4" s="1797" t="s">
        <v>2</v>
      </c>
      <c r="D4" s="1798" t="s">
        <v>1049</v>
      </c>
      <c r="E4" s="1799" t="s">
        <v>1050</v>
      </c>
      <c r="F4" s="1800" t="s">
        <v>1051</v>
      </c>
      <c r="G4" s="1976"/>
      <c r="H4" s="1796" t="s">
        <v>1</v>
      </c>
      <c r="I4" s="1797" t="s">
        <v>2</v>
      </c>
      <c r="J4" s="1798" t="s">
        <v>1049</v>
      </c>
      <c r="K4" s="1799" t="s">
        <v>1050</v>
      </c>
      <c r="L4" s="1800" t="s">
        <v>1693</v>
      </c>
      <c r="M4" s="1953"/>
      <c r="N4" s="1796" t="s">
        <v>1</v>
      </c>
      <c r="O4" s="1797" t="s">
        <v>2</v>
      </c>
      <c r="P4" s="1798" t="s">
        <v>1049</v>
      </c>
      <c r="Q4" s="1799" t="s">
        <v>1050</v>
      </c>
      <c r="R4" s="1800" t="s">
        <v>1693</v>
      </c>
      <c r="S4" s="1800" t="s">
        <v>31</v>
      </c>
      <c r="T4" s="1800" t="s">
        <v>1701</v>
      </c>
      <c r="U4" s="1800" t="s">
        <v>1702</v>
      </c>
      <c r="V4" s="1777" t="s">
        <v>1266</v>
      </c>
      <c r="W4" s="1777" t="s">
        <v>1267</v>
      </c>
      <c r="X4" s="1777" t="s">
        <v>1672</v>
      </c>
      <c r="Y4" s="1987"/>
      <c r="Z4" s="1987"/>
      <c r="AA4" s="1987"/>
      <c r="AB4" s="1987"/>
      <c r="AC4" s="1987"/>
      <c r="AD4" s="1987"/>
      <c r="AE4" s="1987"/>
      <c r="AF4" s="1987"/>
      <c r="AG4" s="1987"/>
      <c r="AH4" s="1987"/>
      <c r="AI4" s="1987"/>
      <c r="AJ4" s="1987"/>
      <c r="AK4" s="1987"/>
      <c r="AL4" s="1987"/>
      <c r="AM4" s="1987"/>
      <c r="AN4" s="1987"/>
      <c r="AO4" s="1987"/>
      <c r="AP4" s="1987"/>
      <c r="AQ4" s="1987"/>
      <c r="AR4" s="1987"/>
      <c r="AS4" s="1987"/>
      <c r="AT4" s="1987"/>
      <c r="AU4" s="1987"/>
      <c r="AV4" s="1987"/>
      <c r="AW4" s="1987"/>
      <c r="AX4" s="1987"/>
      <c r="AY4" s="1987"/>
      <c r="AZ4" s="1987"/>
      <c r="BA4" s="1987"/>
      <c r="BB4" s="1987"/>
      <c r="BC4" s="1987"/>
    </row>
    <row r="5" spans="1:55" ht="11.25" customHeight="1">
      <c r="A5" s="1787">
        <v>51131050</v>
      </c>
      <c r="B5" s="1801" t="s">
        <v>1052</v>
      </c>
      <c r="C5" s="1802" t="s">
        <v>12</v>
      </c>
      <c r="D5" s="1803"/>
      <c r="E5" s="1804"/>
      <c r="F5" s="1805">
        <f>ROUND(E5*$F$3,0)</f>
        <v>0</v>
      </c>
      <c r="G5" s="1977">
        <v>51131050</v>
      </c>
      <c r="H5" s="1806" t="s">
        <v>11</v>
      </c>
      <c r="I5" s="1806" t="s">
        <v>12</v>
      </c>
      <c r="J5" s="1803"/>
      <c r="K5" s="1938"/>
      <c r="L5" s="1805">
        <f>ROUND(K5*$L$3,0)</f>
        <v>0</v>
      </c>
      <c r="M5" s="1977">
        <v>51131050</v>
      </c>
      <c r="N5" s="1806" t="s">
        <v>11</v>
      </c>
      <c r="O5" s="1806" t="s">
        <v>12</v>
      </c>
      <c r="P5" s="1803">
        <v>7981.66</v>
      </c>
      <c r="Q5" s="1938">
        <v>1173.8399999999999</v>
      </c>
      <c r="R5" s="1805">
        <f>ROUND(Q5*$R$3,0)</f>
        <v>1742331</v>
      </c>
      <c r="S5" s="1805">
        <v>1729226</v>
      </c>
      <c r="T5" s="1805">
        <f>R5</f>
        <v>1742331</v>
      </c>
      <c r="U5" s="2013">
        <f>S5-T5</f>
        <v>-13105</v>
      </c>
      <c r="V5" s="1803">
        <f>+D5+J5+P5</f>
        <v>7981.66</v>
      </c>
      <c r="W5" s="1938">
        <f t="shared" ref="V5:X13" si="0">+E5+K5+Q5</f>
        <v>1173.8399999999999</v>
      </c>
      <c r="X5" s="1807">
        <f t="shared" si="0"/>
        <v>1742331</v>
      </c>
      <c r="Y5" s="1987"/>
      <c r="Z5" s="1987"/>
      <c r="AA5" s="1987"/>
      <c r="AB5" s="1987"/>
      <c r="AC5" s="1987"/>
      <c r="AD5" s="1987"/>
      <c r="AE5" s="1987"/>
      <c r="AF5" s="1987"/>
      <c r="AG5" s="1987"/>
      <c r="AH5" s="1987"/>
      <c r="AI5" s="1987"/>
      <c r="AJ5" s="1987"/>
      <c r="AK5" s="1987"/>
      <c r="AL5" s="1987"/>
      <c r="AM5" s="1987"/>
      <c r="AN5" s="1987"/>
      <c r="AO5" s="1987"/>
      <c r="AP5" s="1987"/>
      <c r="AQ5" s="1987"/>
      <c r="AR5" s="1987"/>
      <c r="AS5" s="1987"/>
      <c r="AT5" s="1987"/>
      <c r="AU5" s="1987"/>
      <c r="AV5" s="1987"/>
      <c r="AW5" s="1987"/>
      <c r="AX5" s="1987"/>
      <c r="AY5" s="1987"/>
      <c r="AZ5" s="1987"/>
      <c r="BA5" s="1987"/>
      <c r="BB5" s="1987"/>
      <c r="BC5" s="1987"/>
    </row>
    <row r="6" spans="1:55" ht="11.25" customHeight="1">
      <c r="A6" s="1787">
        <v>51061030</v>
      </c>
      <c r="B6" s="1801" t="s">
        <v>1053</v>
      </c>
      <c r="C6" s="1802" t="s">
        <v>1054</v>
      </c>
      <c r="D6" s="1803">
        <v>1045.81</v>
      </c>
      <c r="E6" s="1803">
        <v>153.66</v>
      </c>
      <c r="F6" s="1805">
        <f t="shared" ref="F6:F10" si="1">ROUND(E6*$F$3,0)</f>
        <v>227386</v>
      </c>
      <c r="G6" s="1977">
        <v>51061030</v>
      </c>
      <c r="H6" s="1806" t="s">
        <v>13</v>
      </c>
      <c r="I6" s="1806" t="s">
        <v>14</v>
      </c>
      <c r="J6" s="1803">
        <v>18389.099999999999</v>
      </c>
      <c r="K6" s="1938">
        <v>2703.29</v>
      </c>
      <c r="L6" s="1805">
        <f t="shared" ref="L6:L13" si="2">ROUND(K6*$L$3,0)</f>
        <v>3982216</v>
      </c>
      <c r="M6" s="1977">
        <v>51061030</v>
      </c>
      <c r="N6" s="1806" t="s">
        <v>13</v>
      </c>
      <c r="O6" s="1806" t="s">
        <v>14</v>
      </c>
      <c r="P6" s="1803">
        <v>42367.51</v>
      </c>
      <c r="Q6" s="1938">
        <v>6230.88</v>
      </c>
      <c r="R6" s="1805">
        <f t="shared" ref="R6:R10" si="3">ROUND(Q6*$R$3,0)</f>
        <v>9248495</v>
      </c>
      <c r="S6" s="1805">
        <v>9178808</v>
      </c>
      <c r="T6" s="1805">
        <f t="shared" ref="T6:T10" si="4">R6</f>
        <v>9248495</v>
      </c>
      <c r="U6" s="2013">
        <f t="shared" ref="U6:U8" si="5">S6-T6</f>
        <v>-69687</v>
      </c>
      <c r="V6" s="1803">
        <f t="shared" si="0"/>
        <v>61802.42</v>
      </c>
      <c r="W6" s="1938">
        <f t="shared" si="0"/>
        <v>9087.83</v>
      </c>
      <c r="X6" s="1807">
        <f t="shared" si="0"/>
        <v>13458097</v>
      </c>
      <c r="Y6" s="1987"/>
      <c r="Z6" s="1987"/>
      <c r="AA6" s="1987"/>
      <c r="AB6" s="1987"/>
      <c r="AC6" s="1987"/>
      <c r="AD6" s="1987"/>
      <c r="AE6" s="1987"/>
      <c r="AF6" s="1987"/>
      <c r="AG6" s="1987"/>
      <c r="AH6" s="1987"/>
      <c r="AI6" s="1987"/>
      <c r="AJ6" s="1987"/>
      <c r="AK6" s="1987"/>
      <c r="AL6" s="1987"/>
      <c r="AM6" s="1987"/>
      <c r="AN6" s="1987"/>
      <c r="AO6" s="1987"/>
      <c r="AP6" s="1987"/>
      <c r="AQ6" s="1987"/>
      <c r="AR6" s="1987"/>
      <c r="AS6" s="1987"/>
      <c r="AT6" s="1987"/>
      <c r="AU6" s="1987"/>
      <c r="AV6" s="1987"/>
      <c r="AW6" s="1987"/>
      <c r="AX6" s="1987"/>
      <c r="AY6" s="1987"/>
      <c r="AZ6" s="1987"/>
      <c r="BA6" s="1987"/>
      <c r="BB6" s="1987"/>
      <c r="BC6" s="1987"/>
    </row>
    <row r="7" spans="1:55" ht="11.25" customHeight="1">
      <c r="A7" s="1787">
        <v>51201020</v>
      </c>
      <c r="B7" s="1801" t="s">
        <v>15</v>
      </c>
      <c r="C7" s="1802" t="s">
        <v>180</v>
      </c>
      <c r="D7" s="1803"/>
      <c r="E7" s="1803"/>
      <c r="F7" s="1805">
        <f t="shared" si="1"/>
        <v>0</v>
      </c>
      <c r="G7" s="1977">
        <v>51201020</v>
      </c>
      <c r="H7" s="1806" t="s">
        <v>15</v>
      </c>
      <c r="I7" s="1806" t="s">
        <v>1055</v>
      </c>
      <c r="J7" s="1810">
        <v>16620.509999999998</v>
      </c>
      <c r="K7" s="1938">
        <v>2443.29</v>
      </c>
      <c r="L7" s="1805">
        <f t="shared" si="2"/>
        <v>3599210</v>
      </c>
      <c r="M7" s="1977">
        <v>51201020</v>
      </c>
      <c r="N7" s="1806" t="s">
        <v>15</v>
      </c>
      <c r="O7" s="1806" t="s">
        <v>1055</v>
      </c>
      <c r="P7" s="1810">
        <v>3379.49</v>
      </c>
      <c r="Q7" s="1938">
        <v>497.01</v>
      </c>
      <c r="R7" s="1805">
        <f t="shared" si="3"/>
        <v>737712</v>
      </c>
      <c r="S7" s="1805">
        <v>8764243</v>
      </c>
      <c r="T7" s="1805">
        <f t="shared" si="4"/>
        <v>737712</v>
      </c>
      <c r="U7" s="1805"/>
      <c r="V7" s="1803">
        <f t="shared" si="0"/>
        <v>20000</v>
      </c>
      <c r="W7" s="1938">
        <f t="shared" si="0"/>
        <v>2940.3</v>
      </c>
      <c r="X7" s="1807">
        <f t="shared" si="0"/>
        <v>4336922</v>
      </c>
      <c r="Y7" s="1987"/>
      <c r="Z7" s="1987"/>
      <c r="AA7" s="1987"/>
      <c r="AB7" s="1987"/>
      <c r="AC7" s="1987"/>
      <c r="AD7" s="1987"/>
      <c r="AE7" s="1987"/>
      <c r="AF7" s="1987"/>
      <c r="AG7" s="1987"/>
      <c r="AH7" s="1987"/>
      <c r="AI7" s="1987"/>
      <c r="AJ7" s="1987"/>
      <c r="AK7" s="1987"/>
      <c r="AL7" s="1987"/>
      <c r="AM7" s="1987"/>
      <c r="AN7" s="1987"/>
      <c r="AO7" s="1987"/>
      <c r="AP7" s="1987"/>
      <c r="AQ7" s="1987"/>
      <c r="AR7" s="1987"/>
      <c r="AS7" s="1987"/>
      <c r="AT7" s="1987"/>
      <c r="AU7" s="1987"/>
      <c r="AV7" s="1987"/>
      <c r="AW7" s="1987"/>
      <c r="AX7" s="1987"/>
      <c r="AY7" s="1987"/>
      <c r="AZ7" s="1987"/>
      <c r="BA7" s="1987"/>
      <c r="BB7" s="1987"/>
      <c r="BC7" s="1987"/>
    </row>
    <row r="8" spans="1:55" ht="13.05" customHeight="1">
      <c r="A8" s="1787">
        <v>51201030</v>
      </c>
      <c r="B8" s="1801" t="s">
        <v>1056</v>
      </c>
      <c r="C8" s="1802" t="s">
        <v>17</v>
      </c>
      <c r="D8" s="1803"/>
      <c r="E8" s="1803"/>
      <c r="F8" s="1805">
        <f t="shared" si="1"/>
        <v>0</v>
      </c>
      <c r="G8" s="1977">
        <v>51201030</v>
      </c>
      <c r="H8" s="1806" t="s">
        <v>15</v>
      </c>
      <c r="I8" s="1802" t="s">
        <v>17</v>
      </c>
      <c r="J8" s="1810"/>
      <c r="K8" s="1938"/>
      <c r="L8" s="1805">
        <f t="shared" si="2"/>
        <v>0</v>
      </c>
      <c r="M8" s="1977">
        <v>51201030</v>
      </c>
      <c r="N8" s="1806" t="s">
        <v>15</v>
      </c>
      <c r="O8" s="1802" t="s">
        <v>17</v>
      </c>
      <c r="P8" s="1810">
        <v>20000</v>
      </c>
      <c r="Q8" s="1938">
        <v>2941.36</v>
      </c>
      <c r="R8" s="1805">
        <f t="shared" si="3"/>
        <v>4365861</v>
      </c>
      <c r="S8" s="1805">
        <v>4333489</v>
      </c>
      <c r="T8" s="1805">
        <f t="shared" si="4"/>
        <v>4365861</v>
      </c>
      <c r="U8" s="2013">
        <f t="shared" si="5"/>
        <v>-32372</v>
      </c>
      <c r="V8" s="1803">
        <f t="shared" si="0"/>
        <v>20000</v>
      </c>
      <c r="W8" s="1938">
        <f t="shared" si="0"/>
        <v>2941.36</v>
      </c>
      <c r="X8" s="1807">
        <f t="shared" si="0"/>
        <v>4365861</v>
      </c>
      <c r="Y8" s="1987"/>
      <c r="Z8" s="1987"/>
      <c r="AA8" s="1987"/>
      <c r="AB8" s="1987"/>
      <c r="AC8" s="1987"/>
      <c r="AD8" s="1987"/>
      <c r="AE8" s="1987"/>
      <c r="AF8" s="1987"/>
      <c r="AG8" s="1987"/>
      <c r="AH8" s="1987"/>
      <c r="AI8" s="1987"/>
      <c r="AJ8" s="1987"/>
      <c r="AK8" s="1987"/>
      <c r="AL8" s="1987"/>
      <c r="AM8" s="1987"/>
      <c r="AN8" s="1987"/>
      <c r="AO8" s="1987"/>
      <c r="AP8" s="1987"/>
      <c r="AQ8" s="1987"/>
      <c r="AR8" s="1987"/>
      <c r="AS8" s="1987"/>
      <c r="AT8" s="1987"/>
      <c r="AU8" s="1987"/>
      <c r="AV8" s="1987"/>
      <c r="AW8" s="1987"/>
      <c r="AX8" s="1987"/>
      <c r="AY8" s="1987"/>
      <c r="AZ8" s="1987"/>
      <c r="BA8" s="1987"/>
      <c r="BB8" s="1987"/>
      <c r="BC8" s="1987"/>
    </row>
    <row r="9" spans="1:55" ht="11.25" customHeight="1">
      <c r="A9" s="1787">
        <v>51071700</v>
      </c>
      <c r="B9" s="1801" t="s">
        <v>19</v>
      </c>
      <c r="C9" s="1802" t="s">
        <v>20</v>
      </c>
      <c r="D9" s="1803"/>
      <c r="E9" s="1803"/>
      <c r="F9" s="1805">
        <f t="shared" si="1"/>
        <v>0</v>
      </c>
      <c r="G9" s="1977">
        <v>51071700</v>
      </c>
      <c r="H9" s="1806" t="s">
        <v>19</v>
      </c>
      <c r="I9" s="1802" t="s">
        <v>20</v>
      </c>
      <c r="J9" s="1810"/>
      <c r="K9" s="1938"/>
      <c r="L9" s="1805">
        <f t="shared" si="2"/>
        <v>0</v>
      </c>
      <c r="M9" s="1977">
        <v>51071700</v>
      </c>
      <c r="N9" s="1806" t="s">
        <v>19</v>
      </c>
      <c r="O9" s="1802" t="s">
        <v>20</v>
      </c>
      <c r="P9" s="1810">
        <v>2479.6499999999996</v>
      </c>
      <c r="Q9" s="1938">
        <v>364.68</v>
      </c>
      <c r="R9" s="1805">
        <f t="shared" si="3"/>
        <v>541295</v>
      </c>
      <c r="S9" s="1805">
        <v>572192</v>
      </c>
      <c r="T9" s="1805">
        <f t="shared" si="4"/>
        <v>541295</v>
      </c>
      <c r="U9" s="1805"/>
      <c r="V9" s="1803">
        <f t="shared" si="0"/>
        <v>2479.6499999999996</v>
      </c>
      <c r="W9" s="1938">
        <f t="shared" si="0"/>
        <v>364.68</v>
      </c>
      <c r="X9" s="1807">
        <f t="shared" si="0"/>
        <v>541295</v>
      </c>
      <c r="Y9" s="1987"/>
      <c r="Z9" s="1987"/>
      <c r="AA9" s="1987"/>
      <c r="AB9" s="1987"/>
      <c r="AC9" s="1987"/>
      <c r="AD9" s="1987"/>
      <c r="AE9" s="1987"/>
      <c r="AF9" s="1987"/>
      <c r="AG9" s="1987"/>
      <c r="AH9" s="1987"/>
      <c r="AI9" s="1987"/>
      <c r="AJ9" s="1987"/>
      <c r="AK9" s="1987"/>
      <c r="AL9" s="1987"/>
      <c r="AM9" s="1987"/>
      <c r="AN9" s="1987"/>
      <c r="AO9" s="1987"/>
      <c r="AP9" s="1987"/>
      <c r="AQ9" s="1987"/>
      <c r="AR9" s="1987"/>
      <c r="AS9" s="1987"/>
      <c r="AT9" s="1987"/>
      <c r="AU9" s="1987"/>
      <c r="AV9" s="1987"/>
      <c r="AW9" s="1987"/>
      <c r="AX9" s="1987"/>
      <c r="AY9" s="1987"/>
      <c r="AZ9" s="1987"/>
      <c r="BA9" s="1987"/>
      <c r="BB9" s="1987"/>
      <c r="BC9" s="1987"/>
    </row>
    <row r="10" spans="1:55" ht="11.25" customHeight="1">
      <c r="A10" s="1787">
        <v>51321010</v>
      </c>
      <c r="B10" s="1801" t="s">
        <v>21</v>
      </c>
      <c r="C10" s="1802"/>
      <c r="D10" s="1803"/>
      <c r="E10" s="1803"/>
      <c r="F10" s="1805">
        <f t="shared" si="1"/>
        <v>0</v>
      </c>
      <c r="G10" s="1978">
        <v>51321010</v>
      </c>
      <c r="H10" s="1806" t="s">
        <v>21</v>
      </c>
      <c r="I10" s="1806"/>
      <c r="J10" s="1803">
        <v>478.56</v>
      </c>
      <c r="K10" s="1938">
        <v>80.349999999999994</v>
      </c>
      <c r="L10" s="1805">
        <f t="shared" si="2"/>
        <v>118364</v>
      </c>
      <c r="M10" s="1978">
        <v>51321010</v>
      </c>
      <c r="N10" s="1806" t="s">
        <v>21</v>
      </c>
      <c r="O10" s="1806"/>
      <c r="P10" s="1803">
        <v>308679.95999999996</v>
      </c>
      <c r="Q10" s="1938">
        <v>45421.78</v>
      </c>
      <c r="R10" s="1805">
        <f t="shared" si="3"/>
        <v>67419548</v>
      </c>
      <c r="S10" s="1805">
        <v>93133344</v>
      </c>
      <c r="T10" s="1805">
        <f t="shared" si="4"/>
        <v>67419548</v>
      </c>
      <c r="U10" s="1805"/>
      <c r="V10" s="1803">
        <f t="shared" si="0"/>
        <v>309158.51999999996</v>
      </c>
      <c r="W10" s="1938">
        <f t="shared" si="0"/>
        <v>45502.13</v>
      </c>
      <c r="X10" s="1807">
        <f t="shared" si="0"/>
        <v>67537912</v>
      </c>
      <c r="Y10" s="1987"/>
      <c r="Z10" s="1987"/>
      <c r="AA10" s="1987"/>
      <c r="AB10" s="1987"/>
      <c r="AC10" s="1987"/>
      <c r="AD10" s="1987"/>
      <c r="AE10" s="1987"/>
      <c r="AF10" s="1987"/>
      <c r="AG10" s="1987"/>
      <c r="AH10" s="1987"/>
      <c r="AI10" s="1987"/>
      <c r="AJ10" s="1987"/>
      <c r="AK10" s="1987"/>
      <c r="AL10" s="1987"/>
      <c r="AM10" s="1987"/>
      <c r="AN10" s="1987"/>
      <c r="AO10" s="1987"/>
      <c r="AP10" s="1987"/>
      <c r="AQ10" s="1987"/>
      <c r="AR10" s="1987"/>
      <c r="AS10" s="1987"/>
      <c r="AT10" s="1987"/>
      <c r="AU10" s="1987"/>
      <c r="AV10" s="1987"/>
      <c r="AW10" s="1987"/>
      <c r="AX10" s="1987"/>
      <c r="AY10" s="1987"/>
      <c r="AZ10" s="1987"/>
      <c r="BA10" s="1987"/>
      <c r="BB10" s="1987"/>
      <c r="BC10" s="1987"/>
    </row>
    <row r="11" spans="1:55" ht="11.25" customHeight="1">
      <c r="A11" s="1787"/>
      <c r="B11" s="1801"/>
      <c r="C11" s="1802"/>
      <c r="D11" s="1803"/>
      <c r="E11" s="1803"/>
      <c r="F11" s="1805"/>
      <c r="G11" s="1980"/>
      <c r="H11" s="1806" t="s">
        <v>1670</v>
      </c>
      <c r="I11" s="1806" t="s">
        <v>140</v>
      </c>
      <c r="J11" s="1803"/>
      <c r="K11" s="1938"/>
      <c r="L11" s="1805">
        <f t="shared" si="2"/>
        <v>0</v>
      </c>
      <c r="M11" s="1980"/>
      <c r="N11" s="1806" t="s">
        <v>1670</v>
      </c>
      <c r="O11" s="1806" t="s">
        <v>140</v>
      </c>
      <c r="P11" s="1803"/>
      <c r="Q11" s="1938"/>
      <c r="R11" s="1805">
        <f t="shared" ref="R11:R13" si="6">ROUND(Q11*$L$3,0)</f>
        <v>0</v>
      </c>
      <c r="S11" s="1805"/>
      <c r="T11" s="1805"/>
      <c r="U11" s="1805"/>
      <c r="V11" s="1803">
        <f t="shared" si="0"/>
        <v>0</v>
      </c>
      <c r="W11" s="1938">
        <f t="shared" si="0"/>
        <v>0</v>
      </c>
      <c r="X11" s="1807">
        <f t="shared" si="0"/>
        <v>0</v>
      </c>
      <c r="Y11" s="1987"/>
      <c r="Z11" s="1987"/>
      <c r="AA11" s="1987"/>
      <c r="AB11" s="1987"/>
      <c r="AC11" s="1987"/>
      <c r="AD11" s="1987"/>
      <c r="AE11" s="1987"/>
      <c r="AF11" s="1987"/>
      <c r="AG11" s="1987"/>
      <c r="AH11" s="1987"/>
      <c r="AI11" s="1987"/>
      <c r="AJ11" s="1987"/>
      <c r="AK11" s="1987"/>
      <c r="AL11" s="1987"/>
      <c r="AM11" s="1987"/>
      <c r="AN11" s="1987"/>
      <c r="AO11" s="1987"/>
      <c r="AP11" s="1987"/>
      <c r="AQ11" s="1987"/>
      <c r="AR11" s="1987"/>
      <c r="AS11" s="1987"/>
      <c r="AT11" s="1987"/>
      <c r="AU11" s="1987"/>
      <c r="AV11" s="1987"/>
      <c r="AW11" s="1987"/>
      <c r="AX11" s="1987"/>
      <c r="AY11" s="1987"/>
      <c r="AZ11" s="1987"/>
      <c r="BA11" s="1987"/>
      <c r="BB11" s="1987"/>
      <c r="BC11" s="1987"/>
    </row>
    <row r="12" spans="1:55" ht="10.5" customHeight="1">
      <c r="A12" s="1787">
        <v>51031020</v>
      </c>
      <c r="B12" s="1811" t="s">
        <v>1057</v>
      </c>
      <c r="C12" s="1812" t="s">
        <v>1058</v>
      </c>
      <c r="D12" s="1811"/>
      <c r="E12" s="1811"/>
      <c r="F12" s="1813"/>
      <c r="G12" s="1976"/>
      <c r="H12" s="1811" t="s">
        <v>1057</v>
      </c>
      <c r="I12" s="1811" t="s">
        <v>1279</v>
      </c>
      <c r="J12" s="1814"/>
      <c r="K12" s="1815"/>
      <c r="L12" s="1816">
        <f t="shared" si="2"/>
        <v>0</v>
      </c>
      <c r="M12" s="1976"/>
      <c r="N12" s="1811" t="s">
        <v>1057</v>
      </c>
      <c r="O12" s="1811" t="s">
        <v>1279</v>
      </c>
      <c r="P12" s="1814"/>
      <c r="Q12" s="1815"/>
      <c r="R12" s="1816">
        <f t="shared" si="6"/>
        <v>0</v>
      </c>
      <c r="S12" s="1816"/>
      <c r="T12" s="1816"/>
      <c r="U12" s="1816"/>
      <c r="V12" s="1803">
        <f t="shared" si="0"/>
        <v>0</v>
      </c>
      <c r="W12" s="1938">
        <f t="shared" si="0"/>
        <v>0</v>
      </c>
      <c r="X12" s="1807">
        <f t="shared" si="0"/>
        <v>0</v>
      </c>
      <c r="Y12" s="1987"/>
      <c r="Z12" s="1987"/>
      <c r="AA12" s="1987"/>
      <c r="AB12" s="1987"/>
      <c r="AC12" s="1987"/>
      <c r="AD12" s="1987"/>
      <c r="AE12" s="1987"/>
      <c r="AF12" s="1987"/>
      <c r="AG12" s="1987"/>
      <c r="AH12" s="1987"/>
      <c r="AI12" s="1987"/>
      <c r="AJ12" s="1987"/>
      <c r="AK12" s="1987"/>
      <c r="AL12" s="1987"/>
      <c r="AM12" s="1987"/>
      <c r="AN12" s="1987"/>
      <c r="AO12" s="1987"/>
      <c r="AP12" s="1987"/>
      <c r="AQ12" s="1987"/>
      <c r="AR12" s="1987"/>
      <c r="AS12" s="1987"/>
      <c r="AT12" s="1987"/>
      <c r="AU12" s="1987"/>
      <c r="AV12" s="1987"/>
      <c r="AW12" s="1987"/>
      <c r="AX12" s="1987"/>
      <c r="AY12" s="1987"/>
      <c r="AZ12" s="1987"/>
      <c r="BA12" s="1987"/>
      <c r="BB12" s="1987"/>
      <c r="BC12" s="1987"/>
    </row>
    <row r="13" spans="1:55" ht="11.25" customHeight="1">
      <c r="A13" s="1787">
        <v>52981010</v>
      </c>
      <c r="B13" s="1806" t="s">
        <v>1651</v>
      </c>
      <c r="C13" s="1802" t="s">
        <v>1060</v>
      </c>
      <c r="D13" s="1803"/>
      <c r="E13" s="1803"/>
      <c r="F13" s="1805"/>
      <c r="G13" s="1980">
        <v>52981010</v>
      </c>
      <c r="H13" s="1806" t="s">
        <v>1651</v>
      </c>
      <c r="I13" s="1806" t="s">
        <v>1060</v>
      </c>
      <c r="J13" s="1817"/>
      <c r="K13" s="1803"/>
      <c r="L13" s="1805">
        <f t="shared" si="2"/>
        <v>0</v>
      </c>
      <c r="M13" s="1980">
        <v>52981010</v>
      </c>
      <c r="N13" s="1806" t="s">
        <v>1651</v>
      </c>
      <c r="O13" s="1806" t="s">
        <v>1060</v>
      </c>
      <c r="P13" s="1817"/>
      <c r="Q13" s="1803"/>
      <c r="R13" s="1805">
        <f t="shared" si="6"/>
        <v>0</v>
      </c>
      <c r="S13" s="1805"/>
      <c r="T13" s="1805"/>
      <c r="U13" s="1805"/>
      <c r="V13" s="1803">
        <f t="shared" si="0"/>
        <v>0</v>
      </c>
      <c r="W13" s="1938">
        <f t="shared" si="0"/>
        <v>0</v>
      </c>
      <c r="X13" s="1807">
        <f t="shared" si="0"/>
        <v>0</v>
      </c>
      <c r="Y13" s="1987"/>
      <c r="Z13" s="1987"/>
      <c r="AA13" s="1987"/>
      <c r="AB13" s="1987"/>
      <c r="AC13" s="1987"/>
      <c r="AD13" s="1987"/>
      <c r="AE13" s="1987"/>
      <c r="AF13" s="1987"/>
      <c r="AG13" s="1987"/>
      <c r="AH13" s="1987"/>
      <c r="AI13" s="1987"/>
      <c r="AJ13" s="1987"/>
      <c r="AK13" s="1987"/>
      <c r="AL13" s="1987"/>
      <c r="AM13" s="1987"/>
      <c r="AN13" s="1987"/>
      <c r="AO13" s="1987"/>
      <c r="AP13" s="1987"/>
      <c r="AQ13" s="1987"/>
      <c r="AR13" s="1987"/>
      <c r="AS13" s="1987"/>
      <c r="AT13" s="1987"/>
      <c r="AU13" s="1987"/>
      <c r="AV13" s="1987"/>
      <c r="AW13" s="1987"/>
      <c r="AX13" s="1987"/>
      <c r="AY13" s="1987"/>
      <c r="AZ13" s="1987"/>
      <c r="BA13" s="1987"/>
      <c r="BB13" s="1987"/>
      <c r="BC13" s="1987"/>
    </row>
    <row r="14" spans="1:55" s="1782" customFormat="1" ht="15.6">
      <c r="A14" s="1819"/>
      <c r="B14" s="1820" t="s">
        <v>22</v>
      </c>
      <c r="C14" s="1821"/>
      <c r="D14" s="1822">
        <f>SUM(D5:D12)</f>
        <v>1045.81</v>
      </c>
      <c r="E14" s="1822">
        <f>SUM(E5:E12)</f>
        <v>153.66</v>
      </c>
      <c r="F14" s="1823">
        <f>SUM(F5:F12)</f>
        <v>227386</v>
      </c>
      <c r="H14" s="1824" t="s">
        <v>22</v>
      </c>
      <c r="I14" s="1825"/>
      <c r="J14" s="1822">
        <f>SUM(J5:J12)-J13</f>
        <v>35488.17</v>
      </c>
      <c r="K14" s="1799">
        <f>SUM(K5:K12)-K13</f>
        <v>5226.93</v>
      </c>
      <c r="L14" s="1826">
        <f>SUM(L5:L12)-L13</f>
        <v>7699790</v>
      </c>
      <c r="M14" s="1976"/>
      <c r="N14" s="1824" t="s">
        <v>22</v>
      </c>
      <c r="O14" s="1825"/>
      <c r="P14" s="1822">
        <f>SUM(P5:P12)-P13</f>
        <v>384888.26999999996</v>
      </c>
      <c r="Q14" s="1799">
        <f>SUM(Q5:Q12)-Q13</f>
        <v>56629.55</v>
      </c>
      <c r="R14" s="1826">
        <f>SUM(R5:R12)-R13</f>
        <v>84055242</v>
      </c>
      <c r="S14" s="1826"/>
      <c r="T14" s="1826"/>
      <c r="U14" s="1826"/>
      <c r="Y14" s="2019"/>
      <c r="Z14" s="2019"/>
      <c r="AA14" s="2019"/>
      <c r="AB14" s="2019"/>
      <c r="AC14" s="2019"/>
      <c r="AD14" s="2019"/>
      <c r="AE14" s="2019"/>
      <c r="AF14" s="2019"/>
      <c r="AG14" s="2019"/>
      <c r="AH14" s="2019"/>
      <c r="AI14" s="2019"/>
      <c r="AJ14" s="2019"/>
      <c r="AK14" s="2019"/>
      <c r="AL14" s="2019"/>
      <c r="AM14" s="2019"/>
      <c r="AN14" s="2019"/>
      <c r="AO14" s="2019"/>
      <c r="AP14" s="2019"/>
      <c r="AQ14" s="2019"/>
      <c r="AR14" s="2019"/>
      <c r="AS14" s="2019"/>
      <c r="AT14" s="2019"/>
      <c r="AU14" s="2019"/>
      <c r="AV14" s="2019"/>
      <c r="AW14" s="2019"/>
      <c r="AX14" s="2019"/>
      <c r="AY14" s="2019"/>
      <c r="AZ14" s="2019"/>
      <c r="BA14" s="2019"/>
      <c r="BB14" s="2019"/>
      <c r="BC14" s="2019"/>
    </row>
    <row r="15" spans="1:55" ht="15.6">
      <c r="A15" s="1764"/>
      <c r="D15" s="1833"/>
      <c r="E15" s="1833"/>
      <c r="F15" s="1833"/>
      <c r="G15" s="2014"/>
      <c r="J15" s="1835">
        <f>+D14+P14+J14+J16</f>
        <v>421422.24999999994</v>
      </c>
      <c r="K15" s="1835">
        <f>+E14+Q14+K14+K16</f>
        <v>62010.140000000007</v>
      </c>
      <c r="L15" s="1836">
        <f>+F14+R14+L14</f>
        <v>91982418</v>
      </c>
      <c r="M15" s="2017"/>
      <c r="N15" s="1987"/>
      <c r="O15" s="227"/>
      <c r="S15" s="1793"/>
      <c r="T15" s="1793"/>
      <c r="U15" s="1777"/>
      <c r="Y15" s="1987"/>
      <c r="Z15" s="1987"/>
      <c r="AA15" s="1987"/>
      <c r="AB15" s="1987"/>
      <c r="AC15" s="1987"/>
      <c r="AD15" s="1987"/>
      <c r="AE15" s="1987"/>
      <c r="AF15" s="1987"/>
      <c r="AG15" s="1987"/>
      <c r="AH15" s="1987"/>
      <c r="AI15" s="1987"/>
      <c r="AJ15" s="1987"/>
      <c r="AK15" s="1987"/>
      <c r="AL15" s="1987"/>
      <c r="AM15" s="1987"/>
      <c r="AN15" s="1987"/>
      <c r="AO15" s="1987"/>
      <c r="AP15" s="1987"/>
      <c r="AQ15" s="1987"/>
      <c r="AR15" s="1987"/>
      <c r="AS15" s="1987"/>
      <c r="AT15" s="1987"/>
      <c r="AU15" s="1987"/>
      <c r="AV15" s="1987"/>
      <c r="AW15" s="1987"/>
      <c r="AX15" s="1987"/>
      <c r="AY15" s="1987"/>
      <c r="AZ15" s="1987"/>
      <c r="BA15" s="1987"/>
      <c r="BB15" s="1987"/>
      <c r="BC15" s="1987"/>
    </row>
    <row r="16" spans="1:55" ht="11.1" customHeight="1">
      <c r="A16" s="1764"/>
      <c r="G16" s="119">
        <v>51191010</v>
      </c>
      <c r="J16" s="1841"/>
      <c r="K16" s="1841"/>
      <c r="L16" s="1836"/>
      <c r="M16" s="1839"/>
      <c r="N16" s="1787"/>
      <c r="P16" s="1778"/>
      <c r="R16" s="1777"/>
      <c r="S16" s="227"/>
      <c r="T16" s="227"/>
      <c r="U16" s="1777"/>
      <c r="W16" s="227"/>
      <c r="X16" s="1782"/>
      <c r="Y16" s="1987"/>
      <c r="Z16" s="1987"/>
      <c r="AA16" s="1987"/>
      <c r="AB16" s="1987"/>
      <c r="AC16" s="1987"/>
      <c r="AD16" s="1987"/>
      <c r="AE16" s="1987"/>
      <c r="AF16" s="1987"/>
      <c r="AG16" s="1987"/>
      <c r="AH16" s="1987"/>
      <c r="AI16" s="1987"/>
      <c r="AJ16" s="1987"/>
      <c r="AK16" s="1987"/>
      <c r="AL16" s="1987"/>
      <c r="AM16" s="1987"/>
      <c r="AN16" s="1987"/>
      <c r="AO16" s="1987"/>
      <c r="AP16" s="1987"/>
      <c r="AQ16" s="1987"/>
      <c r="AR16" s="1987"/>
      <c r="AS16" s="1987"/>
      <c r="AT16" s="1987"/>
      <c r="AU16" s="1987"/>
      <c r="AV16" s="1987"/>
      <c r="AW16" s="1987"/>
      <c r="AX16" s="1987"/>
      <c r="AY16" s="1987"/>
      <c r="AZ16" s="1987"/>
      <c r="BA16" s="1987"/>
      <c r="BB16" s="1987"/>
      <c r="BC16" s="1987"/>
    </row>
    <row r="17" spans="1:55" ht="11.1" customHeight="1">
      <c r="A17" s="1764"/>
      <c r="D17" s="1833"/>
      <c r="E17" s="1833"/>
      <c r="F17" s="1833"/>
      <c r="G17" s="1977"/>
      <c r="J17" s="1837"/>
      <c r="K17" s="1839"/>
      <c r="L17" s="1840"/>
      <c r="M17" s="1827"/>
      <c r="O17" s="1838"/>
      <c r="P17" s="1787"/>
      <c r="R17" s="1778"/>
      <c r="S17" s="1777"/>
      <c r="U17" s="227"/>
      <c r="V17" s="227"/>
      <c r="Y17" s="2020"/>
      <c r="Z17" s="2019"/>
      <c r="AA17" s="1987"/>
      <c r="AB17" s="1987"/>
      <c r="AC17" s="1987"/>
      <c r="AD17" s="1987"/>
      <c r="AE17" s="1987"/>
      <c r="AF17" s="1987"/>
      <c r="AG17" s="1987"/>
      <c r="AH17" s="1987"/>
      <c r="AI17" s="1987"/>
      <c r="AJ17" s="1987"/>
      <c r="AK17" s="1987"/>
      <c r="AL17" s="1987"/>
      <c r="AM17" s="1987"/>
      <c r="AN17" s="1987"/>
      <c r="AO17" s="1987"/>
      <c r="AP17" s="1987"/>
      <c r="AQ17" s="1987"/>
      <c r="AR17" s="1987"/>
      <c r="AS17" s="1987"/>
      <c r="AT17" s="1987"/>
      <c r="AU17" s="1987"/>
      <c r="AV17" s="1987"/>
      <c r="AW17" s="1987"/>
      <c r="AX17" s="1987"/>
      <c r="AY17" s="1987"/>
      <c r="AZ17" s="1987"/>
      <c r="BA17" s="1987"/>
      <c r="BB17" s="1987"/>
      <c r="BC17" s="1987"/>
    </row>
    <row r="18" spans="1:55" ht="11.1" customHeight="1">
      <c r="A18" s="1764"/>
      <c r="D18" s="1781"/>
      <c r="E18" s="197"/>
      <c r="F18" s="197"/>
      <c r="G18" s="1834"/>
      <c r="I18" s="227"/>
      <c r="J18" s="1831"/>
      <c r="K18" s="1841">
        <f>SUBTOTAL(9,K21:K95)</f>
        <v>421422.25000000012</v>
      </c>
      <c r="L18" s="137"/>
      <c r="M18" s="2009">
        <f>SUBTOTAL(9,M21:M95)</f>
        <v>62010.141446168498</v>
      </c>
      <c r="N18" s="227"/>
      <c r="O18" s="1782"/>
      <c r="P18" s="1787"/>
      <c r="R18" s="1777"/>
      <c r="S18" s="1777"/>
      <c r="U18" s="1777"/>
    </row>
    <row r="19" spans="1:55" ht="11.55" customHeight="1">
      <c r="A19" s="1764"/>
      <c r="B19" s="1842" t="s">
        <v>24</v>
      </c>
      <c r="C19" s="1843" t="s">
        <v>25</v>
      </c>
      <c r="D19" s="1989" t="s">
        <v>1061</v>
      </c>
      <c r="E19" s="1845" t="s">
        <v>26</v>
      </c>
      <c r="F19" s="1989" t="s">
        <v>1</v>
      </c>
      <c r="G19" s="1846" t="s">
        <v>2</v>
      </c>
      <c r="H19" s="2101" t="s">
        <v>29</v>
      </c>
      <c r="I19" s="2101"/>
      <c r="J19" s="2101"/>
      <c r="K19" s="2101" t="s">
        <v>30</v>
      </c>
      <c r="L19" s="2101"/>
      <c r="M19" s="2102"/>
      <c r="N19" s="2103" t="s">
        <v>31</v>
      </c>
      <c r="O19" s="2103"/>
      <c r="P19" s="2104"/>
      <c r="Q19" s="2104"/>
      <c r="R19" s="1846" t="s">
        <v>1062</v>
      </c>
      <c r="U19" s="1777"/>
    </row>
    <row r="20" spans="1:55" ht="11.1" customHeight="1">
      <c r="A20" s="1764"/>
      <c r="B20" s="1847" t="s">
        <v>1063</v>
      </c>
      <c r="C20" s="1848" t="s">
        <v>1064</v>
      </c>
      <c r="D20" s="1990" t="s">
        <v>1065</v>
      </c>
      <c r="E20" s="1850" t="s">
        <v>1066</v>
      </c>
      <c r="F20" s="1851" t="s">
        <v>1067</v>
      </c>
      <c r="G20" s="1852" t="s">
        <v>1068</v>
      </c>
      <c r="H20" s="1853" t="s">
        <v>1069</v>
      </c>
      <c r="I20" s="1853" t="s">
        <v>1070</v>
      </c>
      <c r="J20" s="1854" t="s">
        <v>34</v>
      </c>
      <c r="K20" s="1854" t="s">
        <v>1069</v>
      </c>
      <c r="L20" s="1853" t="s">
        <v>1070</v>
      </c>
      <c r="M20" s="1855" t="s">
        <v>34</v>
      </c>
      <c r="N20" s="1988" t="s">
        <v>1069</v>
      </c>
      <c r="O20" s="1988" t="s">
        <v>34</v>
      </c>
      <c r="P20" s="2105" t="s">
        <v>32</v>
      </c>
      <c r="Q20" s="2105"/>
      <c r="R20" s="1857" t="s">
        <v>1062</v>
      </c>
      <c r="U20" s="1777"/>
    </row>
    <row r="21" spans="1:55" ht="11.25" customHeight="1">
      <c r="B21" s="1939">
        <v>46142</v>
      </c>
      <c r="C21" s="1940"/>
      <c r="D21" s="1941"/>
      <c r="E21" s="1940"/>
      <c r="F21" s="1942"/>
      <c r="G21" s="1943"/>
      <c r="H21" s="1944"/>
      <c r="I21" s="1941"/>
      <c r="J21" s="1943"/>
      <c r="K21" s="1945"/>
      <c r="L21" s="1946"/>
      <c r="M21" s="1947"/>
      <c r="N21" s="1948">
        <v>1045.7900000013301</v>
      </c>
      <c r="O21" s="1948">
        <v>153.65721157510373</v>
      </c>
      <c r="P21" s="1949"/>
      <c r="Q21" s="1940"/>
      <c r="R21" s="1950"/>
      <c r="S21" s="1951">
        <v>153.66</v>
      </c>
      <c r="U21" s="1777"/>
    </row>
    <row r="22" spans="1:55" s="1778" customFormat="1" ht="11.25" customHeight="1">
      <c r="A22" s="1779"/>
      <c r="B22" s="1995">
        <v>46148</v>
      </c>
      <c r="C22" s="1996" t="s">
        <v>1088</v>
      </c>
      <c r="D22" s="1997"/>
      <c r="E22" s="1998">
        <v>1</v>
      </c>
      <c r="F22" s="1999"/>
      <c r="G22" s="1998"/>
      <c r="H22" s="2000">
        <v>35488.17</v>
      </c>
      <c r="I22" s="2000"/>
      <c r="J22" s="2001">
        <v>5226.93</v>
      </c>
      <c r="K22" s="2002"/>
      <c r="L22" s="2003"/>
      <c r="M22" s="2004"/>
      <c r="N22" s="2005">
        <f t="shared" ref="N22:N53" si="7">N21+H22-K22</f>
        <v>36533.960000001331</v>
      </c>
      <c r="O22" s="2005">
        <f t="shared" ref="O22:O53" si="8">O21+J22-M22</f>
        <v>5380.5872115751044</v>
      </c>
      <c r="P22" s="2006"/>
      <c r="Q22" s="2006"/>
      <c r="R22" s="2006"/>
      <c r="S22" s="1871">
        <f t="shared" ref="S22" si="9">S21-M22</f>
        <v>153.66</v>
      </c>
      <c r="T22" s="1777"/>
      <c r="U22" s="1777"/>
      <c r="V22" s="1777"/>
      <c r="W22" s="1777"/>
      <c r="X22" s="1777"/>
      <c r="Y22" s="1777"/>
      <c r="Z22" s="1777"/>
      <c r="AA22" s="1777"/>
      <c r="AB22" s="1777"/>
      <c r="AC22" s="1777"/>
    </row>
    <row r="23" spans="1:55" s="1778" customFormat="1" ht="11.25" customHeight="1">
      <c r="A23" s="1779"/>
      <c r="B23" s="1995">
        <v>46148</v>
      </c>
      <c r="C23" s="1996" t="s">
        <v>1088</v>
      </c>
      <c r="D23" s="1997"/>
      <c r="E23" s="1998">
        <v>1</v>
      </c>
      <c r="F23" s="1999" t="s">
        <v>107</v>
      </c>
      <c r="G23" s="1998"/>
      <c r="H23" s="2000"/>
      <c r="I23" s="2000"/>
      <c r="J23" s="2001"/>
      <c r="K23" s="2002"/>
      <c r="L23" s="2003"/>
      <c r="M23" s="1994">
        <v>10</v>
      </c>
      <c r="N23" s="2005">
        <f t="shared" si="7"/>
        <v>36533.960000001331</v>
      </c>
      <c r="O23" s="2005">
        <f t="shared" si="8"/>
        <v>5370.5872115751044</v>
      </c>
      <c r="P23" s="2006"/>
      <c r="Q23" s="2006"/>
      <c r="R23" s="2006"/>
      <c r="S23" s="1871"/>
      <c r="T23" s="1777"/>
      <c r="U23" s="1777"/>
      <c r="V23" s="1777"/>
      <c r="W23" s="1777"/>
      <c r="X23" s="1777"/>
      <c r="Y23" s="1777"/>
      <c r="Z23" s="1777"/>
      <c r="AA23" s="1777"/>
      <c r="AB23" s="1777"/>
      <c r="AC23" s="1777"/>
    </row>
    <row r="24" spans="1:55" s="1778" customFormat="1" ht="11.25" customHeight="1">
      <c r="A24" s="1779"/>
      <c r="B24" s="1576">
        <v>46148</v>
      </c>
      <c r="C24" s="1577" t="s">
        <v>1695</v>
      </c>
      <c r="D24" s="1578" t="s">
        <v>1390</v>
      </c>
      <c r="E24" s="1581">
        <v>2</v>
      </c>
      <c r="F24" s="1580" t="s">
        <v>146</v>
      </c>
      <c r="G24" s="1581" t="s">
        <v>147</v>
      </c>
      <c r="H24" s="1594"/>
      <c r="I24" s="1595"/>
      <c r="J24" s="1889"/>
      <c r="K24" s="1583">
        <f>L24*M24</f>
        <v>1045.8099646890346</v>
      </c>
      <c r="L24" s="1891">
        <f>'통장내역(환율표)'!$D$75</f>
        <v>6.8060000305156487</v>
      </c>
      <c r="M24" s="2007">
        <v>153.66</v>
      </c>
      <c r="N24" s="1892">
        <f t="shared" si="7"/>
        <v>35488.150035312297</v>
      </c>
      <c r="O24" s="1892">
        <f t="shared" si="8"/>
        <v>5216.9272115751046</v>
      </c>
      <c r="P24" s="1896"/>
      <c r="Q24" s="1896"/>
      <c r="R24" s="1896"/>
      <c r="S24" s="1871">
        <f>S22-M24</f>
        <v>0</v>
      </c>
      <c r="T24" s="1777"/>
      <c r="U24" s="1777"/>
      <c r="V24" s="1777"/>
      <c r="W24" s="1777"/>
      <c r="X24" s="1777"/>
      <c r="Y24" s="1777"/>
      <c r="Z24" s="1777"/>
      <c r="AA24" s="1777"/>
      <c r="AB24" s="1777"/>
      <c r="AC24" s="1777"/>
    </row>
    <row r="25" spans="1:55" s="1778" customFormat="1" ht="11.25" customHeight="1">
      <c r="A25" s="1779"/>
      <c r="B25" s="1576">
        <v>46148</v>
      </c>
      <c r="C25" s="1577" t="s">
        <v>1695</v>
      </c>
      <c r="D25" s="1578" t="s">
        <v>1390</v>
      </c>
      <c r="E25" s="1581">
        <v>2</v>
      </c>
      <c r="F25" s="1580" t="s">
        <v>146</v>
      </c>
      <c r="G25" s="1581" t="s">
        <v>147</v>
      </c>
      <c r="H25" s="1594"/>
      <c r="I25" s="1595"/>
      <c r="J25" s="1889"/>
      <c r="K25" s="1583">
        <f>19434.91-K24</f>
        <v>18389.100035310967</v>
      </c>
      <c r="L25" s="1891">
        <f>'통장내역(환율표)'!$D$84</f>
        <v>6.8025007044372829</v>
      </c>
      <c r="M25" s="1994">
        <f>K25/L25</f>
        <v>2703.2852820310222</v>
      </c>
      <c r="N25" s="1892">
        <f t="shared" si="7"/>
        <v>17099.050000001331</v>
      </c>
      <c r="O25" s="1892">
        <f t="shared" si="8"/>
        <v>2513.6419295440824</v>
      </c>
      <c r="P25" s="1896"/>
      <c r="Q25" s="1896"/>
      <c r="R25" s="1896"/>
      <c r="S25" s="1871">
        <f>J22-M23-M25</f>
        <v>2513.6447179689781</v>
      </c>
      <c r="T25" s="1777"/>
      <c r="U25" s="1777"/>
      <c r="V25" s="1777"/>
      <c r="W25" s="1777"/>
      <c r="X25" s="1777"/>
      <c r="Y25" s="1777"/>
      <c r="Z25" s="1777"/>
      <c r="AA25" s="1777"/>
      <c r="AB25" s="1777"/>
      <c r="AC25" s="1777"/>
    </row>
    <row r="26" spans="1:55" s="1778" customFormat="1" ht="11.25" customHeight="1">
      <c r="A26" s="1779"/>
      <c r="B26" s="1576">
        <v>46148</v>
      </c>
      <c r="C26" s="1577" t="s">
        <v>250</v>
      </c>
      <c r="D26" s="1578" t="s">
        <v>1390</v>
      </c>
      <c r="E26" s="1581">
        <v>3</v>
      </c>
      <c r="F26" s="1580" t="s">
        <v>107</v>
      </c>
      <c r="G26" s="1581"/>
      <c r="H26" s="1582"/>
      <c r="I26" s="1582"/>
      <c r="J26" s="1889"/>
      <c r="K26" s="1583">
        <v>7.2</v>
      </c>
      <c r="L26" s="1891">
        <f>'통장내역(환율표)'!$D$84</f>
        <v>6.8025007044372829</v>
      </c>
      <c r="M26" s="1994">
        <f t="shared" ref="M26:M28" si="10">K26/L26</f>
        <v>1.0584342895111245</v>
      </c>
      <c r="N26" s="1892">
        <f t="shared" si="7"/>
        <v>17091.85000000133</v>
      </c>
      <c r="O26" s="1892">
        <f t="shared" si="8"/>
        <v>2512.5834952545711</v>
      </c>
      <c r="P26" s="1896"/>
      <c r="Q26" s="1896"/>
      <c r="R26" s="1896"/>
      <c r="S26" s="1871">
        <f>S25-M26</f>
        <v>2512.5862836794668</v>
      </c>
      <c r="T26" s="1777"/>
      <c r="U26" s="1777"/>
      <c r="V26" s="1777"/>
      <c r="W26" s="1777"/>
      <c r="X26" s="1777"/>
      <c r="Y26" s="1777"/>
      <c r="Z26" s="1777"/>
      <c r="AA26" s="1777"/>
      <c r="AB26" s="1777"/>
      <c r="AC26" s="1777"/>
    </row>
    <row r="27" spans="1:55" s="1778" customFormat="1" ht="11.25" customHeight="1">
      <c r="A27" s="1779"/>
      <c r="B27" s="1576">
        <v>46154</v>
      </c>
      <c r="C27" s="2010" t="s">
        <v>1696</v>
      </c>
      <c r="D27" s="1578"/>
      <c r="E27" s="1581">
        <v>4</v>
      </c>
      <c r="F27" s="1580" t="s">
        <v>107</v>
      </c>
      <c r="G27" s="1581"/>
      <c r="H27" s="1582"/>
      <c r="I27" s="1582"/>
      <c r="J27" s="1889"/>
      <c r="K27" s="1583">
        <v>467.76</v>
      </c>
      <c r="L27" s="1891">
        <f>'통장내역(환율표)'!$D$84</f>
        <v>6.8025007044372829</v>
      </c>
      <c r="M27" s="1994">
        <f t="shared" si="10"/>
        <v>68.762947675239388</v>
      </c>
      <c r="N27" s="1892">
        <f t="shared" si="7"/>
        <v>16624.090000001332</v>
      </c>
      <c r="O27" s="1892">
        <f t="shared" si="8"/>
        <v>2443.8205475793316</v>
      </c>
      <c r="P27" s="1896"/>
      <c r="Q27" s="1896"/>
      <c r="R27" s="1896"/>
      <c r="S27" s="1871">
        <f t="shared" ref="S27:S28" si="11">S26-M27</f>
        <v>2443.8233360042273</v>
      </c>
      <c r="T27" s="1777"/>
      <c r="U27" s="1777"/>
      <c r="V27" s="1777"/>
      <c r="W27" s="1777"/>
      <c r="X27" s="1777"/>
      <c r="Y27" s="1777"/>
      <c r="Z27" s="1777"/>
      <c r="AA27" s="1777"/>
      <c r="AB27" s="1777"/>
      <c r="AC27" s="1777"/>
    </row>
    <row r="28" spans="1:55" s="1778" customFormat="1" ht="11.25" customHeight="1">
      <c r="A28" s="1779"/>
      <c r="B28" s="1576">
        <v>46154</v>
      </c>
      <c r="C28" s="1593" t="s">
        <v>250</v>
      </c>
      <c r="D28" s="1578"/>
      <c r="E28" s="1581">
        <v>5</v>
      </c>
      <c r="F28" s="1580" t="s">
        <v>107</v>
      </c>
      <c r="G28" s="1581"/>
      <c r="H28" s="1582"/>
      <c r="I28" s="1582"/>
      <c r="J28" s="1889"/>
      <c r="K28" s="1583">
        <v>3.6</v>
      </c>
      <c r="L28" s="1891">
        <f>'통장내역(환율표)'!$D$84</f>
        <v>6.8025007044372829</v>
      </c>
      <c r="M28" s="1994">
        <f t="shared" si="10"/>
        <v>0.52921714475556225</v>
      </c>
      <c r="N28" s="1892">
        <f t="shared" si="7"/>
        <v>16620.490000001333</v>
      </c>
      <c r="O28" s="1892">
        <f t="shared" si="8"/>
        <v>2443.2913304345761</v>
      </c>
      <c r="P28" s="1896"/>
      <c r="Q28" s="1896"/>
      <c r="R28" s="1896"/>
      <c r="S28" s="1871">
        <f t="shared" si="11"/>
        <v>2443.2941188594718</v>
      </c>
      <c r="T28" s="1777"/>
      <c r="U28" s="1777"/>
      <c r="V28" s="1777"/>
      <c r="W28" s="1777"/>
      <c r="X28" s="1777"/>
      <c r="Y28" s="1777"/>
      <c r="Z28" s="1777"/>
      <c r="AA28" s="1777"/>
      <c r="AB28" s="1777"/>
      <c r="AC28" s="1777"/>
    </row>
    <row r="29" spans="1:55" s="1778" customFormat="1" ht="11.25" customHeight="1">
      <c r="A29" s="1779"/>
      <c r="B29" s="1995">
        <v>46160</v>
      </c>
      <c r="C29" s="1996" t="s">
        <v>1088</v>
      </c>
      <c r="D29" s="1997"/>
      <c r="E29" s="1998">
        <v>6</v>
      </c>
      <c r="F29" s="1999"/>
      <c r="G29" s="1998"/>
      <c r="H29" s="2000">
        <v>402839.03999999998</v>
      </c>
      <c r="I29" s="2000"/>
      <c r="J29" s="2001">
        <v>59269.52</v>
      </c>
      <c r="K29" s="2002"/>
      <c r="L29" s="2003"/>
      <c r="M29" s="2004"/>
      <c r="N29" s="2005">
        <f t="shared" si="7"/>
        <v>419459.53000000131</v>
      </c>
      <c r="O29" s="2005">
        <f t="shared" si="8"/>
        <v>61712.811330434575</v>
      </c>
      <c r="P29" s="2006"/>
      <c r="Q29" s="2006"/>
      <c r="R29" s="2006"/>
      <c r="S29" s="1871"/>
      <c r="T29" s="1777"/>
      <c r="U29" s="1777"/>
      <c r="V29" s="1777"/>
      <c r="W29" s="1777"/>
      <c r="X29" s="1777"/>
      <c r="Y29" s="1777"/>
      <c r="Z29" s="1777"/>
      <c r="AA29" s="1777"/>
      <c r="AB29" s="1777"/>
      <c r="AC29" s="1777"/>
    </row>
    <row r="30" spans="1:55" s="1778" customFormat="1" ht="11.25" customHeight="1">
      <c r="A30" s="1779"/>
      <c r="B30" s="1995">
        <v>46160</v>
      </c>
      <c r="C30" s="1996" t="s">
        <v>1088</v>
      </c>
      <c r="D30" s="1997"/>
      <c r="E30" s="1998">
        <v>6</v>
      </c>
      <c r="F30" s="1999" t="s">
        <v>107</v>
      </c>
      <c r="G30" s="1998"/>
      <c r="H30" s="2000"/>
      <c r="I30" s="2000"/>
      <c r="J30" s="2001"/>
      <c r="K30" s="2002"/>
      <c r="L30" s="2003"/>
      <c r="M30" s="1983">
        <v>25</v>
      </c>
      <c r="N30" s="2005">
        <f t="shared" si="7"/>
        <v>419459.53000000131</v>
      </c>
      <c r="O30" s="2005">
        <f t="shared" si="8"/>
        <v>61687.811330434575</v>
      </c>
      <c r="P30" s="2006"/>
      <c r="Q30" s="2006"/>
      <c r="R30" s="2006"/>
      <c r="S30" s="1871"/>
      <c r="T30" s="1777"/>
      <c r="U30" s="1777"/>
      <c r="V30" s="1777"/>
      <c r="W30" s="1777"/>
      <c r="X30" s="1777"/>
      <c r="Y30" s="1777"/>
      <c r="Z30" s="1777"/>
      <c r="AA30" s="1777"/>
      <c r="AB30" s="1777"/>
      <c r="AC30" s="1777"/>
    </row>
    <row r="31" spans="1:55" s="1778" customFormat="1" ht="11.25" customHeight="1">
      <c r="A31" s="1779"/>
      <c r="B31" s="1576">
        <v>46161</v>
      </c>
      <c r="C31" s="1592" t="s">
        <v>1700</v>
      </c>
      <c r="D31" s="1578"/>
      <c r="E31" s="1581">
        <v>7</v>
      </c>
      <c r="F31" s="1580" t="s">
        <v>105</v>
      </c>
      <c r="G31" s="1581" t="s">
        <v>1122</v>
      </c>
      <c r="H31" s="1582"/>
      <c r="I31" s="1582"/>
      <c r="J31" s="1889"/>
      <c r="K31" s="1583">
        <f>L31*M31</f>
        <v>16620.509156147386</v>
      </c>
      <c r="L31" s="1891">
        <f>'통장내역(환율표)'!$D$84</f>
        <v>6.8025007044372829</v>
      </c>
      <c r="M31" s="1994">
        <v>2443.2939999999999</v>
      </c>
      <c r="N31" s="1892">
        <f t="shared" si="7"/>
        <v>402839.02084385394</v>
      </c>
      <c r="O31" s="1892">
        <f t="shared" si="8"/>
        <v>59244.517330434574</v>
      </c>
      <c r="P31" s="1896"/>
      <c r="Q31" s="1896"/>
      <c r="R31" s="1896"/>
      <c r="S31" s="1871">
        <f>S28-M31</f>
        <v>1.1885947196788038E-4</v>
      </c>
      <c r="T31" s="1777"/>
      <c r="U31" s="1777"/>
      <c r="V31" s="1777"/>
      <c r="W31" s="1777"/>
      <c r="X31" s="1777"/>
      <c r="Y31" s="1777"/>
      <c r="Z31" s="1777"/>
      <c r="AA31" s="1777"/>
      <c r="AB31" s="1777"/>
      <c r="AC31" s="1777"/>
    </row>
    <row r="32" spans="1:55" s="1778" customFormat="1" ht="11.25" customHeight="1">
      <c r="A32" s="1779"/>
      <c r="B32" s="1576">
        <v>46161</v>
      </c>
      <c r="C32" s="1592" t="s">
        <v>1699</v>
      </c>
      <c r="D32" s="1578"/>
      <c r="E32" s="1581">
        <v>7</v>
      </c>
      <c r="F32" s="1580" t="s">
        <v>105</v>
      </c>
      <c r="G32" s="1581" t="s">
        <v>1122</v>
      </c>
      <c r="H32" s="1582"/>
      <c r="I32" s="1582"/>
      <c r="J32" s="1889"/>
      <c r="K32" s="1583">
        <f>20000-K31</f>
        <v>3379.4908438526145</v>
      </c>
      <c r="L32" s="1891">
        <f>'통장내역(환율표)'!$D$88</f>
        <v>6.7996000305175901</v>
      </c>
      <c r="M32" s="1983">
        <f t="shared" ref="M32:M38" si="12">K32/L32</f>
        <v>497.01318146434642</v>
      </c>
      <c r="N32" s="1892">
        <f t="shared" si="7"/>
        <v>399459.53000000131</v>
      </c>
      <c r="O32" s="1892">
        <f t="shared" si="8"/>
        <v>58747.504148970227</v>
      </c>
      <c r="P32" s="1896"/>
      <c r="Q32" s="1896"/>
      <c r="R32" s="1896"/>
      <c r="S32" s="1871">
        <f>J29-M30-M32</f>
        <v>58747.50681853565</v>
      </c>
      <c r="T32" s="1777"/>
      <c r="U32" s="1777"/>
      <c r="V32" s="1777"/>
      <c r="W32" s="1777"/>
      <c r="X32" s="1777"/>
      <c r="Y32" s="1777"/>
      <c r="Z32" s="1777"/>
      <c r="AA32" s="1777"/>
      <c r="AB32" s="1777"/>
      <c r="AC32" s="1777"/>
    </row>
    <row r="33" spans="1:29" s="1778" customFormat="1" ht="11.25" customHeight="1">
      <c r="A33" s="1779"/>
      <c r="B33" s="1576">
        <v>46161</v>
      </c>
      <c r="C33" s="1577" t="s">
        <v>250</v>
      </c>
      <c r="D33" s="1578"/>
      <c r="E33" s="1581">
        <v>8</v>
      </c>
      <c r="F33" s="1580" t="s">
        <v>107</v>
      </c>
      <c r="G33" s="1581"/>
      <c r="H33" s="1582"/>
      <c r="I33" s="1590"/>
      <c r="J33" s="1889"/>
      <c r="K33" s="1583">
        <v>7.2</v>
      </c>
      <c r="L33" s="1891">
        <f>'통장내역(환율표)'!$D$88</f>
        <v>6.7996000305175901</v>
      </c>
      <c r="M33" s="1983">
        <f t="shared" si="12"/>
        <v>1.0588858120603208</v>
      </c>
      <c r="N33" s="1892">
        <f t="shared" si="7"/>
        <v>399452.3300000013</v>
      </c>
      <c r="O33" s="1892">
        <f t="shared" si="8"/>
        <v>58746.445263158166</v>
      </c>
      <c r="P33" s="1896"/>
      <c r="Q33" s="1896"/>
      <c r="R33" s="1896"/>
      <c r="S33" s="1871">
        <f>S32-M33</f>
        <v>58746.447932723589</v>
      </c>
      <c r="T33" s="1777"/>
      <c r="U33" s="1777"/>
      <c r="V33" s="1777"/>
      <c r="W33" s="1777"/>
      <c r="X33" s="1777"/>
      <c r="Y33" s="1777"/>
      <c r="Z33" s="1777"/>
      <c r="AA33" s="1777"/>
      <c r="AB33" s="1777"/>
      <c r="AC33" s="1777"/>
    </row>
    <row r="34" spans="1:29" s="1778" customFormat="1" ht="11.25" customHeight="1">
      <c r="A34" s="1779"/>
      <c r="B34" s="1576">
        <v>46165</v>
      </c>
      <c r="C34" s="1577" t="s">
        <v>1697</v>
      </c>
      <c r="D34" s="1578"/>
      <c r="E34" s="1581">
        <v>9</v>
      </c>
      <c r="F34" s="1580" t="s">
        <v>107</v>
      </c>
      <c r="G34" s="1581"/>
      <c r="H34" s="1582"/>
      <c r="I34" s="1590"/>
      <c r="J34" s="1889"/>
      <c r="K34" s="1583">
        <v>1010</v>
      </c>
      <c r="L34" s="1891">
        <f>'통장내역(환율표)'!$D$88</f>
        <v>6.7996000305175901</v>
      </c>
      <c r="M34" s="1983">
        <f t="shared" si="12"/>
        <v>148.53814863623944</v>
      </c>
      <c r="N34" s="1892">
        <f t="shared" si="7"/>
        <v>398442.3300000013</v>
      </c>
      <c r="O34" s="1892">
        <f t="shared" si="8"/>
        <v>58597.907114521928</v>
      </c>
      <c r="P34" s="1896"/>
      <c r="Q34" s="1896"/>
      <c r="R34" s="1896"/>
      <c r="S34" s="1871">
        <f t="shared" ref="S34:S95" si="13">S33-M34</f>
        <v>58597.909784087351</v>
      </c>
      <c r="T34" s="1777"/>
      <c r="U34" s="1777"/>
      <c r="V34" s="1777"/>
      <c r="W34" s="1777"/>
      <c r="X34" s="1777"/>
      <c r="Y34" s="1777"/>
      <c r="Z34" s="1777"/>
      <c r="AA34" s="1777"/>
      <c r="AB34" s="1777"/>
      <c r="AC34" s="1777"/>
    </row>
    <row r="35" spans="1:29" s="1778" customFormat="1" ht="11.25" customHeight="1">
      <c r="A35" s="1779"/>
      <c r="B35" s="1576">
        <v>46165</v>
      </c>
      <c r="C35" s="1577" t="s">
        <v>250</v>
      </c>
      <c r="D35" s="1578"/>
      <c r="E35" s="1581">
        <v>10</v>
      </c>
      <c r="F35" s="1580" t="s">
        <v>107</v>
      </c>
      <c r="G35" s="1581"/>
      <c r="H35" s="1582"/>
      <c r="I35" s="1590"/>
      <c r="J35" s="1889"/>
      <c r="K35" s="1583">
        <v>3.6</v>
      </c>
      <c r="L35" s="1891">
        <f>'통장내역(환율표)'!$D$88</f>
        <v>6.7996000305175901</v>
      </c>
      <c r="M35" s="1983">
        <f t="shared" si="12"/>
        <v>0.52944290603016042</v>
      </c>
      <c r="N35" s="1892">
        <f t="shared" si="7"/>
        <v>398438.73000000132</v>
      </c>
      <c r="O35" s="1892">
        <f t="shared" si="8"/>
        <v>58597.377671615897</v>
      </c>
      <c r="P35" s="1896"/>
      <c r="Q35" s="1896"/>
      <c r="R35" s="1896"/>
      <c r="S35" s="1871">
        <f t="shared" si="13"/>
        <v>58597.380341181321</v>
      </c>
      <c r="T35" s="1777"/>
      <c r="U35" s="1777"/>
      <c r="V35" s="1777"/>
      <c r="W35" s="1777"/>
      <c r="X35" s="1777"/>
      <c r="Y35" s="1777"/>
      <c r="Z35" s="1777"/>
      <c r="AA35" s="1777"/>
      <c r="AB35" s="1777"/>
      <c r="AC35" s="1777"/>
    </row>
    <row r="36" spans="1:29" s="1778" customFormat="1" ht="11.25" customHeight="1">
      <c r="A36" s="1779"/>
      <c r="B36" s="1576">
        <v>46165</v>
      </c>
      <c r="C36" s="1593" t="s">
        <v>305</v>
      </c>
      <c r="D36" s="1578"/>
      <c r="E36" s="1581">
        <v>11</v>
      </c>
      <c r="F36" s="1580" t="s">
        <v>105</v>
      </c>
      <c r="G36" s="1581" t="s">
        <v>227</v>
      </c>
      <c r="H36" s="1582"/>
      <c r="I36" s="1590"/>
      <c r="J36" s="1889"/>
      <c r="K36" s="1583">
        <v>7000</v>
      </c>
      <c r="L36" s="1891">
        <f>'통장내역(환율표)'!$D$88</f>
        <v>6.7996000305175901</v>
      </c>
      <c r="M36" s="1983">
        <f t="shared" si="12"/>
        <v>1029.4723172808674</v>
      </c>
      <c r="N36" s="1892">
        <f t="shared" si="7"/>
        <v>391438.73000000132</v>
      </c>
      <c r="O36" s="1892">
        <f t="shared" si="8"/>
        <v>57567.905354335031</v>
      </c>
      <c r="P36" s="1896"/>
      <c r="Q36" s="1896"/>
      <c r="R36" s="1896"/>
      <c r="S36" s="1871">
        <f t="shared" si="13"/>
        <v>57567.908023900454</v>
      </c>
      <c r="T36" s="1777"/>
      <c r="U36" s="1777"/>
      <c r="V36" s="1777"/>
      <c r="W36" s="1777"/>
      <c r="X36" s="1777"/>
      <c r="Y36" s="1777"/>
      <c r="Z36" s="1777"/>
      <c r="AA36" s="1777"/>
      <c r="AB36" s="1777"/>
      <c r="AC36" s="1777"/>
    </row>
    <row r="37" spans="1:29" s="1778" customFormat="1" ht="11.25" customHeight="1">
      <c r="A37" s="1779"/>
      <c r="B37" s="1576">
        <v>46165</v>
      </c>
      <c r="C37" s="1593" t="s">
        <v>1107</v>
      </c>
      <c r="D37" s="1578"/>
      <c r="E37" s="1581">
        <v>11</v>
      </c>
      <c r="F37" s="1580" t="s">
        <v>107</v>
      </c>
      <c r="G37" s="1581"/>
      <c r="H37" s="1582"/>
      <c r="I37" s="1590"/>
      <c r="J37" s="1889"/>
      <c r="K37" s="1583">
        <v>6000</v>
      </c>
      <c r="L37" s="1891">
        <f>'통장내역(환율표)'!$D$88</f>
        <v>6.7996000305175901</v>
      </c>
      <c r="M37" s="1983">
        <f t="shared" si="12"/>
        <v>882.40484338360056</v>
      </c>
      <c r="N37" s="1892">
        <f t="shared" si="7"/>
        <v>385438.73000000132</v>
      </c>
      <c r="O37" s="1892">
        <f t="shared" si="8"/>
        <v>56685.500510951431</v>
      </c>
      <c r="P37" s="1896"/>
      <c r="Q37" s="1896"/>
      <c r="R37" s="1896"/>
      <c r="S37" s="1871">
        <f t="shared" si="13"/>
        <v>56685.503180516855</v>
      </c>
      <c r="T37" s="1777"/>
      <c r="U37" s="1777"/>
      <c r="V37" s="1777"/>
      <c r="W37" s="1777"/>
      <c r="X37" s="1777"/>
      <c r="Y37" s="1777"/>
      <c r="Z37" s="1777"/>
      <c r="AA37" s="1777"/>
      <c r="AB37" s="1777"/>
      <c r="AC37" s="1777"/>
    </row>
    <row r="38" spans="1:29" s="1778" customFormat="1" ht="11.25" customHeight="1">
      <c r="A38" s="1779"/>
      <c r="B38" s="1576">
        <v>46165</v>
      </c>
      <c r="C38" s="1593" t="s">
        <v>1108</v>
      </c>
      <c r="D38" s="1578"/>
      <c r="E38" s="1993">
        <v>11</v>
      </c>
      <c r="F38" s="1580" t="s">
        <v>107</v>
      </c>
      <c r="G38" s="1993"/>
      <c r="H38" s="1582"/>
      <c r="I38" s="1590"/>
      <c r="J38" s="1889"/>
      <c r="K38" s="1583">
        <v>580</v>
      </c>
      <c r="L38" s="1891">
        <f>'통장내역(환율표)'!$D$88</f>
        <v>6.7996000305175901</v>
      </c>
      <c r="M38" s="1983">
        <f t="shared" si="12"/>
        <v>85.299134860414725</v>
      </c>
      <c r="N38" s="1892">
        <f t="shared" si="7"/>
        <v>384858.73000000132</v>
      </c>
      <c r="O38" s="1892">
        <f t="shared" si="8"/>
        <v>56600.201376091019</v>
      </c>
      <c r="P38" s="1896"/>
      <c r="Q38" s="1896"/>
      <c r="R38" s="1896"/>
      <c r="S38" s="1871">
        <f t="shared" si="13"/>
        <v>56600.204045656443</v>
      </c>
      <c r="T38" s="1777"/>
      <c r="U38" s="1777"/>
      <c r="V38" s="1777"/>
      <c r="W38" s="1777"/>
      <c r="X38" s="1777"/>
      <c r="Y38" s="1777"/>
      <c r="Z38" s="1777"/>
      <c r="AA38" s="1777"/>
      <c r="AB38" s="1777"/>
      <c r="AC38" s="1777"/>
    </row>
    <row r="39" spans="1:29" s="1778" customFormat="1" ht="11.25" customHeight="1">
      <c r="A39" s="1779"/>
      <c r="B39" s="1576">
        <v>46165</v>
      </c>
      <c r="C39" s="1593" t="s">
        <v>305</v>
      </c>
      <c r="D39" s="1578"/>
      <c r="E39" s="1581">
        <v>11</v>
      </c>
      <c r="F39" s="1580" t="s">
        <v>105</v>
      </c>
      <c r="G39" s="1581" t="s">
        <v>227</v>
      </c>
      <c r="H39" s="1582"/>
      <c r="I39" s="1590"/>
      <c r="J39" s="1889"/>
      <c r="K39" s="1583">
        <v>7000</v>
      </c>
      <c r="L39" s="1891">
        <f>'통장내역(환율표)'!$D$88</f>
        <v>6.7996000305175901</v>
      </c>
      <c r="M39" s="1983">
        <v>1029.473</v>
      </c>
      <c r="N39" s="1892">
        <f t="shared" si="7"/>
        <v>377858.73000000132</v>
      </c>
      <c r="O39" s="1892">
        <f t="shared" si="8"/>
        <v>55570.728376091021</v>
      </c>
      <c r="P39" s="1896"/>
      <c r="Q39" s="1896"/>
      <c r="R39" s="1896"/>
      <c r="S39" s="1871">
        <f t="shared" si="13"/>
        <v>55570.731045656445</v>
      </c>
      <c r="T39" s="1777"/>
      <c r="U39" s="1777"/>
      <c r="V39" s="1777"/>
      <c r="W39" s="1777"/>
      <c r="X39" s="1777"/>
      <c r="Y39" s="1777"/>
      <c r="Z39" s="1777"/>
      <c r="AA39" s="1777"/>
      <c r="AB39" s="1777"/>
      <c r="AC39" s="1777"/>
    </row>
    <row r="40" spans="1:29" s="1778" customFormat="1" ht="11.25" customHeight="1">
      <c r="A40" s="1779"/>
      <c r="B40" s="1576">
        <v>46165</v>
      </c>
      <c r="C40" s="1593" t="s">
        <v>347</v>
      </c>
      <c r="D40" s="1578"/>
      <c r="E40" s="1581">
        <v>11</v>
      </c>
      <c r="F40" s="1580" t="s">
        <v>107</v>
      </c>
      <c r="G40" s="1581"/>
      <c r="H40" s="1582"/>
      <c r="I40" s="1590"/>
      <c r="J40" s="1889"/>
      <c r="K40" s="1583">
        <v>6000</v>
      </c>
      <c r="L40" s="1891">
        <f>'통장내역(환율표)'!$D$88</f>
        <v>6.7996000305175901</v>
      </c>
      <c r="M40" s="1983">
        <f>K40/L40</f>
        <v>882.40484338360056</v>
      </c>
      <c r="N40" s="1892">
        <f t="shared" si="7"/>
        <v>371858.73000000132</v>
      </c>
      <c r="O40" s="1892">
        <f t="shared" si="8"/>
        <v>54688.323532707422</v>
      </c>
      <c r="P40" s="1896"/>
      <c r="Q40" s="1896"/>
      <c r="R40" s="1896"/>
      <c r="S40" s="1871">
        <f t="shared" si="13"/>
        <v>54688.326202272845</v>
      </c>
      <c r="T40" s="1777"/>
      <c r="U40" s="1777"/>
      <c r="V40" s="1777"/>
      <c r="W40" s="1777"/>
      <c r="X40" s="1777"/>
      <c r="Y40" s="1777"/>
      <c r="Z40" s="1777"/>
      <c r="AA40" s="1777"/>
      <c r="AB40" s="1777"/>
      <c r="AC40" s="1777"/>
    </row>
    <row r="41" spans="1:29" s="1778" customFormat="1" ht="11.25" customHeight="1">
      <c r="A41" s="1779"/>
      <c r="B41" s="1576">
        <v>46165</v>
      </c>
      <c r="C41" s="1593" t="s">
        <v>1108</v>
      </c>
      <c r="D41" s="1578"/>
      <c r="E41" s="1581">
        <v>11</v>
      </c>
      <c r="F41" s="1580" t="s">
        <v>107</v>
      </c>
      <c r="G41" s="1581"/>
      <c r="H41" s="1582"/>
      <c r="I41" s="1590"/>
      <c r="J41" s="1889"/>
      <c r="K41" s="1583">
        <v>760</v>
      </c>
      <c r="L41" s="1891">
        <f>'통장내역(환율표)'!$D$88</f>
        <v>6.7996000305175901</v>
      </c>
      <c r="M41" s="1983">
        <f>K41/L41</f>
        <v>111.77128016192275</v>
      </c>
      <c r="N41" s="1892">
        <f t="shared" si="7"/>
        <v>371098.73000000132</v>
      </c>
      <c r="O41" s="1892">
        <f t="shared" si="8"/>
        <v>54576.552252545502</v>
      </c>
      <c r="P41" s="1894"/>
      <c r="Q41" s="1894"/>
      <c r="R41" s="1894"/>
      <c r="S41" s="1871">
        <f t="shared" si="13"/>
        <v>54576.554922110925</v>
      </c>
      <c r="T41" s="1777"/>
      <c r="U41" s="1777"/>
      <c r="V41" s="1777"/>
      <c r="W41" s="1777"/>
      <c r="X41" s="1777"/>
      <c r="Y41" s="1777"/>
      <c r="Z41" s="1777"/>
      <c r="AA41" s="1777"/>
      <c r="AB41" s="1777"/>
      <c r="AC41" s="1777"/>
    </row>
    <row r="42" spans="1:29" s="1778" customFormat="1" ht="11.25" customHeight="1">
      <c r="A42" s="1779"/>
      <c r="B42" s="1576">
        <v>46165</v>
      </c>
      <c r="C42" s="1593" t="s">
        <v>305</v>
      </c>
      <c r="D42" s="1578"/>
      <c r="E42" s="1581">
        <v>11</v>
      </c>
      <c r="F42" s="1580" t="s">
        <v>105</v>
      </c>
      <c r="G42" s="1581" t="s">
        <v>227</v>
      </c>
      <c r="H42" s="1582"/>
      <c r="I42" s="1590"/>
      <c r="J42" s="1889"/>
      <c r="K42" s="1583">
        <v>6000</v>
      </c>
      <c r="L42" s="1891">
        <f>'통장내역(환율표)'!$D$88</f>
        <v>6.7996000305175901</v>
      </c>
      <c r="M42" s="1983">
        <v>882.41</v>
      </c>
      <c r="N42" s="1892">
        <f t="shared" si="7"/>
        <v>365098.73000000132</v>
      </c>
      <c r="O42" s="1892">
        <f t="shared" si="8"/>
        <v>53694.142252545498</v>
      </c>
      <c r="P42" s="1894"/>
      <c r="Q42" s="1894"/>
      <c r="R42" s="1894"/>
      <c r="S42" s="1871">
        <f t="shared" si="13"/>
        <v>53694.144922110921</v>
      </c>
      <c r="T42" s="1777"/>
      <c r="U42" s="1777"/>
      <c r="V42" s="1777"/>
      <c r="W42" s="1777"/>
      <c r="X42" s="1777"/>
      <c r="Y42" s="1777"/>
      <c r="Z42" s="1777"/>
      <c r="AA42" s="1777"/>
      <c r="AB42" s="1777"/>
      <c r="AC42" s="1777"/>
    </row>
    <row r="43" spans="1:29" s="1778" customFormat="1" ht="11.25" customHeight="1">
      <c r="A43" s="1779"/>
      <c r="B43" s="1576">
        <v>46165</v>
      </c>
      <c r="C43" s="1593" t="s">
        <v>1107</v>
      </c>
      <c r="D43" s="1578"/>
      <c r="E43" s="1581">
        <v>11</v>
      </c>
      <c r="F43" s="1580" t="s">
        <v>107</v>
      </c>
      <c r="G43" s="1581"/>
      <c r="H43" s="1582"/>
      <c r="I43" s="1590"/>
      <c r="J43" s="1889"/>
      <c r="K43" s="1583">
        <v>6000</v>
      </c>
      <c r="L43" s="1891">
        <f>'통장내역(환율표)'!$D$88</f>
        <v>6.7996000305175901</v>
      </c>
      <c r="M43" s="1983">
        <f t="shared" ref="M43:M74" si="14">K43/L43</f>
        <v>882.40484338360056</v>
      </c>
      <c r="N43" s="1892">
        <f t="shared" si="7"/>
        <v>359098.73000000132</v>
      </c>
      <c r="O43" s="1892">
        <f t="shared" si="8"/>
        <v>52811.737409161899</v>
      </c>
      <c r="P43" s="1894"/>
      <c r="Q43" s="1894"/>
      <c r="R43" s="1894"/>
      <c r="S43" s="1871">
        <f t="shared" si="13"/>
        <v>52811.740078727322</v>
      </c>
      <c r="T43" s="1777"/>
      <c r="U43" s="1777"/>
      <c r="V43" s="1777"/>
      <c r="W43" s="1777"/>
      <c r="X43" s="1777"/>
      <c r="Y43" s="1777"/>
      <c r="Z43" s="1777"/>
      <c r="AA43" s="1777"/>
      <c r="AB43" s="1777"/>
      <c r="AC43" s="1777"/>
    </row>
    <row r="44" spans="1:29" s="1778" customFormat="1" ht="11.25" customHeight="1">
      <c r="A44" s="1779"/>
      <c r="B44" s="1576">
        <v>46165</v>
      </c>
      <c r="C44" s="1593" t="s">
        <v>1108</v>
      </c>
      <c r="D44" s="1578"/>
      <c r="E44" s="1581">
        <v>11</v>
      </c>
      <c r="F44" s="1580" t="s">
        <v>107</v>
      </c>
      <c r="G44" s="1581"/>
      <c r="H44" s="1582"/>
      <c r="I44" s="1590"/>
      <c r="J44" s="1889"/>
      <c r="K44" s="1583">
        <v>300</v>
      </c>
      <c r="L44" s="1891">
        <f>'통장내역(환율표)'!$D$88</f>
        <v>6.7996000305175901</v>
      </c>
      <c r="M44" s="1983">
        <f t="shared" si="14"/>
        <v>44.120242169180031</v>
      </c>
      <c r="N44" s="1892">
        <f t="shared" si="7"/>
        <v>358798.73000000132</v>
      </c>
      <c r="O44" s="1892">
        <f t="shared" si="8"/>
        <v>52767.617166992721</v>
      </c>
      <c r="P44" s="1903"/>
      <c r="Q44" s="1894"/>
      <c r="R44" s="1894"/>
      <c r="S44" s="1871">
        <f t="shared" si="13"/>
        <v>52767.619836558144</v>
      </c>
      <c r="T44" s="1777"/>
      <c r="U44" s="1777"/>
      <c r="V44" s="1777"/>
      <c r="W44" s="1777"/>
      <c r="X44" s="1777"/>
      <c r="Y44" s="1777"/>
      <c r="Z44" s="1777"/>
      <c r="AA44" s="1777"/>
      <c r="AB44" s="1777"/>
      <c r="AC44" s="1777"/>
    </row>
    <row r="45" spans="1:29" s="1778" customFormat="1" ht="11.25" customHeight="1">
      <c r="A45" s="1779"/>
      <c r="B45" s="1576">
        <v>46165</v>
      </c>
      <c r="C45" s="1593" t="s">
        <v>250</v>
      </c>
      <c r="D45" s="1578"/>
      <c r="E45" s="1581">
        <v>12</v>
      </c>
      <c r="F45" s="1580" t="s">
        <v>107</v>
      </c>
      <c r="G45" s="1581"/>
      <c r="H45" s="1582"/>
      <c r="I45" s="1590"/>
      <c r="J45" s="1889"/>
      <c r="K45" s="1583">
        <v>7.2</v>
      </c>
      <c r="L45" s="1891">
        <f>'통장내역(환율표)'!$D$88</f>
        <v>6.7996000305175901</v>
      </c>
      <c r="M45" s="1983">
        <f t="shared" si="14"/>
        <v>1.0588858120603208</v>
      </c>
      <c r="N45" s="1892">
        <f t="shared" si="7"/>
        <v>358791.53000000131</v>
      </c>
      <c r="O45" s="1892">
        <f t="shared" si="8"/>
        <v>52766.55828118066</v>
      </c>
      <c r="P45" s="1903"/>
      <c r="Q45" s="1894"/>
      <c r="R45" s="1894"/>
      <c r="S45" s="1871">
        <f t="shared" si="13"/>
        <v>52766.560950746083</v>
      </c>
      <c r="T45" s="1777"/>
      <c r="U45" s="1777"/>
      <c r="V45" s="1777"/>
      <c r="W45" s="1777"/>
      <c r="X45" s="1777"/>
      <c r="Y45" s="1777"/>
      <c r="Z45" s="1777"/>
      <c r="AA45" s="1777"/>
      <c r="AB45" s="1777"/>
      <c r="AC45" s="1777"/>
    </row>
    <row r="46" spans="1:29" s="1778" customFormat="1" ht="12" customHeight="1">
      <c r="A46" s="1779"/>
      <c r="B46" s="1576">
        <v>46165</v>
      </c>
      <c r="C46" s="1577" t="s">
        <v>1461</v>
      </c>
      <c r="D46" s="1578" t="s">
        <v>188</v>
      </c>
      <c r="E46" s="1581">
        <v>13</v>
      </c>
      <c r="F46" s="1580" t="s">
        <v>116</v>
      </c>
      <c r="G46" s="1581" t="s">
        <v>140</v>
      </c>
      <c r="H46" s="1582"/>
      <c r="I46" s="1590"/>
      <c r="J46" s="1889"/>
      <c r="K46" s="1583">
        <v>916</v>
      </c>
      <c r="L46" s="1891">
        <f>'통장내역(환율표)'!$D$88</f>
        <v>6.7996000305175901</v>
      </c>
      <c r="M46" s="1983">
        <f t="shared" si="14"/>
        <v>134.71380608989637</v>
      </c>
      <c r="N46" s="1892">
        <f t="shared" si="7"/>
        <v>357875.53000000131</v>
      </c>
      <c r="O46" s="1892">
        <f t="shared" si="8"/>
        <v>52631.844475090766</v>
      </c>
      <c r="P46" s="1903"/>
      <c r="Q46" s="1894"/>
      <c r="R46" s="1894"/>
      <c r="S46" s="1871">
        <f t="shared" si="13"/>
        <v>52631.847144656189</v>
      </c>
      <c r="T46" s="1777"/>
      <c r="U46" s="1777"/>
      <c r="V46" s="1777"/>
      <c r="W46" s="1777"/>
      <c r="X46" s="1777"/>
      <c r="Y46" s="1777"/>
      <c r="Z46" s="1777"/>
      <c r="AA46" s="1777"/>
      <c r="AB46" s="1777"/>
      <c r="AC46" s="1777"/>
    </row>
    <row r="47" spans="1:29" s="1778" customFormat="1" ht="12" customHeight="1">
      <c r="A47" s="1779"/>
      <c r="B47" s="1576">
        <v>46165</v>
      </c>
      <c r="C47" s="1577" t="s">
        <v>125</v>
      </c>
      <c r="D47" s="1578" t="s">
        <v>188</v>
      </c>
      <c r="E47" s="1581">
        <v>14</v>
      </c>
      <c r="F47" s="1580" t="s">
        <v>125</v>
      </c>
      <c r="G47" s="1581" t="s">
        <v>145</v>
      </c>
      <c r="H47" s="1582"/>
      <c r="I47" s="1582"/>
      <c r="J47" s="1889"/>
      <c r="K47" s="1583">
        <v>3323</v>
      </c>
      <c r="L47" s="1891">
        <f>'통장내역(환율표)'!$D$88</f>
        <v>6.7996000305175901</v>
      </c>
      <c r="M47" s="1983">
        <f t="shared" si="14"/>
        <v>488.70521576061748</v>
      </c>
      <c r="N47" s="1892">
        <f t="shared" si="7"/>
        <v>354552.53000000131</v>
      </c>
      <c r="O47" s="1892">
        <f t="shared" si="8"/>
        <v>52143.13925933015</v>
      </c>
      <c r="P47" s="1903"/>
      <c r="Q47" s="1894"/>
      <c r="R47" s="1894"/>
      <c r="S47" s="1871">
        <f t="shared" si="13"/>
        <v>52143.141928895573</v>
      </c>
      <c r="T47" s="1777"/>
      <c r="U47" s="1777"/>
      <c r="V47" s="1777"/>
      <c r="W47" s="1777"/>
      <c r="X47" s="1777"/>
      <c r="Y47" s="1777"/>
      <c r="Z47" s="1777"/>
      <c r="AA47" s="1777"/>
      <c r="AB47" s="1777"/>
      <c r="AC47" s="1777"/>
    </row>
    <row r="48" spans="1:29" s="1778" customFormat="1" ht="12" customHeight="1">
      <c r="A48" s="1779"/>
      <c r="B48" s="1576">
        <v>46165</v>
      </c>
      <c r="C48" s="1577" t="s">
        <v>1451</v>
      </c>
      <c r="D48" s="1578" t="s">
        <v>188</v>
      </c>
      <c r="E48" s="1581">
        <v>15</v>
      </c>
      <c r="F48" s="1580" t="s">
        <v>146</v>
      </c>
      <c r="G48" s="1581" t="s">
        <v>147</v>
      </c>
      <c r="H48" s="1582"/>
      <c r="I48" s="1582"/>
      <c r="J48" s="1889"/>
      <c r="K48" s="1583">
        <v>428.1</v>
      </c>
      <c r="L48" s="1891">
        <f>'통장내역(환율표)'!$D$88</f>
        <v>6.7996000305175901</v>
      </c>
      <c r="M48" s="1983">
        <f t="shared" si="14"/>
        <v>62.959585575419908</v>
      </c>
      <c r="N48" s="1892">
        <f t="shared" si="7"/>
        <v>354124.43000000133</v>
      </c>
      <c r="O48" s="1892">
        <f t="shared" si="8"/>
        <v>52080.179673754727</v>
      </c>
      <c r="P48" s="1903"/>
      <c r="Q48" s="1894"/>
      <c r="R48" s="1894"/>
      <c r="S48" s="1871">
        <f t="shared" si="13"/>
        <v>52080.18234332015</v>
      </c>
      <c r="T48" s="1777"/>
      <c r="U48" s="1777"/>
      <c r="V48" s="1777"/>
      <c r="W48" s="1777"/>
      <c r="X48" s="1777"/>
      <c r="Y48" s="1777"/>
      <c r="Z48" s="1777"/>
      <c r="AA48" s="1777"/>
      <c r="AB48" s="1777"/>
      <c r="AC48" s="1777"/>
    </row>
    <row r="49" spans="1:29" s="1778" customFormat="1" ht="12" customHeight="1">
      <c r="A49" s="1779"/>
      <c r="B49" s="1576">
        <v>46165</v>
      </c>
      <c r="C49" s="1592" t="s">
        <v>564</v>
      </c>
      <c r="D49" s="1578" t="s">
        <v>188</v>
      </c>
      <c r="E49" s="1581">
        <v>16</v>
      </c>
      <c r="F49" s="1580" t="s">
        <v>107</v>
      </c>
      <c r="G49" s="1581"/>
      <c r="H49" s="1582"/>
      <c r="I49" s="1582"/>
      <c r="J49" s="1889"/>
      <c r="K49" s="1583">
        <v>676</v>
      </c>
      <c r="L49" s="1891">
        <f>'통장내역(환율표)'!$D$88</f>
        <v>6.7996000305175901</v>
      </c>
      <c r="M49" s="1983">
        <f t="shared" si="14"/>
        <v>99.417612354552332</v>
      </c>
      <c r="N49" s="1892">
        <f t="shared" si="7"/>
        <v>353448.43000000133</v>
      </c>
      <c r="O49" s="1892">
        <f t="shared" si="8"/>
        <v>51980.762061400172</v>
      </c>
      <c r="P49" s="1903"/>
      <c r="Q49" s="1894"/>
      <c r="R49" s="1894"/>
      <c r="S49" s="1871">
        <f t="shared" si="13"/>
        <v>51980.764730965595</v>
      </c>
      <c r="T49" s="1777"/>
      <c r="U49" s="1777"/>
      <c r="V49" s="1777"/>
      <c r="W49" s="1777"/>
      <c r="X49" s="1777"/>
      <c r="Y49" s="1777"/>
      <c r="Z49" s="1777"/>
      <c r="AA49" s="1777"/>
      <c r="AB49" s="1777"/>
      <c r="AC49" s="1777"/>
    </row>
    <row r="50" spans="1:29" s="1778" customFormat="1" ht="12" customHeight="1">
      <c r="A50" s="1779"/>
      <c r="B50" s="1576">
        <v>46165</v>
      </c>
      <c r="C50" s="1577" t="s">
        <v>124</v>
      </c>
      <c r="D50" s="1578" t="s">
        <v>188</v>
      </c>
      <c r="E50" s="1581">
        <v>17</v>
      </c>
      <c r="F50" s="1580" t="s">
        <v>107</v>
      </c>
      <c r="G50" s="1581"/>
      <c r="H50" s="1582"/>
      <c r="I50" s="1582"/>
      <c r="J50" s="1889"/>
      <c r="K50" s="1583">
        <v>89.25</v>
      </c>
      <c r="L50" s="1891">
        <f>'통장내역(환율표)'!$D$88</f>
        <v>6.7996000305175901</v>
      </c>
      <c r="M50" s="1983">
        <f t="shared" si="14"/>
        <v>13.125772045331059</v>
      </c>
      <c r="N50" s="1892">
        <f t="shared" si="7"/>
        <v>353359.18000000133</v>
      </c>
      <c r="O50" s="1892">
        <f t="shared" si="8"/>
        <v>51967.636289354843</v>
      </c>
      <c r="P50" s="1903"/>
      <c r="Q50" s="1894"/>
      <c r="R50" s="1903"/>
      <c r="S50" s="1871">
        <f t="shared" si="13"/>
        <v>51967.638958920266</v>
      </c>
      <c r="T50" s="1777"/>
      <c r="U50" s="1777"/>
      <c r="V50" s="1777"/>
      <c r="W50" s="1777"/>
      <c r="X50" s="1777"/>
      <c r="Y50" s="1777"/>
      <c r="Z50" s="1777"/>
      <c r="AA50" s="1777"/>
      <c r="AB50" s="1777"/>
      <c r="AC50" s="1777"/>
    </row>
    <row r="51" spans="1:29" s="1778" customFormat="1" ht="12" customHeight="1">
      <c r="A51" s="1779"/>
      <c r="B51" s="1576">
        <v>46165</v>
      </c>
      <c r="C51" s="1577" t="s">
        <v>250</v>
      </c>
      <c r="D51" s="1578" t="s">
        <v>188</v>
      </c>
      <c r="E51" s="1581">
        <v>18</v>
      </c>
      <c r="F51" s="1580" t="s">
        <v>107</v>
      </c>
      <c r="G51" s="1581"/>
      <c r="H51" s="1582"/>
      <c r="I51" s="1582"/>
      <c r="J51" s="1889"/>
      <c r="K51" s="1583">
        <v>3.6</v>
      </c>
      <c r="L51" s="1891">
        <f>'통장내역(환율표)'!$D$88</f>
        <v>6.7996000305175901</v>
      </c>
      <c r="M51" s="1983">
        <f t="shared" si="14"/>
        <v>0.52944290603016042</v>
      </c>
      <c r="N51" s="1892">
        <f t="shared" si="7"/>
        <v>353355.58000000136</v>
      </c>
      <c r="O51" s="1892">
        <f t="shared" si="8"/>
        <v>51967.106846448813</v>
      </c>
      <c r="P51" s="1903"/>
      <c r="Q51" s="1894"/>
      <c r="R51" s="1894"/>
      <c r="S51" s="1871">
        <f t="shared" si="13"/>
        <v>51967.109516014236</v>
      </c>
      <c r="T51" s="1777"/>
      <c r="U51" s="1777"/>
      <c r="V51" s="1777"/>
      <c r="W51" s="1777"/>
      <c r="X51" s="1777"/>
      <c r="Y51" s="1777"/>
      <c r="Z51" s="1777"/>
      <c r="AA51" s="1777"/>
      <c r="AB51" s="1777"/>
      <c r="AC51" s="1777"/>
    </row>
    <row r="52" spans="1:29" s="1778" customFormat="1" ht="12" customHeight="1">
      <c r="A52" s="1779"/>
      <c r="B52" s="1576">
        <v>46165</v>
      </c>
      <c r="C52" s="1577" t="s">
        <v>11</v>
      </c>
      <c r="D52" s="1578" t="s">
        <v>1390</v>
      </c>
      <c r="E52" s="1581">
        <v>19</v>
      </c>
      <c r="F52" s="1580" t="s">
        <v>125</v>
      </c>
      <c r="G52" s="1581" t="s">
        <v>145</v>
      </c>
      <c r="H52" s="1594"/>
      <c r="I52" s="1595"/>
      <c r="J52" s="1889"/>
      <c r="K52" s="1583">
        <v>1110.1600000000001</v>
      </c>
      <c r="L52" s="1891">
        <f>'통장내역(환율표)'!$D$88</f>
        <v>6.7996000305175901</v>
      </c>
      <c r="M52" s="1983">
        <f t="shared" si="14"/>
        <v>163.26842682178969</v>
      </c>
      <c r="N52" s="1892">
        <f t="shared" si="7"/>
        <v>352245.42000000138</v>
      </c>
      <c r="O52" s="1892">
        <f t="shared" si="8"/>
        <v>51803.83841962702</v>
      </c>
      <c r="P52" s="1903"/>
      <c r="Q52" s="1894"/>
      <c r="R52" s="1894"/>
      <c r="S52" s="1871">
        <f t="shared" si="13"/>
        <v>51803.841089192443</v>
      </c>
      <c r="T52" s="1777"/>
      <c r="U52" s="1777"/>
      <c r="V52" s="1777"/>
      <c r="W52" s="1777"/>
      <c r="X52" s="1777"/>
      <c r="Y52" s="1777"/>
      <c r="Z52" s="1777"/>
      <c r="AA52" s="1777"/>
      <c r="AB52" s="1777"/>
      <c r="AC52" s="1777"/>
    </row>
    <row r="53" spans="1:29" s="1778" customFormat="1" ht="12" customHeight="1">
      <c r="A53" s="1779"/>
      <c r="B53" s="1576">
        <v>46165</v>
      </c>
      <c r="C53" s="1577" t="s">
        <v>1403</v>
      </c>
      <c r="D53" s="1578" t="s">
        <v>1390</v>
      </c>
      <c r="E53" s="1581">
        <v>20</v>
      </c>
      <c r="F53" s="1580" t="s">
        <v>13</v>
      </c>
      <c r="G53" s="1581" t="s">
        <v>14</v>
      </c>
      <c r="H53" s="1594"/>
      <c r="I53" s="1595"/>
      <c r="J53" s="1889"/>
      <c r="K53" s="1583">
        <v>3489.39</v>
      </c>
      <c r="L53" s="1891">
        <f>'통장내역(환율표)'!$D$88</f>
        <v>6.7996000305175901</v>
      </c>
      <c r="M53" s="1983">
        <f t="shared" si="14"/>
        <v>513.17577274238363</v>
      </c>
      <c r="N53" s="1892">
        <f t="shared" si="7"/>
        <v>348756.03000000137</v>
      </c>
      <c r="O53" s="1892">
        <f t="shared" si="8"/>
        <v>51290.662646884637</v>
      </c>
      <c r="P53" s="1903"/>
      <c r="Q53" s="1894"/>
      <c r="R53" s="1894"/>
      <c r="S53" s="1871">
        <f t="shared" si="13"/>
        <v>51290.66531645006</v>
      </c>
      <c r="T53" s="1777"/>
      <c r="U53" s="1777"/>
      <c r="V53" s="1777"/>
      <c r="W53" s="1777"/>
      <c r="X53" s="1777"/>
      <c r="Y53" s="1777"/>
      <c r="Z53" s="1777"/>
      <c r="AA53" s="1777"/>
      <c r="AB53" s="1777"/>
      <c r="AC53" s="1777"/>
    </row>
    <row r="54" spans="1:29" s="1778" customFormat="1" ht="12" customHeight="1">
      <c r="A54" s="1779"/>
      <c r="B54" s="1576">
        <v>46165</v>
      </c>
      <c r="C54" s="1577" t="s">
        <v>1451</v>
      </c>
      <c r="D54" s="1578" t="s">
        <v>1390</v>
      </c>
      <c r="E54" s="1581">
        <v>21</v>
      </c>
      <c r="F54" s="1580" t="s">
        <v>146</v>
      </c>
      <c r="G54" s="1581" t="s">
        <v>147</v>
      </c>
      <c r="H54" s="1594"/>
      <c r="I54" s="1595"/>
      <c r="J54" s="1889"/>
      <c r="K54" s="1583">
        <v>126.6</v>
      </c>
      <c r="L54" s="1891">
        <f>'통장내역(환율표)'!$D$88</f>
        <v>6.7996000305175901</v>
      </c>
      <c r="M54" s="1983">
        <f t="shared" si="14"/>
        <v>18.61874219539397</v>
      </c>
      <c r="N54" s="1892">
        <f t="shared" ref="N54:N85" si="15">N53+H54-K54</f>
        <v>348629.43000000139</v>
      </c>
      <c r="O54" s="1892">
        <f t="shared" ref="O54:O85" si="16">O53+J54-M54</f>
        <v>51272.043904689242</v>
      </c>
      <c r="P54" s="1903"/>
      <c r="Q54" s="1894"/>
      <c r="R54" s="1894"/>
      <c r="S54" s="1871">
        <f t="shared" si="13"/>
        <v>51272.046574254666</v>
      </c>
      <c r="T54" s="1777"/>
      <c r="U54" s="1777"/>
      <c r="V54" s="1777"/>
      <c r="W54" s="1777"/>
      <c r="X54" s="1777"/>
      <c r="Y54" s="1777"/>
      <c r="Z54" s="1777"/>
      <c r="AA54" s="1777"/>
      <c r="AB54" s="1777"/>
      <c r="AC54" s="1777"/>
    </row>
    <row r="55" spans="1:29" s="1778" customFormat="1" ht="12" customHeight="1">
      <c r="A55" s="1779"/>
      <c r="B55" s="1576">
        <v>46165</v>
      </c>
      <c r="C55" s="1577" t="s">
        <v>19</v>
      </c>
      <c r="D55" s="1578" t="s">
        <v>1390</v>
      </c>
      <c r="E55" s="1581">
        <v>22</v>
      </c>
      <c r="F55" s="1580" t="s">
        <v>116</v>
      </c>
      <c r="G55" s="1581" t="s">
        <v>140</v>
      </c>
      <c r="H55" s="1594"/>
      <c r="I55" s="1595"/>
      <c r="J55" s="1889"/>
      <c r="K55" s="1583">
        <v>236.8</v>
      </c>
      <c r="L55" s="1891">
        <f>'통장내역(환율표)'!$D$88</f>
        <v>6.7996000305175901</v>
      </c>
      <c r="M55" s="1983">
        <f t="shared" si="14"/>
        <v>34.825577818872773</v>
      </c>
      <c r="N55" s="1892">
        <f t="shared" si="15"/>
        <v>348392.6300000014</v>
      </c>
      <c r="O55" s="1892">
        <f t="shared" si="16"/>
        <v>51237.218326870367</v>
      </c>
      <c r="Q55" s="1894"/>
      <c r="R55" s="1903"/>
      <c r="S55" s="1871">
        <f t="shared" si="13"/>
        <v>51237.22099643579</v>
      </c>
      <c r="T55" s="1777"/>
      <c r="U55" s="1777"/>
      <c r="V55" s="1777"/>
      <c r="W55" s="1777"/>
      <c r="X55" s="1777"/>
      <c r="Y55" s="1777"/>
      <c r="Z55" s="1777"/>
      <c r="AA55" s="1777"/>
      <c r="AB55" s="1777"/>
      <c r="AC55" s="1777"/>
    </row>
    <row r="56" spans="1:29" s="1778" customFormat="1" ht="12" customHeight="1">
      <c r="A56" s="1779"/>
      <c r="B56" s="1576">
        <v>46165</v>
      </c>
      <c r="C56" s="1592" t="s">
        <v>1698</v>
      </c>
      <c r="D56" s="1578" t="s">
        <v>1390</v>
      </c>
      <c r="E56" s="1581">
        <v>23</v>
      </c>
      <c r="F56" s="1580" t="s">
        <v>107</v>
      </c>
      <c r="G56" s="1581"/>
      <c r="H56" s="1594"/>
      <c r="I56" s="1595"/>
      <c r="J56" s="1889"/>
      <c r="K56" s="1583">
        <v>700</v>
      </c>
      <c r="L56" s="1891">
        <f>'통장내역(환율표)'!$D$88</f>
        <v>6.7996000305175901</v>
      </c>
      <c r="M56" s="1983">
        <f t="shared" si="14"/>
        <v>102.94723172808673</v>
      </c>
      <c r="N56" s="1892">
        <f t="shared" si="15"/>
        <v>347692.6300000014</v>
      </c>
      <c r="O56" s="1892">
        <f t="shared" si="16"/>
        <v>51134.271095142278</v>
      </c>
      <c r="P56" s="1903"/>
      <c r="Q56" s="1894"/>
      <c r="R56" s="1903"/>
      <c r="S56" s="1871">
        <f t="shared" si="13"/>
        <v>51134.273764707701</v>
      </c>
      <c r="T56" s="1777"/>
      <c r="U56" s="1777"/>
      <c r="V56" s="1777"/>
      <c r="W56" s="1777"/>
      <c r="X56" s="1777"/>
      <c r="Y56" s="1777"/>
      <c r="Z56" s="1777"/>
      <c r="AA56" s="1777"/>
      <c r="AB56" s="1777"/>
      <c r="AC56" s="1777"/>
    </row>
    <row r="57" spans="1:29" s="1778" customFormat="1" ht="12" customHeight="1">
      <c r="A57" s="1779"/>
      <c r="B57" s="1576">
        <v>46165</v>
      </c>
      <c r="C57" s="1577" t="s">
        <v>1405</v>
      </c>
      <c r="D57" s="1578" t="s">
        <v>1390</v>
      </c>
      <c r="E57" s="1581">
        <v>24</v>
      </c>
      <c r="F57" s="1580" t="s">
        <v>21</v>
      </c>
      <c r="G57" s="1581"/>
      <c r="H57" s="1594"/>
      <c r="I57" s="1595"/>
      <c r="J57" s="1905"/>
      <c r="K57" s="1583">
        <v>18</v>
      </c>
      <c r="L57" s="1891">
        <f>'통장내역(환율표)'!$D$88</f>
        <v>6.7996000305175901</v>
      </c>
      <c r="M57" s="1983">
        <f t="shared" si="14"/>
        <v>2.6472145301508019</v>
      </c>
      <c r="N57" s="1892">
        <f t="shared" si="15"/>
        <v>347674.6300000014</v>
      </c>
      <c r="O57" s="1892">
        <f t="shared" si="16"/>
        <v>51131.623880612126</v>
      </c>
      <c r="P57" s="1903"/>
      <c r="Q57" s="1894"/>
      <c r="R57" s="1894"/>
      <c r="S57" s="1871">
        <f t="shared" si="13"/>
        <v>51131.626550177549</v>
      </c>
      <c r="T57" s="1777"/>
      <c r="U57" s="1777"/>
      <c r="V57" s="1777"/>
      <c r="W57" s="1777"/>
      <c r="X57" s="1777"/>
      <c r="Y57" s="1777"/>
      <c r="Z57" s="1777"/>
      <c r="AA57" s="1777"/>
      <c r="AB57" s="1777"/>
      <c r="AC57" s="1777"/>
    </row>
    <row r="58" spans="1:29" s="1778" customFormat="1" ht="12" customHeight="1">
      <c r="A58" s="1779"/>
      <c r="B58" s="1576">
        <v>46165</v>
      </c>
      <c r="C58" s="1577" t="s">
        <v>250</v>
      </c>
      <c r="D58" s="1578" t="s">
        <v>1390</v>
      </c>
      <c r="E58" s="1581">
        <v>25</v>
      </c>
      <c r="F58" s="1580" t="s">
        <v>107</v>
      </c>
      <c r="G58" s="1581"/>
      <c r="H58" s="1582"/>
      <c r="I58" s="1582"/>
      <c r="J58" s="1905"/>
      <c r="K58" s="1583">
        <v>3.6</v>
      </c>
      <c r="L58" s="1891">
        <f>'통장내역(환율표)'!$D$88</f>
        <v>6.7996000305175901</v>
      </c>
      <c r="M58" s="1983">
        <f t="shared" si="14"/>
        <v>0.52944290603016042</v>
      </c>
      <c r="N58" s="1892">
        <f t="shared" si="15"/>
        <v>347671.03000000142</v>
      </c>
      <c r="O58" s="1892">
        <f t="shared" si="16"/>
        <v>51131.094437706095</v>
      </c>
      <c r="P58" s="1903"/>
      <c r="Q58" s="1894"/>
      <c r="R58" s="1894"/>
      <c r="S58" s="1871">
        <f t="shared" si="13"/>
        <v>51131.097107271518</v>
      </c>
      <c r="T58" s="1777"/>
      <c r="U58" s="1777"/>
      <c r="V58" s="1777"/>
      <c r="W58" s="1777"/>
      <c r="X58" s="1777"/>
      <c r="Y58" s="1777"/>
      <c r="Z58" s="1777"/>
      <c r="AA58" s="1777"/>
      <c r="AB58" s="1777"/>
      <c r="AC58" s="1777"/>
    </row>
    <row r="59" spans="1:29" s="1778" customFormat="1" ht="12" customHeight="1">
      <c r="A59" s="1779"/>
      <c r="B59" s="1576">
        <v>46165</v>
      </c>
      <c r="C59" s="1577" t="s">
        <v>1451</v>
      </c>
      <c r="D59" s="1578" t="s">
        <v>1591</v>
      </c>
      <c r="E59" s="1581">
        <v>26</v>
      </c>
      <c r="F59" s="1580" t="s">
        <v>146</v>
      </c>
      <c r="G59" s="1581" t="s">
        <v>147</v>
      </c>
      <c r="H59" s="1582"/>
      <c r="I59" s="1582"/>
      <c r="J59" s="1905"/>
      <c r="K59" s="1583">
        <v>1224.5999999999999</v>
      </c>
      <c r="L59" s="1891">
        <f>'통장내역(환율표)'!$D$88</f>
        <v>6.7996000305175901</v>
      </c>
      <c r="M59" s="1983">
        <f t="shared" si="14"/>
        <v>180.09882853459288</v>
      </c>
      <c r="N59" s="1892">
        <f t="shared" si="15"/>
        <v>346446.43000000145</v>
      </c>
      <c r="O59" s="1892">
        <f t="shared" si="16"/>
        <v>50950.995609171499</v>
      </c>
      <c r="P59" s="1903"/>
      <c r="Q59" s="1894"/>
      <c r="R59" s="1894"/>
      <c r="S59" s="1871">
        <f t="shared" si="13"/>
        <v>50950.998278736923</v>
      </c>
      <c r="T59" s="1777"/>
      <c r="U59" s="1777"/>
      <c r="V59" s="1777"/>
      <c r="W59" s="1777"/>
      <c r="X59" s="1777"/>
      <c r="Y59" s="1777"/>
      <c r="Z59" s="1777"/>
      <c r="AA59" s="1777"/>
      <c r="AB59" s="1777"/>
      <c r="AC59" s="1777"/>
    </row>
    <row r="60" spans="1:29" s="1778" customFormat="1" ht="12" customHeight="1">
      <c r="A60" s="1779"/>
      <c r="B60" s="1576">
        <v>46165</v>
      </c>
      <c r="C60" s="1577" t="s">
        <v>1403</v>
      </c>
      <c r="D60" s="1578" t="s">
        <v>1591</v>
      </c>
      <c r="E60" s="1581">
        <v>27</v>
      </c>
      <c r="F60" s="1580" t="s">
        <v>13</v>
      </c>
      <c r="G60" s="1581" t="s">
        <v>14</v>
      </c>
      <c r="H60" s="1582"/>
      <c r="I60" s="1582"/>
      <c r="J60" s="1905"/>
      <c r="K60" s="1583">
        <v>6692.6</v>
      </c>
      <c r="L60" s="1891">
        <f>'통장내역(환율표)'!$D$88</f>
        <v>6.7996000305175901</v>
      </c>
      <c r="M60" s="1983">
        <f t="shared" si="14"/>
        <v>984.26377580484757</v>
      </c>
      <c r="N60" s="1892">
        <f t="shared" si="15"/>
        <v>339753.83000000147</v>
      </c>
      <c r="O60" s="1892">
        <f t="shared" si="16"/>
        <v>49966.731833366655</v>
      </c>
      <c r="P60" s="1903"/>
      <c r="Q60" s="1894"/>
      <c r="R60" s="1894"/>
      <c r="S60" s="1871">
        <f t="shared" si="13"/>
        <v>49966.734502932079</v>
      </c>
      <c r="T60" s="1777"/>
      <c r="U60" s="1777"/>
      <c r="V60" s="1777"/>
      <c r="W60" s="1777"/>
      <c r="X60" s="1777"/>
      <c r="Y60" s="1777"/>
      <c r="Z60" s="1777"/>
      <c r="AA60" s="1777"/>
      <c r="AB60" s="1777"/>
      <c r="AC60" s="1777"/>
    </row>
    <row r="61" spans="1:29" s="1778" customFormat="1" ht="12" customHeight="1">
      <c r="A61" s="1779"/>
      <c r="B61" s="1576">
        <v>46165</v>
      </c>
      <c r="C61" s="1577" t="s">
        <v>1405</v>
      </c>
      <c r="D61" s="1578" t="s">
        <v>1591</v>
      </c>
      <c r="E61" s="1581">
        <v>28</v>
      </c>
      <c r="F61" s="1580" t="s">
        <v>21</v>
      </c>
      <c r="G61" s="1581"/>
      <c r="H61" s="1582"/>
      <c r="I61" s="1582"/>
      <c r="J61" s="1905"/>
      <c r="K61" s="1583">
        <v>490.7</v>
      </c>
      <c r="L61" s="1891">
        <f>'통장내역(환율표)'!$D$88</f>
        <v>6.7996000305175901</v>
      </c>
      <c r="M61" s="1983">
        <f t="shared" si="14"/>
        <v>72.166009441388795</v>
      </c>
      <c r="N61" s="1892">
        <f t="shared" si="15"/>
        <v>339263.13000000146</v>
      </c>
      <c r="O61" s="1892">
        <f t="shared" si="16"/>
        <v>49894.565823925266</v>
      </c>
      <c r="P61" s="1903"/>
      <c r="Q61" s="1894"/>
      <c r="R61" s="1894"/>
      <c r="S61" s="1871">
        <f t="shared" si="13"/>
        <v>49894.568493490689</v>
      </c>
      <c r="T61" s="1777"/>
      <c r="U61" s="1777"/>
      <c r="V61" s="1777"/>
      <c r="W61" s="1777"/>
      <c r="X61" s="1777"/>
      <c r="Y61" s="1777"/>
      <c r="Z61" s="1777"/>
      <c r="AA61" s="1777"/>
      <c r="AB61" s="1777"/>
      <c r="AC61" s="1777"/>
    </row>
    <row r="62" spans="1:29" s="1778" customFormat="1" ht="12" customHeight="1">
      <c r="A62" s="1779"/>
      <c r="B62" s="1576">
        <v>46165</v>
      </c>
      <c r="C62" s="1577" t="s">
        <v>19</v>
      </c>
      <c r="D62" s="1578" t="s">
        <v>1591</v>
      </c>
      <c r="E62" s="1581">
        <v>29</v>
      </c>
      <c r="F62" s="1580" t="s">
        <v>116</v>
      </c>
      <c r="G62" s="1581" t="s">
        <v>140</v>
      </c>
      <c r="H62" s="1582"/>
      <c r="I62" s="1582"/>
      <c r="J62" s="1889"/>
      <c r="K62" s="1583">
        <v>300</v>
      </c>
      <c r="L62" s="1891">
        <f>'통장내역(환율표)'!$D$88</f>
        <v>6.7996000305175901</v>
      </c>
      <c r="M62" s="1983">
        <f t="shared" si="14"/>
        <v>44.120242169180031</v>
      </c>
      <c r="N62" s="1892">
        <f t="shared" si="15"/>
        <v>338963.13000000146</v>
      </c>
      <c r="O62" s="1892">
        <f t="shared" si="16"/>
        <v>49850.445581756088</v>
      </c>
      <c r="P62" s="1903"/>
      <c r="Q62" s="1894"/>
      <c r="R62" s="1894"/>
      <c r="S62" s="1871">
        <f t="shared" si="13"/>
        <v>49850.448251321512</v>
      </c>
      <c r="T62" s="1777"/>
      <c r="U62" s="1777"/>
      <c r="V62" s="1777"/>
      <c r="W62" s="1777"/>
      <c r="X62" s="1777"/>
      <c r="Y62" s="1777"/>
      <c r="Z62" s="1777"/>
      <c r="AA62" s="1777"/>
      <c r="AB62" s="1777"/>
      <c r="AC62" s="1777"/>
    </row>
    <row r="63" spans="1:29" s="1778" customFormat="1" ht="12" customHeight="1">
      <c r="A63" s="1779"/>
      <c r="B63" s="1576">
        <v>46165</v>
      </c>
      <c r="C63" s="1577" t="s">
        <v>250</v>
      </c>
      <c r="D63" s="1578" t="s">
        <v>1591</v>
      </c>
      <c r="E63" s="1581">
        <v>30</v>
      </c>
      <c r="F63" s="1580" t="s">
        <v>107</v>
      </c>
      <c r="G63" s="1581"/>
      <c r="H63" s="1582"/>
      <c r="I63" s="1582"/>
      <c r="J63" s="1889"/>
      <c r="K63" s="1583">
        <v>3.6</v>
      </c>
      <c r="L63" s="1891">
        <f>'통장내역(환율표)'!$D$88</f>
        <v>6.7996000305175901</v>
      </c>
      <c r="M63" s="1983">
        <f t="shared" si="14"/>
        <v>0.52944290603016042</v>
      </c>
      <c r="N63" s="1892">
        <f t="shared" si="15"/>
        <v>338959.53000000148</v>
      </c>
      <c r="O63" s="1892">
        <f t="shared" si="16"/>
        <v>49849.916138850058</v>
      </c>
      <c r="P63" s="1903"/>
      <c r="Q63" s="1894"/>
      <c r="R63" s="1894"/>
      <c r="S63" s="1871">
        <f t="shared" si="13"/>
        <v>49849.918808415481</v>
      </c>
      <c r="T63" s="1777"/>
      <c r="U63" s="1777"/>
      <c r="V63" s="1777"/>
      <c r="W63" s="1777"/>
      <c r="X63" s="1777"/>
      <c r="Y63" s="1777"/>
      <c r="Z63" s="1777"/>
      <c r="AA63" s="1777"/>
      <c r="AB63" s="1777"/>
      <c r="AC63" s="1777"/>
    </row>
    <row r="64" spans="1:29" s="1778" customFormat="1" ht="12" customHeight="1">
      <c r="A64" s="1779"/>
      <c r="B64" s="1576">
        <v>46165</v>
      </c>
      <c r="C64" s="1577" t="s">
        <v>11</v>
      </c>
      <c r="D64" s="1578" t="s">
        <v>1394</v>
      </c>
      <c r="E64" s="1581">
        <v>31</v>
      </c>
      <c r="F64" s="1580" t="s">
        <v>125</v>
      </c>
      <c r="G64" s="1581" t="s">
        <v>145</v>
      </c>
      <c r="H64" s="1582"/>
      <c r="I64" s="1582"/>
      <c r="J64" s="1889"/>
      <c r="K64" s="1583">
        <v>386</v>
      </c>
      <c r="L64" s="1891">
        <f>'통장내역(환율표)'!$D$88</f>
        <v>6.7996000305175901</v>
      </c>
      <c r="M64" s="1983">
        <f t="shared" si="14"/>
        <v>56.76804492434497</v>
      </c>
      <c r="N64" s="1892">
        <f t="shared" si="15"/>
        <v>338573.53000000148</v>
      </c>
      <c r="O64" s="1892">
        <f t="shared" si="16"/>
        <v>49793.148093925716</v>
      </c>
      <c r="Q64" s="1894"/>
      <c r="R64" s="1894"/>
      <c r="S64" s="1871">
        <f t="shared" si="13"/>
        <v>49793.15076349114</v>
      </c>
      <c r="T64" s="1777"/>
      <c r="U64" s="1777"/>
      <c r="V64" s="1777"/>
      <c r="W64" s="1777"/>
      <c r="X64" s="1777"/>
      <c r="Y64" s="1777"/>
      <c r="Z64" s="1777"/>
      <c r="AA64" s="1777"/>
      <c r="AB64" s="1777"/>
      <c r="AC64" s="1777"/>
    </row>
    <row r="65" spans="1:29" s="1778" customFormat="1" ht="12" customHeight="1">
      <c r="A65" s="1779"/>
      <c r="B65" s="1576">
        <v>46165</v>
      </c>
      <c r="C65" s="1577" t="s">
        <v>1451</v>
      </c>
      <c r="D65" s="1578" t="s">
        <v>1394</v>
      </c>
      <c r="E65" s="1581">
        <v>32</v>
      </c>
      <c r="F65" s="1580" t="s">
        <v>146</v>
      </c>
      <c r="G65" s="1581" t="s">
        <v>147</v>
      </c>
      <c r="H65" s="1582"/>
      <c r="I65" s="1582"/>
      <c r="J65" s="1889"/>
      <c r="K65" s="1583">
        <v>208.4</v>
      </c>
      <c r="L65" s="1891">
        <f>'통장내역(환율표)'!$D$88</f>
        <v>6.7996000305175901</v>
      </c>
      <c r="M65" s="1983">
        <f t="shared" si="14"/>
        <v>30.648861560190394</v>
      </c>
      <c r="N65" s="1892">
        <f t="shared" si="15"/>
        <v>338365.13000000146</v>
      </c>
      <c r="O65" s="1892">
        <f t="shared" si="16"/>
        <v>49762.499232365524</v>
      </c>
      <c r="P65" s="1903"/>
      <c r="Q65" s="1894"/>
      <c r="R65" s="1894"/>
      <c r="S65" s="1871">
        <f t="shared" si="13"/>
        <v>49762.501901930947</v>
      </c>
      <c r="T65" s="1777"/>
      <c r="U65" s="1777"/>
      <c r="V65" s="1777"/>
      <c r="W65" s="1777"/>
      <c r="X65" s="1777"/>
      <c r="Y65" s="1777"/>
      <c r="Z65" s="1777"/>
      <c r="AA65" s="1777"/>
      <c r="AB65" s="1777"/>
      <c r="AC65" s="1777"/>
    </row>
    <row r="66" spans="1:29" s="1782" customFormat="1" ht="11.25" customHeight="1">
      <c r="A66" s="1779"/>
      <c r="B66" s="1576">
        <v>46165</v>
      </c>
      <c r="C66" s="1577" t="s">
        <v>19</v>
      </c>
      <c r="D66" s="1578" t="s">
        <v>1394</v>
      </c>
      <c r="E66" s="1581">
        <v>33</v>
      </c>
      <c r="F66" s="1580" t="s">
        <v>116</v>
      </c>
      <c r="G66" s="1581" t="s">
        <v>140</v>
      </c>
      <c r="H66" s="1582"/>
      <c r="I66" s="1582"/>
      <c r="J66" s="1889"/>
      <c r="K66" s="1583">
        <v>302.36</v>
      </c>
      <c r="L66" s="1891">
        <f>'통장내역(환율표)'!$D$88</f>
        <v>6.7996000305175901</v>
      </c>
      <c r="M66" s="1983">
        <f t="shared" si="14"/>
        <v>44.467321407577579</v>
      </c>
      <c r="N66" s="1892">
        <f t="shared" si="15"/>
        <v>338062.77000000147</v>
      </c>
      <c r="O66" s="1892">
        <f t="shared" si="16"/>
        <v>49718.031910957943</v>
      </c>
      <c r="P66" s="1903"/>
      <c r="Q66" s="1894"/>
      <c r="R66" s="1894"/>
      <c r="S66" s="1871">
        <f t="shared" si="13"/>
        <v>49718.034580523366</v>
      </c>
      <c r="T66" s="1777"/>
      <c r="U66" s="1777"/>
      <c r="V66" s="1777"/>
      <c r="W66" s="1777"/>
      <c r="X66" s="1777"/>
      <c r="Y66" s="1777"/>
      <c r="Z66" s="1777"/>
      <c r="AA66" s="1777"/>
      <c r="AB66" s="1777"/>
      <c r="AC66" s="1777"/>
    </row>
    <row r="67" spans="1:29" s="1782" customFormat="1" ht="11.25" customHeight="1">
      <c r="A67" s="1779"/>
      <c r="B67" s="1576">
        <v>46165</v>
      </c>
      <c r="C67" s="1592" t="s">
        <v>564</v>
      </c>
      <c r="D67" s="1578" t="s">
        <v>1394</v>
      </c>
      <c r="E67" s="1581">
        <v>34</v>
      </c>
      <c r="F67" s="1580" t="s">
        <v>107</v>
      </c>
      <c r="G67" s="1581"/>
      <c r="H67" s="1582"/>
      <c r="I67" s="1582"/>
      <c r="J67" s="1889"/>
      <c r="K67" s="1583">
        <v>160.06</v>
      </c>
      <c r="L67" s="1891">
        <f>'통장내역(환율표)'!$D$88</f>
        <v>6.7996000305175901</v>
      </c>
      <c r="M67" s="1983">
        <f t="shared" si="14"/>
        <v>23.539619871996518</v>
      </c>
      <c r="N67" s="1892">
        <f t="shared" si="15"/>
        <v>337902.71000000148</v>
      </c>
      <c r="O67" s="1892">
        <f t="shared" si="16"/>
        <v>49694.492291085946</v>
      </c>
      <c r="P67" s="1903"/>
      <c r="Q67" s="1894"/>
      <c r="R67" s="1894"/>
      <c r="S67" s="1871">
        <f t="shared" si="13"/>
        <v>49694.494960651369</v>
      </c>
      <c r="T67" s="1777"/>
      <c r="U67" s="1777"/>
      <c r="V67" s="1777"/>
      <c r="W67" s="1777"/>
      <c r="X67" s="1777"/>
      <c r="Y67" s="1777"/>
      <c r="Z67" s="1777"/>
      <c r="AA67" s="1777"/>
      <c r="AB67" s="1777"/>
      <c r="AC67" s="1777"/>
    </row>
    <row r="68" spans="1:29" s="1782" customFormat="1" ht="11.25" customHeight="1">
      <c r="A68" s="1779"/>
      <c r="B68" s="1576">
        <v>46165</v>
      </c>
      <c r="C68" s="2010" t="s">
        <v>1677</v>
      </c>
      <c r="D68" s="1578" t="s">
        <v>1394</v>
      </c>
      <c r="E68" s="1581">
        <v>35</v>
      </c>
      <c r="F68" s="1580" t="s">
        <v>107</v>
      </c>
      <c r="G68" s="1581"/>
      <c r="H68" s="1582"/>
      <c r="I68" s="1582"/>
      <c r="J68" s="1889"/>
      <c r="K68" s="1583">
        <v>300</v>
      </c>
      <c r="L68" s="1891">
        <f>'통장내역(환율표)'!$D$88</f>
        <v>6.7996000305175901</v>
      </c>
      <c r="M68" s="1983">
        <f t="shared" si="14"/>
        <v>44.120242169180031</v>
      </c>
      <c r="N68" s="1892">
        <f t="shared" si="15"/>
        <v>337602.71000000148</v>
      </c>
      <c r="O68" s="1892">
        <f t="shared" si="16"/>
        <v>49650.372048916768</v>
      </c>
      <c r="P68" s="1903"/>
      <c r="Q68" s="1894"/>
      <c r="R68" s="1894"/>
      <c r="S68" s="1871">
        <f t="shared" si="13"/>
        <v>49650.374718482191</v>
      </c>
      <c r="T68" s="1777"/>
      <c r="U68" s="1777"/>
      <c r="V68" s="1777"/>
      <c r="W68" s="1777"/>
      <c r="X68" s="1777"/>
      <c r="Y68" s="1777"/>
      <c r="Z68" s="1777"/>
      <c r="AA68" s="1777"/>
      <c r="AB68" s="1777"/>
      <c r="AC68" s="1777"/>
    </row>
    <row r="69" spans="1:29" s="1782" customFormat="1" ht="11.25" customHeight="1">
      <c r="A69" s="1779"/>
      <c r="B69" s="1576">
        <v>46165</v>
      </c>
      <c r="C69" s="1592" t="s">
        <v>1644</v>
      </c>
      <c r="D69" s="1578" t="s">
        <v>1394</v>
      </c>
      <c r="E69" s="1581">
        <v>36</v>
      </c>
      <c r="F69" s="1580" t="s">
        <v>107</v>
      </c>
      <c r="G69" s="1581"/>
      <c r="H69" s="1582"/>
      <c r="I69" s="1582"/>
      <c r="J69" s="1889"/>
      <c r="K69" s="1583">
        <v>4596</v>
      </c>
      <c r="L69" s="1891">
        <f>'통장내역(환율표)'!$D$88</f>
        <v>6.7996000305175901</v>
      </c>
      <c r="M69" s="1983">
        <f t="shared" si="14"/>
        <v>675.92211003183809</v>
      </c>
      <c r="N69" s="1892">
        <f t="shared" si="15"/>
        <v>333006.71000000148</v>
      </c>
      <c r="O69" s="1892">
        <f t="shared" si="16"/>
        <v>48974.449938884929</v>
      </c>
      <c r="P69" s="1903"/>
      <c r="Q69" s="1894"/>
      <c r="R69" s="1894"/>
      <c r="S69" s="1871">
        <f t="shared" si="13"/>
        <v>48974.452608450352</v>
      </c>
      <c r="T69" s="1777"/>
      <c r="U69" s="1777"/>
      <c r="V69" s="1777"/>
      <c r="W69" s="1777"/>
      <c r="X69" s="1777"/>
      <c r="Y69" s="1777"/>
      <c r="Z69" s="1777"/>
      <c r="AA69" s="1777"/>
      <c r="AB69" s="1777"/>
      <c r="AC69" s="1777"/>
    </row>
    <row r="70" spans="1:29" s="1782" customFormat="1" ht="11.25" customHeight="1">
      <c r="A70" s="1779"/>
      <c r="B70" s="1576">
        <v>46165</v>
      </c>
      <c r="C70" s="1593" t="s">
        <v>250</v>
      </c>
      <c r="D70" s="1578" t="s">
        <v>1394</v>
      </c>
      <c r="E70" s="1581">
        <v>37</v>
      </c>
      <c r="F70" s="1580" t="s">
        <v>107</v>
      </c>
      <c r="G70" s="1581"/>
      <c r="H70" s="1582"/>
      <c r="I70" s="1582"/>
      <c r="J70" s="1889"/>
      <c r="K70" s="1583">
        <v>3.6</v>
      </c>
      <c r="L70" s="1891">
        <f>'통장내역(환율표)'!$D$88</f>
        <v>6.7996000305175901</v>
      </c>
      <c r="M70" s="1983">
        <f t="shared" si="14"/>
        <v>0.52944290603016042</v>
      </c>
      <c r="N70" s="1892">
        <f t="shared" si="15"/>
        <v>333003.1100000015</v>
      </c>
      <c r="O70" s="1892">
        <f t="shared" si="16"/>
        <v>48973.920495978899</v>
      </c>
      <c r="P70" s="1903"/>
      <c r="Q70" s="1894"/>
      <c r="R70" s="1894"/>
      <c r="S70" s="1871">
        <f t="shared" si="13"/>
        <v>48973.923165544322</v>
      </c>
      <c r="T70" s="1777"/>
      <c r="U70" s="1777"/>
      <c r="V70" s="1777"/>
      <c r="W70" s="1777"/>
      <c r="X70" s="1777"/>
      <c r="Y70" s="1777"/>
      <c r="Z70" s="1777"/>
      <c r="AA70" s="1777"/>
      <c r="AB70" s="1777"/>
      <c r="AC70" s="1777"/>
    </row>
    <row r="71" spans="1:29" s="1782" customFormat="1" ht="11.25" customHeight="1">
      <c r="A71" s="1779"/>
      <c r="B71" s="1576">
        <v>46165</v>
      </c>
      <c r="C71" s="1577" t="s">
        <v>1403</v>
      </c>
      <c r="D71" s="1578" t="s">
        <v>1551</v>
      </c>
      <c r="E71" s="1581">
        <v>38</v>
      </c>
      <c r="F71" s="1580" t="s">
        <v>13</v>
      </c>
      <c r="G71" s="1581" t="s">
        <v>14</v>
      </c>
      <c r="H71" s="1582"/>
      <c r="I71" s="1582"/>
      <c r="J71" s="1889"/>
      <c r="K71" s="1583">
        <v>5909.18</v>
      </c>
      <c r="L71" s="1891">
        <f>'통장내역(환율표)'!$D$88</f>
        <v>6.7996000305175901</v>
      </c>
      <c r="M71" s="1983">
        <f t="shared" si="14"/>
        <v>869.04817540425086</v>
      </c>
      <c r="N71" s="1892">
        <f t="shared" si="15"/>
        <v>327093.93000000151</v>
      </c>
      <c r="O71" s="1892">
        <f t="shared" si="16"/>
        <v>48104.87232057465</v>
      </c>
      <c r="P71" s="1903"/>
      <c r="Q71" s="1894"/>
      <c r="R71" s="1894"/>
      <c r="S71" s="1871">
        <f t="shared" si="13"/>
        <v>48104.874990140073</v>
      </c>
      <c r="T71" s="1777"/>
      <c r="U71" s="1777"/>
      <c r="V71" s="1777"/>
      <c r="W71" s="1777"/>
      <c r="X71" s="1777"/>
      <c r="Y71" s="1777"/>
      <c r="Z71" s="1777"/>
      <c r="AA71" s="1777"/>
      <c r="AB71" s="1777"/>
      <c r="AC71" s="1777"/>
    </row>
    <row r="72" spans="1:29" s="1782" customFormat="1" ht="11.25" customHeight="1">
      <c r="A72" s="1779"/>
      <c r="B72" s="1576">
        <v>46165</v>
      </c>
      <c r="C72" s="1577" t="s">
        <v>11</v>
      </c>
      <c r="D72" s="1578" t="s">
        <v>1551</v>
      </c>
      <c r="E72" s="1581">
        <v>39</v>
      </c>
      <c r="F72" s="1580" t="s">
        <v>125</v>
      </c>
      <c r="G72" s="1581" t="s">
        <v>145</v>
      </c>
      <c r="H72" s="1582"/>
      <c r="I72" s="1582"/>
      <c r="J72" s="1889"/>
      <c r="K72" s="1583">
        <v>2356.5</v>
      </c>
      <c r="L72" s="1891">
        <f>'통장내역(환율표)'!$D$88</f>
        <v>6.7996000305175901</v>
      </c>
      <c r="M72" s="1983">
        <f t="shared" si="14"/>
        <v>346.56450223890914</v>
      </c>
      <c r="N72" s="1892">
        <f t="shared" si="15"/>
        <v>324737.43000000151</v>
      </c>
      <c r="O72" s="1892">
        <f t="shared" si="16"/>
        <v>47758.307818335743</v>
      </c>
      <c r="P72" s="1903"/>
      <c r="Q72" s="1894"/>
      <c r="R72" s="1894"/>
      <c r="S72" s="1871">
        <f t="shared" si="13"/>
        <v>47758.310487901166</v>
      </c>
      <c r="T72" s="1777"/>
      <c r="U72" s="1777"/>
      <c r="V72" s="1777"/>
      <c r="W72" s="1777"/>
      <c r="X72" s="1777"/>
      <c r="Y72" s="1777"/>
      <c r="Z72" s="1777"/>
      <c r="AA72" s="1777"/>
      <c r="AB72" s="1777"/>
      <c r="AC72" s="1777"/>
    </row>
    <row r="73" spans="1:29" s="1782" customFormat="1" ht="11.25" customHeight="1">
      <c r="A73" s="1779"/>
      <c r="B73" s="1576">
        <v>46165</v>
      </c>
      <c r="C73" s="1577" t="s">
        <v>116</v>
      </c>
      <c r="D73" s="1578" t="s">
        <v>1551</v>
      </c>
      <c r="E73" s="1581">
        <v>40</v>
      </c>
      <c r="F73" s="1580" t="s">
        <v>19</v>
      </c>
      <c r="G73" s="1581" t="s">
        <v>1609</v>
      </c>
      <c r="H73" s="1582"/>
      <c r="I73" s="1590"/>
      <c r="J73" s="1889"/>
      <c r="K73" s="1583">
        <v>124.49</v>
      </c>
      <c r="L73" s="1891">
        <f>'통장내역(환율표)'!$D$88</f>
        <v>6.7996000305175901</v>
      </c>
      <c r="M73" s="1983">
        <f t="shared" si="14"/>
        <v>18.308429825470739</v>
      </c>
      <c r="N73" s="1892">
        <f t="shared" si="15"/>
        <v>324612.94000000152</v>
      </c>
      <c r="O73" s="1892">
        <f t="shared" si="16"/>
        <v>47739.999388510274</v>
      </c>
      <c r="P73" s="1903"/>
      <c r="Q73" s="1894"/>
      <c r="R73" s="1894"/>
      <c r="S73" s="1871">
        <f t="shared" si="13"/>
        <v>47740.002058075697</v>
      </c>
      <c r="T73" s="1777"/>
      <c r="U73" s="1777"/>
      <c r="V73" s="1777"/>
      <c r="W73" s="1777"/>
      <c r="X73" s="1777"/>
      <c r="Y73" s="1777"/>
      <c r="Z73" s="1777"/>
      <c r="AA73" s="1777"/>
      <c r="AB73" s="1777"/>
      <c r="AC73" s="1777"/>
    </row>
    <row r="74" spans="1:29" s="1782" customFormat="1" ht="11.25" customHeight="1">
      <c r="A74" s="1779"/>
      <c r="B74" s="1576">
        <v>46165</v>
      </c>
      <c r="C74" s="1577" t="s">
        <v>1403</v>
      </c>
      <c r="D74" s="1578" t="s">
        <v>1663</v>
      </c>
      <c r="E74" s="1581">
        <v>41</v>
      </c>
      <c r="F74" s="1580" t="s">
        <v>13</v>
      </c>
      <c r="G74" s="1581" t="s">
        <v>14</v>
      </c>
      <c r="H74" s="1582"/>
      <c r="I74" s="1590"/>
      <c r="J74" s="1889"/>
      <c r="K74" s="1583">
        <v>4586</v>
      </c>
      <c r="L74" s="1891">
        <f>'통장내역(환율표)'!$D$88</f>
        <v>6.7996000305175901</v>
      </c>
      <c r="M74" s="1983">
        <f t="shared" si="14"/>
        <v>674.45143529286543</v>
      </c>
      <c r="N74" s="1892">
        <f t="shared" si="15"/>
        <v>320026.94000000152</v>
      </c>
      <c r="O74" s="1892">
        <f t="shared" si="16"/>
        <v>47065.547953217407</v>
      </c>
      <c r="P74" s="1903"/>
      <c r="Q74" s="1894"/>
      <c r="R74" s="1894"/>
      <c r="S74" s="1871">
        <f t="shared" si="13"/>
        <v>47065.55062278283</v>
      </c>
      <c r="T74" s="1777"/>
      <c r="U74" s="1777"/>
      <c r="V74" s="1777"/>
      <c r="W74" s="1777"/>
      <c r="X74" s="1777"/>
      <c r="Y74" s="1777"/>
      <c r="Z74" s="1777"/>
      <c r="AA74" s="1777"/>
      <c r="AB74" s="1777"/>
      <c r="AC74" s="1777"/>
    </row>
    <row r="75" spans="1:29" s="1782" customFormat="1" ht="11.25" customHeight="1">
      <c r="A75" s="1779"/>
      <c r="B75" s="1576">
        <v>46165</v>
      </c>
      <c r="C75" s="1577" t="s">
        <v>11</v>
      </c>
      <c r="D75" s="1578" t="s">
        <v>1663</v>
      </c>
      <c r="E75" s="1581">
        <v>42</v>
      </c>
      <c r="F75" s="1580" t="s">
        <v>125</v>
      </c>
      <c r="G75" s="1581" t="s">
        <v>145</v>
      </c>
      <c r="H75" s="1582"/>
      <c r="I75" s="1590"/>
      <c r="J75" s="1889"/>
      <c r="K75" s="1583">
        <v>806</v>
      </c>
      <c r="L75" s="1891">
        <f>'통장내역(환율표)'!$D$88</f>
        <v>6.7996000305175901</v>
      </c>
      <c r="M75" s="1983">
        <f t="shared" ref="M75:M95" si="17">K75/L75</f>
        <v>118.53638396119702</v>
      </c>
      <c r="N75" s="1892">
        <f t="shared" si="15"/>
        <v>319220.94000000152</v>
      </c>
      <c r="O75" s="1892">
        <f t="shared" si="16"/>
        <v>46947.01156925621</v>
      </c>
      <c r="P75" s="1903"/>
      <c r="Q75" s="1894"/>
      <c r="R75" s="1894"/>
      <c r="S75" s="1871">
        <f t="shared" si="13"/>
        <v>46947.014238821634</v>
      </c>
      <c r="T75" s="1777"/>
      <c r="U75" s="1777"/>
      <c r="V75" s="1777"/>
      <c r="W75" s="1777"/>
      <c r="X75" s="1777"/>
      <c r="Y75" s="1777"/>
      <c r="Z75" s="1777"/>
      <c r="AA75" s="1777"/>
      <c r="AB75" s="1777"/>
      <c r="AC75" s="1777"/>
    </row>
    <row r="76" spans="1:29" s="1782" customFormat="1" ht="11.25" customHeight="1">
      <c r="A76" s="1779"/>
      <c r="B76" s="1576">
        <v>46165</v>
      </c>
      <c r="C76" s="1577" t="s">
        <v>1451</v>
      </c>
      <c r="D76" s="1578" t="s">
        <v>1663</v>
      </c>
      <c r="E76" s="1581">
        <v>43</v>
      </c>
      <c r="F76" s="1580" t="s">
        <v>146</v>
      </c>
      <c r="G76" s="1581" t="s">
        <v>147</v>
      </c>
      <c r="H76" s="1582"/>
      <c r="I76" s="1590"/>
      <c r="J76" s="1889"/>
      <c r="K76" s="1583">
        <v>833.46</v>
      </c>
      <c r="L76" s="1891">
        <f>'통장내역(환율표)'!$D$88</f>
        <v>6.7996000305175901</v>
      </c>
      <c r="M76" s="1983">
        <f t="shared" si="17"/>
        <v>122.57485679441596</v>
      </c>
      <c r="N76" s="1892">
        <f t="shared" si="15"/>
        <v>318387.48000000149</v>
      </c>
      <c r="O76" s="1892">
        <f t="shared" si="16"/>
        <v>46824.436712461793</v>
      </c>
      <c r="P76" s="1903"/>
      <c r="Q76" s="1894"/>
      <c r="R76" s="1894"/>
      <c r="S76" s="1871">
        <f t="shared" si="13"/>
        <v>46824.439382027216</v>
      </c>
      <c r="T76" s="1777"/>
      <c r="U76" s="1777"/>
      <c r="V76" s="1777"/>
      <c r="W76" s="1777"/>
      <c r="X76" s="1777"/>
      <c r="Y76" s="1777"/>
      <c r="Z76" s="1777"/>
      <c r="AA76" s="1777"/>
      <c r="AB76" s="1777"/>
      <c r="AC76" s="1777"/>
    </row>
    <row r="77" spans="1:29" s="1782" customFormat="1" ht="11.25" customHeight="1">
      <c r="A77" s="1779"/>
      <c r="B77" s="1576">
        <v>46165</v>
      </c>
      <c r="C77" s="1577" t="s">
        <v>19</v>
      </c>
      <c r="D77" s="1578" t="s">
        <v>1663</v>
      </c>
      <c r="E77" s="1581">
        <v>44</v>
      </c>
      <c r="F77" s="1580" t="s">
        <v>19</v>
      </c>
      <c r="G77" s="1581" t="s">
        <v>1609</v>
      </c>
      <c r="H77" s="1582"/>
      <c r="I77" s="1590"/>
      <c r="J77" s="1889"/>
      <c r="K77" s="1583">
        <v>300</v>
      </c>
      <c r="L77" s="1891">
        <f>'통장내역(환율표)'!$D$88</f>
        <v>6.7996000305175901</v>
      </c>
      <c r="M77" s="1983">
        <f t="shared" si="17"/>
        <v>44.120242169180031</v>
      </c>
      <c r="N77" s="1892">
        <f t="shared" si="15"/>
        <v>318087.48000000149</v>
      </c>
      <c r="O77" s="1892">
        <f t="shared" si="16"/>
        <v>46780.316470292615</v>
      </c>
      <c r="P77" s="1903"/>
      <c r="Q77" s="1894"/>
      <c r="R77" s="1894"/>
      <c r="S77" s="1871">
        <f t="shared" si="13"/>
        <v>46780.319139858038</v>
      </c>
      <c r="T77" s="1777"/>
      <c r="U77" s="1777"/>
      <c r="V77" s="1777"/>
      <c r="W77" s="1777"/>
      <c r="X77" s="1777"/>
      <c r="Y77" s="1777"/>
      <c r="Z77" s="1777"/>
      <c r="AA77" s="1777"/>
      <c r="AB77" s="1777"/>
      <c r="AC77" s="1777"/>
    </row>
    <row r="78" spans="1:29" s="1782" customFormat="1" ht="11.25" customHeight="1">
      <c r="A78" s="1779"/>
      <c r="B78" s="1576">
        <v>46165</v>
      </c>
      <c r="C78" s="1593" t="s">
        <v>250</v>
      </c>
      <c r="D78" s="1578" t="s">
        <v>1663</v>
      </c>
      <c r="E78" s="1581">
        <v>45</v>
      </c>
      <c r="F78" s="1580" t="s">
        <v>107</v>
      </c>
      <c r="G78" s="1581"/>
      <c r="H78" s="1582"/>
      <c r="I78" s="1590"/>
      <c r="J78" s="1889"/>
      <c r="K78" s="1583">
        <v>3.6</v>
      </c>
      <c r="L78" s="1891">
        <f>'통장내역(환율표)'!$D$88</f>
        <v>6.7996000305175901</v>
      </c>
      <c r="M78" s="1983">
        <f t="shared" si="17"/>
        <v>0.52944290603016042</v>
      </c>
      <c r="N78" s="1892">
        <f t="shared" si="15"/>
        <v>318083.88000000152</v>
      </c>
      <c r="O78" s="1892">
        <f t="shared" si="16"/>
        <v>46779.787027386585</v>
      </c>
      <c r="P78" s="1903"/>
      <c r="Q78" s="1894"/>
      <c r="R78" s="1894"/>
      <c r="S78" s="1871">
        <f t="shared" si="13"/>
        <v>46779.789696952008</v>
      </c>
      <c r="T78" s="1777"/>
      <c r="U78" s="1777"/>
      <c r="V78" s="1777"/>
      <c r="W78" s="1777"/>
      <c r="X78" s="1777"/>
      <c r="Y78" s="1777"/>
      <c r="Z78" s="1777"/>
      <c r="AA78" s="1777"/>
      <c r="AB78" s="1777"/>
      <c r="AC78" s="1777"/>
    </row>
    <row r="79" spans="1:29" s="1782" customFormat="1" ht="11.25" customHeight="1">
      <c r="A79" s="1779"/>
      <c r="B79" s="1576">
        <v>46165</v>
      </c>
      <c r="C79" s="1593" t="s">
        <v>1406</v>
      </c>
      <c r="D79" s="1578" t="s">
        <v>1392</v>
      </c>
      <c r="E79" s="1581">
        <v>46</v>
      </c>
      <c r="F79" s="1580" t="s">
        <v>146</v>
      </c>
      <c r="G79" s="1581" t="s">
        <v>147</v>
      </c>
      <c r="H79" s="1582"/>
      <c r="I79" s="1582"/>
      <c r="J79" s="1889"/>
      <c r="K79" s="1583">
        <v>3362</v>
      </c>
      <c r="L79" s="1891">
        <f>'통장내역(환율표)'!$D$88</f>
        <v>6.7996000305175901</v>
      </c>
      <c r="M79" s="1983">
        <f t="shared" si="17"/>
        <v>494.44084724261086</v>
      </c>
      <c r="N79" s="1892">
        <f t="shared" si="15"/>
        <v>314721.88000000152</v>
      </c>
      <c r="O79" s="1892">
        <f t="shared" si="16"/>
        <v>46285.346180143977</v>
      </c>
      <c r="P79" s="1903"/>
      <c r="Q79" s="1894"/>
      <c r="R79" s="1894"/>
      <c r="S79" s="1871">
        <f t="shared" si="13"/>
        <v>46285.3488497094</v>
      </c>
      <c r="T79" s="1777"/>
      <c r="U79" s="1777"/>
      <c r="V79" s="1777"/>
      <c r="W79" s="1777"/>
      <c r="X79" s="1777"/>
      <c r="Y79" s="1777"/>
      <c r="Z79" s="1777"/>
      <c r="AA79" s="1777"/>
      <c r="AB79" s="1777"/>
      <c r="AC79" s="1777"/>
    </row>
    <row r="80" spans="1:29" s="1782" customFormat="1" ht="11.25" customHeight="1">
      <c r="A80" s="1779"/>
      <c r="B80" s="1576">
        <v>46165</v>
      </c>
      <c r="C80" s="1593" t="s">
        <v>1407</v>
      </c>
      <c r="D80" s="1578" t="s">
        <v>1392</v>
      </c>
      <c r="E80" s="1581">
        <v>47</v>
      </c>
      <c r="F80" s="1580" t="s">
        <v>146</v>
      </c>
      <c r="G80" s="1581" t="s">
        <v>147</v>
      </c>
      <c r="H80" s="1582"/>
      <c r="I80" s="1590"/>
      <c r="J80" s="1889"/>
      <c r="K80" s="1583">
        <v>219</v>
      </c>
      <c r="L80" s="1891">
        <f>'통장내역(환율표)'!$D$88</f>
        <v>6.7996000305175901</v>
      </c>
      <c r="M80" s="1983">
        <f t="shared" si="17"/>
        <v>32.207776783501423</v>
      </c>
      <c r="N80" s="1892">
        <f t="shared" si="15"/>
        <v>314502.88000000152</v>
      </c>
      <c r="O80" s="1892">
        <f t="shared" si="16"/>
        <v>46253.138403360477</v>
      </c>
      <c r="P80" s="1903"/>
      <c r="Q80" s="1894"/>
      <c r="R80" s="1894"/>
      <c r="S80" s="1871">
        <f t="shared" si="13"/>
        <v>46253.141072925901</v>
      </c>
      <c r="T80" s="1777"/>
      <c r="U80" s="1777"/>
      <c r="V80" s="1777"/>
      <c r="W80" s="1777"/>
      <c r="X80" s="1777"/>
      <c r="Y80" s="1777"/>
      <c r="Z80" s="1777"/>
      <c r="AA80" s="1777"/>
      <c r="AB80" s="1777"/>
      <c r="AC80" s="1777"/>
    </row>
    <row r="81" spans="1:29" s="1782" customFormat="1" ht="11.25" customHeight="1">
      <c r="A81" s="1779"/>
      <c r="B81" s="1576">
        <v>46165</v>
      </c>
      <c r="C81" s="1593" t="s">
        <v>1408</v>
      </c>
      <c r="D81" s="1578" t="s">
        <v>1392</v>
      </c>
      <c r="E81" s="1581">
        <v>48</v>
      </c>
      <c r="F81" s="1580" t="s">
        <v>146</v>
      </c>
      <c r="G81" s="1581" t="s">
        <v>147</v>
      </c>
      <c r="H81" s="1582"/>
      <c r="I81" s="1590"/>
      <c r="J81" s="1901"/>
      <c r="K81" s="1583">
        <v>829.89</v>
      </c>
      <c r="L81" s="1891">
        <f>'통장내역(환율표)'!$D$88</f>
        <v>6.7996000305175901</v>
      </c>
      <c r="M81" s="1983">
        <f t="shared" si="17"/>
        <v>122.04982591260271</v>
      </c>
      <c r="N81" s="1892">
        <f t="shared" si="15"/>
        <v>313672.9900000015</v>
      </c>
      <c r="O81" s="1892">
        <f t="shared" si="16"/>
        <v>46131.088577447874</v>
      </c>
      <c r="P81" s="1903"/>
      <c r="Q81" s="1894"/>
      <c r="R81" s="1894"/>
      <c r="S81" s="1871">
        <f t="shared" si="13"/>
        <v>46131.091247013297</v>
      </c>
      <c r="T81" s="1777"/>
      <c r="U81" s="1777"/>
      <c r="V81" s="1777"/>
      <c r="W81" s="1777"/>
      <c r="X81" s="1777"/>
      <c r="Y81" s="1777"/>
      <c r="Z81" s="1777"/>
      <c r="AA81" s="1777"/>
      <c r="AB81" s="1777"/>
      <c r="AC81" s="1777"/>
    </row>
    <row r="82" spans="1:29" s="1782" customFormat="1" ht="11.25" customHeight="1">
      <c r="A82" s="1779"/>
      <c r="B82" s="1576">
        <v>46165</v>
      </c>
      <c r="C82" s="1593" t="s">
        <v>250</v>
      </c>
      <c r="D82" s="1578" t="s">
        <v>1392</v>
      </c>
      <c r="E82" s="1581">
        <v>49</v>
      </c>
      <c r="F82" s="1580" t="s">
        <v>107</v>
      </c>
      <c r="G82" s="1581"/>
      <c r="H82" s="1582"/>
      <c r="I82" s="1590"/>
      <c r="J82" s="1901"/>
      <c r="K82" s="1583">
        <v>3.6</v>
      </c>
      <c r="L82" s="1891">
        <f>'통장내역(환율표)'!$D$88</f>
        <v>6.7996000305175901</v>
      </c>
      <c r="M82" s="1983">
        <f t="shared" si="17"/>
        <v>0.52944290603016042</v>
      </c>
      <c r="N82" s="1892">
        <f t="shared" si="15"/>
        <v>313669.39000000153</v>
      </c>
      <c r="O82" s="1892">
        <f t="shared" si="16"/>
        <v>46130.559134541843</v>
      </c>
      <c r="P82" s="1903"/>
      <c r="Q82" s="1894"/>
      <c r="R82" s="1894"/>
      <c r="S82" s="1871">
        <f t="shared" si="13"/>
        <v>46130.561804107267</v>
      </c>
      <c r="T82" s="1777"/>
      <c r="U82" s="1777"/>
      <c r="V82" s="1777"/>
      <c r="W82" s="1777"/>
      <c r="X82" s="1777"/>
      <c r="Y82" s="1777"/>
      <c r="Z82" s="1777"/>
      <c r="AA82" s="1777"/>
      <c r="AB82" s="1777"/>
      <c r="AC82" s="1777"/>
    </row>
    <row r="83" spans="1:29" s="1782" customFormat="1" ht="11.25" customHeight="1">
      <c r="A83" s="1779"/>
      <c r="B83" s="1576">
        <v>46165</v>
      </c>
      <c r="C83" s="1593" t="s">
        <v>1408</v>
      </c>
      <c r="D83" s="1578" t="s">
        <v>1393</v>
      </c>
      <c r="E83" s="1581">
        <v>50</v>
      </c>
      <c r="F83" s="1580" t="s">
        <v>146</v>
      </c>
      <c r="G83" s="1581" t="s">
        <v>147</v>
      </c>
      <c r="H83" s="1594"/>
      <c r="I83" s="1595"/>
      <c r="J83" s="1901"/>
      <c r="K83" s="1583">
        <v>974</v>
      </c>
      <c r="L83" s="1891">
        <f>'통장내역(환율표)'!$D$88</f>
        <v>6.7996000305175901</v>
      </c>
      <c r="M83" s="1983">
        <f t="shared" si="17"/>
        <v>143.24371957593783</v>
      </c>
      <c r="N83" s="1892">
        <f t="shared" si="15"/>
        <v>312695.39000000153</v>
      </c>
      <c r="O83" s="1892">
        <f t="shared" si="16"/>
        <v>45987.315414965902</v>
      </c>
      <c r="P83" s="1903"/>
      <c r="Q83" s="1894"/>
      <c r="R83" s="1894"/>
      <c r="S83" s="1871">
        <f t="shared" si="13"/>
        <v>45987.318084531325</v>
      </c>
      <c r="T83" s="1777"/>
      <c r="U83" s="1777"/>
      <c r="V83" s="1777"/>
      <c r="W83" s="1777"/>
      <c r="X83" s="1777"/>
      <c r="Y83" s="1777"/>
      <c r="Z83" s="1777"/>
      <c r="AA83" s="1777"/>
      <c r="AB83" s="1777"/>
      <c r="AC83" s="1777"/>
    </row>
    <row r="84" spans="1:29" s="1782" customFormat="1" ht="11.25" customHeight="1">
      <c r="A84" s="1779"/>
      <c r="B84" s="1576">
        <v>46165</v>
      </c>
      <c r="C84" s="1593" t="s">
        <v>1406</v>
      </c>
      <c r="D84" s="1578" t="s">
        <v>1393</v>
      </c>
      <c r="E84" s="1581">
        <v>51</v>
      </c>
      <c r="F84" s="1580" t="s">
        <v>146</v>
      </c>
      <c r="G84" s="1581" t="s">
        <v>147</v>
      </c>
      <c r="H84" s="1594"/>
      <c r="I84" s="1595"/>
      <c r="J84" s="1901"/>
      <c r="K84" s="1583">
        <v>2837</v>
      </c>
      <c r="L84" s="1891">
        <f>'통장내역(환율표)'!$D$88</f>
        <v>6.7996000305175901</v>
      </c>
      <c r="M84" s="1983">
        <f t="shared" si="17"/>
        <v>417.23042344654584</v>
      </c>
      <c r="N84" s="1892">
        <f t="shared" si="15"/>
        <v>309858.39000000153</v>
      </c>
      <c r="O84" s="1892">
        <f t="shared" si="16"/>
        <v>45570.084991519354</v>
      </c>
      <c r="P84" s="1903"/>
      <c r="Q84" s="1894"/>
      <c r="R84" s="1894"/>
      <c r="S84" s="1871">
        <f t="shared" si="13"/>
        <v>45570.087661084777</v>
      </c>
      <c r="T84" s="1777"/>
      <c r="U84" s="1777"/>
      <c r="V84" s="1777"/>
      <c r="W84" s="1777"/>
      <c r="X84" s="1777"/>
      <c r="Y84" s="1777"/>
      <c r="Z84" s="1777"/>
      <c r="AA84" s="1777"/>
      <c r="AB84" s="1777"/>
      <c r="AC84" s="1777"/>
    </row>
    <row r="85" spans="1:29" s="1782" customFormat="1" ht="11.25" customHeight="1">
      <c r="A85" s="1779"/>
      <c r="B85" s="1576">
        <v>46165</v>
      </c>
      <c r="C85" s="1593" t="s">
        <v>1407</v>
      </c>
      <c r="D85" s="1578" t="s">
        <v>1393</v>
      </c>
      <c r="E85" s="1581">
        <v>52</v>
      </c>
      <c r="F85" s="1580" t="s">
        <v>146</v>
      </c>
      <c r="G85" s="1581" t="s">
        <v>147</v>
      </c>
      <c r="H85" s="1594"/>
      <c r="I85" s="1595"/>
      <c r="J85" s="639"/>
      <c r="K85" s="1583">
        <v>170</v>
      </c>
      <c r="L85" s="1891">
        <f>'통장내역(환율표)'!$D$88</f>
        <v>6.7996000305175901</v>
      </c>
      <c r="M85" s="1983">
        <f t="shared" si="17"/>
        <v>25.001470562535349</v>
      </c>
      <c r="N85" s="1892">
        <f t="shared" si="15"/>
        <v>309688.39000000153</v>
      </c>
      <c r="O85" s="1892">
        <f t="shared" si="16"/>
        <v>45545.083520956818</v>
      </c>
      <c r="P85" s="1903"/>
      <c r="Q85" s="1894"/>
      <c r="R85" s="1894"/>
      <c r="S85" s="1871">
        <f t="shared" si="13"/>
        <v>45545.086190522241</v>
      </c>
      <c r="T85" s="1777"/>
      <c r="U85" s="1777"/>
      <c r="V85" s="1777"/>
      <c r="W85" s="1777"/>
      <c r="X85" s="1777"/>
      <c r="Y85" s="1777"/>
      <c r="Z85" s="1777"/>
      <c r="AA85" s="1777"/>
      <c r="AB85" s="1777"/>
      <c r="AC85" s="1777"/>
    </row>
    <row r="86" spans="1:29" s="1782" customFormat="1" ht="11.25" customHeight="1">
      <c r="A86" s="1779"/>
      <c r="B86" s="1576">
        <v>46165</v>
      </c>
      <c r="C86" s="1593" t="s">
        <v>250</v>
      </c>
      <c r="D86" s="1578" t="s">
        <v>1393</v>
      </c>
      <c r="E86" s="1581">
        <v>53</v>
      </c>
      <c r="F86" s="1580" t="s">
        <v>107</v>
      </c>
      <c r="G86" s="1581"/>
      <c r="H86" s="1594"/>
      <c r="I86" s="1595"/>
      <c r="J86" s="1901"/>
      <c r="K86" s="1583">
        <v>3.6</v>
      </c>
      <c r="L86" s="1891">
        <f>'통장내역(환율표)'!$D$88</f>
        <v>6.7996000305175901</v>
      </c>
      <c r="M86" s="1983">
        <f t="shared" si="17"/>
        <v>0.52944290603016042</v>
      </c>
      <c r="N86" s="1892">
        <f t="shared" ref="N86:N95" si="18">N85+H86-K86</f>
        <v>309684.79000000155</v>
      </c>
      <c r="O86" s="1892">
        <f t="shared" ref="O86:O95" si="19">O85+J86-M86</f>
        <v>45544.554078050787</v>
      </c>
      <c r="P86" s="1903"/>
      <c r="Q86" s="1894"/>
      <c r="R86" s="1894"/>
      <c r="S86" s="1871">
        <f t="shared" si="13"/>
        <v>45544.55674761621</v>
      </c>
      <c r="T86" s="1777"/>
      <c r="U86" s="1777"/>
      <c r="V86" s="1777"/>
      <c r="W86" s="1777"/>
      <c r="X86" s="1777"/>
      <c r="Y86" s="1777"/>
      <c r="Z86" s="1777"/>
      <c r="AA86" s="1777"/>
      <c r="AB86" s="1777"/>
      <c r="AC86" s="1777"/>
    </row>
    <row r="87" spans="1:29" s="1782" customFormat="1" ht="11.25" customHeight="1">
      <c r="A87" s="1779"/>
      <c r="B87" s="1576">
        <v>46165</v>
      </c>
      <c r="C87" s="1593" t="s">
        <v>1406</v>
      </c>
      <c r="D87" s="1578" t="s">
        <v>1460</v>
      </c>
      <c r="E87" s="1581">
        <v>54</v>
      </c>
      <c r="F87" s="1580" t="s">
        <v>146</v>
      </c>
      <c r="G87" s="1581" t="s">
        <v>147</v>
      </c>
      <c r="H87" s="1594"/>
      <c r="I87" s="1595"/>
      <c r="J87" s="1901"/>
      <c r="K87" s="1583">
        <v>1945</v>
      </c>
      <c r="L87" s="1891">
        <f>'통장내역(환율표)'!$D$88</f>
        <v>6.7996000305175901</v>
      </c>
      <c r="M87" s="1983">
        <f t="shared" si="17"/>
        <v>286.04623673018386</v>
      </c>
      <c r="N87" s="1892">
        <f t="shared" si="18"/>
        <v>307739.79000000155</v>
      </c>
      <c r="O87" s="1892">
        <f t="shared" si="19"/>
        <v>45258.507841320607</v>
      </c>
      <c r="P87" s="1903"/>
      <c r="Q87" s="1894"/>
      <c r="R87" s="1894"/>
      <c r="S87" s="1871">
        <f t="shared" si="13"/>
        <v>45258.51051088603</v>
      </c>
      <c r="T87" s="1777"/>
      <c r="U87" s="1777"/>
      <c r="V87" s="1777"/>
      <c r="W87" s="1777"/>
      <c r="X87" s="1777"/>
      <c r="Y87" s="1777"/>
      <c r="Z87" s="1777"/>
      <c r="AA87" s="1777"/>
      <c r="AB87" s="1777"/>
      <c r="AC87" s="1777"/>
    </row>
    <row r="88" spans="1:29" s="1782" customFormat="1" ht="11.25" customHeight="1">
      <c r="A88" s="1779"/>
      <c r="B88" s="1576">
        <v>46165</v>
      </c>
      <c r="C88" s="1593" t="s">
        <v>1408</v>
      </c>
      <c r="D88" s="1578" t="s">
        <v>1460</v>
      </c>
      <c r="E88" s="1581">
        <v>55</v>
      </c>
      <c r="F88" s="1580" t="s">
        <v>146</v>
      </c>
      <c r="G88" s="1581" t="s">
        <v>147</v>
      </c>
      <c r="H88" s="1594"/>
      <c r="I88" s="1595"/>
      <c r="J88" s="1901"/>
      <c r="K88" s="1583">
        <v>508</v>
      </c>
      <c r="L88" s="1891">
        <f>'통장내역(환율표)'!$D$88</f>
        <v>6.7996000305175901</v>
      </c>
      <c r="M88" s="1983">
        <f t="shared" si="17"/>
        <v>74.710276739811519</v>
      </c>
      <c r="N88" s="1892">
        <f t="shared" si="18"/>
        <v>307231.79000000155</v>
      </c>
      <c r="O88" s="1892">
        <f t="shared" si="19"/>
        <v>45183.797564580796</v>
      </c>
      <c r="P88" s="1903"/>
      <c r="Q88" s="1894"/>
      <c r="R88" s="1894"/>
      <c r="S88" s="1871">
        <f t="shared" si="13"/>
        <v>45183.80023414622</v>
      </c>
      <c r="T88" s="1777"/>
      <c r="U88" s="1777"/>
      <c r="V88" s="1777"/>
      <c r="W88" s="1777"/>
      <c r="X88" s="1777"/>
      <c r="Y88" s="1777"/>
      <c r="Z88" s="1777"/>
      <c r="AA88" s="1777"/>
      <c r="AB88" s="1777"/>
      <c r="AC88" s="1777"/>
    </row>
    <row r="89" spans="1:29" s="1782" customFormat="1" ht="11.25" customHeight="1">
      <c r="A89" s="1779"/>
      <c r="B89" s="1576">
        <v>46165</v>
      </c>
      <c r="C89" s="1593" t="s">
        <v>1407</v>
      </c>
      <c r="D89" s="1578" t="s">
        <v>1460</v>
      </c>
      <c r="E89" s="1581">
        <v>56</v>
      </c>
      <c r="F89" s="1580" t="s">
        <v>146</v>
      </c>
      <c r="G89" s="1581" t="s">
        <v>147</v>
      </c>
      <c r="H89" s="1594"/>
      <c r="I89" s="1595"/>
      <c r="J89" s="1908"/>
      <c r="K89" s="1583">
        <v>60</v>
      </c>
      <c r="L89" s="1891">
        <f>'통장내역(환율표)'!$D$88</f>
        <v>6.7996000305175901</v>
      </c>
      <c r="M89" s="1983">
        <f t="shared" si="17"/>
        <v>8.8240484338360066</v>
      </c>
      <c r="N89" s="1892">
        <f t="shared" si="18"/>
        <v>307171.79000000155</v>
      </c>
      <c r="O89" s="1892">
        <f t="shared" si="19"/>
        <v>45174.973516146958</v>
      </c>
      <c r="P89" s="1903"/>
      <c r="Q89" s="1894"/>
      <c r="R89" s="1894"/>
      <c r="S89" s="1871">
        <f t="shared" si="13"/>
        <v>45174.976185712381</v>
      </c>
      <c r="T89" s="1777"/>
      <c r="U89" s="1777"/>
      <c r="V89" s="1777"/>
      <c r="W89" s="1777"/>
      <c r="X89" s="1777"/>
      <c r="Y89" s="1777"/>
      <c r="Z89" s="1777"/>
      <c r="AA89" s="1777"/>
      <c r="AB89" s="1777"/>
      <c r="AC89" s="1777"/>
    </row>
    <row r="90" spans="1:29" s="1782" customFormat="1" ht="11.25" customHeight="1">
      <c r="A90" s="1779"/>
      <c r="B90" s="1576">
        <v>46165</v>
      </c>
      <c r="C90" s="1593" t="s">
        <v>250</v>
      </c>
      <c r="D90" s="1578" t="s">
        <v>1460</v>
      </c>
      <c r="E90" s="1581">
        <v>57</v>
      </c>
      <c r="F90" s="1580" t="s">
        <v>107</v>
      </c>
      <c r="G90" s="1581"/>
      <c r="H90" s="1582"/>
      <c r="I90" s="1590"/>
      <c r="J90" s="1905"/>
      <c r="K90" s="1583">
        <v>3.6</v>
      </c>
      <c r="L90" s="1891">
        <f>'통장내역(환율표)'!$D$88</f>
        <v>6.7996000305175901</v>
      </c>
      <c r="M90" s="1983">
        <f t="shared" si="17"/>
        <v>0.52944290603016042</v>
      </c>
      <c r="N90" s="1892">
        <f t="shared" si="18"/>
        <v>307168.19000000157</v>
      </c>
      <c r="O90" s="1892">
        <f t="shared" si="19"/>
        <v>45174.444073240928</v>
      </c>
      <c r="P90" s="1903"/>
      <c r="Q90" s="1894"/>
      <c r="R90" s="1894"/>
      <c r="S90" s="1871">
        <f t="shared" si="13"/>
        <v>45174.446742806351</v>
      </c>
      <c r="T90" s="1777"/>
      <c r="U90" s="1777"/>
      <c r="V90" s="1777"/>
      <c r="W90" s="1777"/>
      <c r="X90" s="1777"/>
      <c r="Y90" s="1777"/>
      <c r="Z90" s="1777"/>
      <c r="AA90" s="1777"/>
      <c r="AB90" s="1777"/>
      <c r="AC90" s="1777"/>
    </row>
    <row r="91" spans="1:29" s="1782" customFormat="1" ht="11.25" customHeight="1">
      <c r="A91" s="1779"/>
      <c r="B91" s="1576">
        <v>46165</v>
      </c>
      <c r="C91" s="1577" t="s">
        <v>1592</v>
      </c>
      <c r="D91" s="1578" t="s">
        <v>211</v>
      </c>
      <c r="E91" s="1581">
        <v>58</v>
      </c>
      <c r="F91" s="1580" t="s">
        <v>13</v>
      </c>
      <c r="G91" s="1581" t="s">
        <v>14</v>
      </c>
      <c r="H91" s="1582"/>
      <c r="I91" s="1590"/>
      <c r="J91" s="1905"/>
      <c r="K91" s="1583">
        <v>7964.29</v>
      </c>
      <c r="L91" s="1891">
        <f>'통장내역(환율표)'!$D$88</f>
        <v>6.7996000305175901</v>
      </c>
      <c r="M91" s="1983">
        <f t="shared" si="17"/>
        <v>1171.2880116852627</v>
      </c>
      <c r="N91" s="1892">
        <f t="shared" si="18"/>
        <v>299203.90000000159</v>
      </c>
      <c r="O91" s="1892">
        <f t="shared" si="19"/>
        <v>44003.156061555666</v>
      </c>
      <c r="P91" s="1903"/>
      <c r="Q91" s="1894"/>
      <c r="R91" s="1894"/>
      <c r="S91" s="1871">
        <f t="shared" si="13"/>
        <v>44003.15873112109</v>
      </c>
      <c r="T91" s="1777"/>
      <c r="U91" s="1777"/>
      <c r="V91" s="1777"/>
      <c r="W91" s="1777"/>
      <c r="X91" s="1777"/>
      <c r="Y91" s="1777"/>
      <c r="Z91" s="1777"/>
      <c r="AA91" s="1777"/>
      <c r="AB91" s="1777"/>
      <c r="AC91" s="1777"/>
    </row>
    <row r="92" spans="1:29" s="1782" customFormat="1" ht="11.25" customHeight="1">
      <c r="A92" s="1779"/>
      <c r="B92" s="1576">
        <v>46165</v>
      </c>
      <c r="C92" s="1577" t="s">
        <v>19</v>
      </c>
      <c r="D92" s="1578" t="s">
        <v>211</v>
      </c>
      <c r="E92" s="1581">
        <v>59</v>
      </c>
      <c r="F92" s="1580" t="s">
        <v>19</v>
      </c>
      <c r="G92" s="1581" t="s">
        <v>1609</v>
      </c>
      <c r="H92" s="1582"/>
      <c r="I92" s="1590"/>
      <c r="J92" s="1905"/>
      <c r="K92" s="1583">
        <v>300</v>
      </c>
      <c r="L92" s="1891">
        <f>'통장내역(환율표)'!$D$88</f>
        <v>6.7996000305175901</v>
      </c>
      <c r="M92" s="1983">
        <f t="shared" si="17"/>
        <v>44.120242169180031</v>
      </c>
      <c r="N92" s="1892">
        <f t="shared" si="18"/>
        <v>298903.90000000159</v>
      </c>
      <c r="O92" s="1892">
        <f t="shared" si="19"/>
        <v>43959.035819386489</v>
      </c>
      <c r="P92" s="1903"/>
      <c r="Q92" s="1894"/>
      <c r="R92" s="1894"/>
      <c r="S92" s="1871">
        <f t="shared" si="13"/>
        <v>43959.038488951912</v>
      </c>
      <c r="T92" s="1777"/>
      <c r="U92" s="1777"/>
      <c r="V92" s="1777"/>
      <c r="W92" s="1777"/>
      <c r="X92" s="1777"/>
      <c r="Y92" s="1777"/>
      <c r="Z92" s="1777"/>
      <c r="AA92" s="1777"/>
      <c r="AB92" s="1777"/>
      <c r="AC92" s="1777"/>
    </row>
    <row r="93" spans="1:29" s="1782" customFormat="1" ht="11.25" customHeight="1">
      <c r="A93" s="1779"/>
      <c r="B93" s="1576">
        <v>46165</v>
      </c>
      <c r="C93" s="1593" t="s">
        <v>250</v>
      </c>
      <c r="D93" s="1578" t="s">
        <v>211</v>
      </c>
      <c r="E93" s="1581">
        <v>60</v>
      </c>
      <c r="F93" s="1580" t="s">
        <v>107</v>
      </c>
      <c r="G93" s="1581"/>
      <c r="H93" s="1582"/>
      <c r="I93" s="1590"/>
      <c r="J93" s="1905"/>
      <c r="K93" s="1583">
        <v>3.6</v>
      </c>
      <c r="L93" s="1891">
        <f>'통장내역(환율표)'!$D$88</f>
        <v>6.7996000305175901</v>
      </c>
      <c r="M93" s="1983">
        <f t="shared" si="17"/>
        <v>0.52944290603016042</v>
      </c>
      <c r="N93" s="1892">
        <f t="shared" si="18"/>
        <v>298900.30000000162</v>
      </c>
      <c r="O93" s="1892">
        <f t="shared" si="19"/>
        <v>43958.506376480458</v>
      </c>
      <c r="P93" s="1903"/>
      <c r="Q93" s="1894"/>
      <c r="R93" s="1894"/>
      <c r="S93" s="1871">
        <f t="shared" si="13"/>
        <v>43958.509046045881</v>
      </c>
      <c r="T93" s="1777"/>
      <c r="U93" s="1777"/>
      <c r="V93" s="1777"/>
      <c r="W93" s="1777"/>
      <c r="X93" s="1777"/>
      <c r="Y93" s="1777"/>
      <c r="Z93" s="1777"/>
      <c r="AA93" s="1777"/>
      <c r="AB93" s="1777"/>
      <c r="AC93" s="1777"/>
    </row>
    <row r="94" spans="1:29" s="1782" customFormat="1" ht="11.25" customHeight="1">
      <c r="A94" s="1779"/>
      <c r="B94" s="1576">
        <v>46165</v>
      </c>
      <c r="C94" s="1593" t="s">
        <v>1462</v>
      </c>
      <c r="D94" s="1578"/>
      <c r="E94" s="1581">
        <v>61</v>
      </c>
      <c r="F94" s="1580" t="s">
        <v>107</v>
      </c>
      <c r="G94" s="1581"/>
      <c r="H94" s="1582"/>
      <c r="I94" s="1590"/>
      <c r="J94" s="1905"/>
      <c r="K94" s="1583">
        <v>280937.55</v>
      </c>
      <c r="L94" s="1891">
        <f>'통장내역(환율표)'!$D$88</f>
        <v>6.7996000305175901</v>
      </c>
      <c r="M94" s="1983">
        <f t="shared" si="17"/>
        <v>41316.775801387077</v>
      </c>
      <c r="N94" s="1892">
        <f t="shared" si="18"/>
        <v>17962.75000000163</v>
      </c>
      <c r="O94" s="1892">
        <f t="shared" si="19"/>
        <v>2641.730575093381</v>
      </c>
      <c r="P94" s="1903"/>
      <c r="Q94" s="1894"/>
      <c r="R94" s="1894"/>
      <c r="S94" s="1871">
        <f t="shared" si="13"/>
        <v>2641.7332446588043</v>
      </c>
      <c r="T94" s="1777"/>
      <c r="U94" s="1777"/>
      <c r="V94" s="1777"/>
      <c r="W94" s="1777"/>
      <c r="X94" s="1777"/>
      <c r="Y94" s="1777"/>
      <c r="Z94" s="1777"/>
      <c r="AA94" s="1777"/>
      <c r="AB94" s="1777"/>
      <c r="AC94" s="1777"/>
    </row>
    <row r="95" spans="1:29" s="1782" customFormat="1" ht="11.25" customHeight="1">
      <c r="A95" s="1779"/>
      <c r="B95" s="1576">
        <v>46165</v>
      </c>
      <c r="C95" s="1593" t="s">
        <v>250</v>
      </c>
      <c r="D95" s="1578"/>
      <c r="E95" s="1581">
        <v>62</v>
      </c>
      <c r="F95" s="1580" t="s">
        <v>107</v>
      </c>
      <c r="G95" s="1581"/>
      <c r="H95" s="1582"/>
      <c r="I95" s="1590"/>
      <c r="J95" s="1905"/>
      <c r="K95" s="1583">
        <v>12</v>
      </c>
      <c r="L95" s="1891">
        <f>'통장내역(환율표)'!$D$88</f>
        <v>6.7996000305175901</v>
      </c>
      <c r="M95" s="1983">
        <f t="shared" si="17"/>
        <v>1.7648096867672012</v>
      </c>
      <c r="N95" s="2011">
        <f t="shared" si="18"/>
        <v>17950.75000000163</v>
      </c>
      <c r="O95" s="2011">
        <f t="shared" si="19"/>
        <v>2639.9657654066136</v>
      </c>
      <c r="P95" s="1903"/>
      <c r="Q95" s="1894"/>
      <c r="R95" s="1894"/>
      <c r="S95" s="2012">
        <f t="shared" si="13"/>
        <v>2639.9684349720369</v>
      </c>
      <c r="T95" s="1777"/>
      <c r="U95" s="1777"/>
      <c r="V95" s="1777"/>
      <c r="W95" s="1777"/>
      <c r="X95" s="1777"/>
      <c r="Y95" s="1777"/>
      <c r="Z95" s="1777"/>
      <c r="AA95" s="1777"/>
      <c r="AB95" s="1777"/>
      <c r="AC95" s="1777"/>
    </row>
    <row r="96" spans="1:29" ht="11.25" customHeight="1">
      <c r="H96" s="1919"/>
      <c r="I96" s="1919"/>
      <c r="J96" s="1920"/>
      <c r="K96" s="1921"/>
      <c r="L96" s="1919"/>
      <c r="M96" s="1919"/>
      <c r="N96" s="1919"/>
      <c r="O96" s="1919"/>
    </row>
    <row r="97" spans="11:12" ht="11.25" customHeight="1">
      <c r="K97" s="1921"/>
      <c r="L97" s="1919"/>
    </row>
    <row r="98" spans="11:12" ht="11.25" customHeight="1">
      <c r="K98" s="1921"/>
      <c r="L98" s="1919"/>
    </row>
    <row r="99" spans="11:12" ht="11.25" customHeight="1">
      <c r="K99" s="1921"/>
      <c r="L99" s="1919"/>
    </row>
    <row r="100" spans="11:12" ht="11.25" customHeight="1">
      <c r="K100" s="1921"/>
      <c r="L100" s="1919"/>
    </row>
    <row r="101" spans="11:12" ht="11.25" customHeight="1">
      <c r="K101" s="1921"/>
      <c r="L101" s="1919"/>
    </row>
    <row r="102" spans="11:12" ht="11.25" customHeight="1">
      <c r="K102" s="1921"/>
      <c r="L102" s="1919"/>
    </row>
    <row r="103" spans="11:12" ht="11.25" customHeight="1">
      <c r="K103" s="1921"/>
      <c r="L103" s="1919"/>
    </row>
    <row r="104" spans="11:12" ht="11.25" customHeight="1">
      <c r="K104" s="1921"/>
      <c r="L104" s="1919"/>
    </row>
    <row r="105" spans="11:12" ht="11.25" customHeight="1">
      <c r="K105" s="1921"/>
      <c r="L105" s="1919"/>
    </row>
    <row r="106" spans="11:12" ht="11.25" customHeight="1">
      <c r="K106" s="1921"/>
    </row>
    <row r="107" spans="11:12" ht="11.25" customHeight="1">
      <c r="K107" s="1921"/>
    </row>
  </sheetData>
  <autoFilter ref="B20:R95" xr:uid="{00000000-0009-0000-0000-000001000000}">
    <filterColumn colId="14" showButton="0"/>
    <sortState xmlns:xlrd2="http://schemas.microsoft.com/office/spreadsheetml/2017/richdata2" ref="B21:R95">
      <sortCondition sortBy="cellColor" ref="M20:M95" dxfId="0"/>
    </sortState>
  </autoFilter>
  <mergeCells count="5">
    <mergeCell ref="H19:J19"/>
    <mergeCell ref="K19:M19"/>
    <mergeCell ref="N19:O19"/>
    <mergeCell ref="P19:Q19"/>
    <mergeCell ref="P20:Q20"/>
  </mergeCells>
  <phoneticPr fontId="11" type="noConversion"/>
  <pageMargins left="0.7" right="0.7" top="0.75" bottom="0.75" header="0.3" footer="0.3"/>
  <pageSetup paperSize="256"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6ADA-860C-47B9-BD86-2A93C79773A5}">
  <sheetPr>
    <tabColor rgb="FF92D050"/>
    <pageSetUpPr fitToPage="1"/>
  </sheetPr>
  <dimension ref="A1:B115"/>
  <sheetViews>
    <sheetView showGridLines="0" topLeftCell="A102" zoomScale="80" zoomScaleNormal="80" zoomScaleSheetLayoutView="70" workbookViewId="0">
      <selection activeCell="G127" sqref="G127"/>
    </sheetView>
  </sheetViews>
  <sheetFormatPr defaultColWidth="9" defaultRowHeight="17.399999999999999"/>
  <cols>
    <col min="1" max="1" width="12.69921875" style="316" customWidth="1"/>
    <col min="2" max="6" width="9" style="316"/>
    <col min="7" max="7" width="41.5" style="316" bestFit="1" customWidth="1"/>
    <col min="8" max="11" width="9" style="316"/>
    <col min="12" max="12" width="9.19921875" style="316" customWidth="1"/>
    <col min="13" max="256" width="9" style="316"/>
    <col min="257" max="257" width="2.09765625" style="316" customWidth="1"/>
    <col min="258" max="512" width="9" style="316"/>
    <col min="513" max="513" width="2.09765625" style="316" customWidth="1"/>
    <col min="514" max="768" width="9" style="316"/>
    <col min="769" max="769" width="2.09765625" style="316" customWidth="1"/>
    <col min="770" max="1024" width="9" style="316"/>
    <col min="1025" max="1025" width="2.09765625" style="316" customWidth="1"/>
    <col min="1026" max="1280" width="9" style="316"/>
    <col min="1281" max="1281" width="2.09765625" style="316" customWidth="1"/>
    <col min="1282" max="1536" width="9" style="316"/>
    <col min="1537" max="1537" width="2.09765625" style="316" customWidth="1"/>
    <col min="1538" max="1792" width="9" style="316"/>
    <col min="1793" max="1793" width="2.09765625" style="316" customWidth="1"/>
    <col min="1794" max="2048" width="9" style="316"/>
    <col min="2049" max="2049" width="2.09765625" style="316" customWidth="1"/>
    <col min="2050" max="2304" width="9" style="316"/>
    <col min="2305" max="2305" width="2.09765625" style="316" customWidth="1"/>
    <col min="2306" max="2560" width="9" style="316"/>
    <col min="2561" max="2561" width="2.09765625" style="316" customWidth="1"/>
    <col min="2562" max="2816" width="9" style="316"/>
    <col min="2817" max="2817" width="2.09765625" style="316" customWidth="1"/>
    <col min="2818" max="3072" width="9" style="316"/>
    <col min="3073" max="3073" width="2.09765625" style="316" customWidth="1"/>
    <col min="3074" max="3328" width="9" style="316"/>
    <col min="3329" max="3329" width="2.09765625" style="316" customWidth="1"/>
    <col min="3330" max="3584" width="9" style="316"/>
    <col min="3585" max="3585" width="2.09765625" style="316" customWidth="1"/>
    <col min="3586" max="3840" width="9" style="316"/>
    <col min="3841" max="3841" width="2.09765625" style="316" customWidth="1"/>
    <col min="3842" max="4096" width="9" style="316"/>
    <col min="4097" max="4097" width="2.09765625" style="316" customWidth="1"/>
    <col min="4098" max="4352" width="9" style="316"/>
    <col min="4353" max="4353" width="2.09765625" style="316" customWidth="1"/>
    <col min="4354" max="4608" width="9" style="316"/>
    <col min="4609" max="4609" width="2.09765625" style="316" customWidth="1"/>
    <col min="4610" max="4864" width="9" style="316"/>
    <col min="4865" max="4865" width="2.09765625" style="316" customWidth="1"/>
    <col min="4866" max="5120" width="9" style="316"/>
    <col min="5121" max="5121" width="2.09765625" style="316" customWidth="1"/>
    <col min="5122" max="5376" width="9" style="316"/>
    <col min="5377" max="5377" width="2.09765625" style="316" customWidth="1"/>
    <col min="5378" max="5632" width="9" style="316"/>
    <col min="5633" max="5633" width="2.09765625" style="316" customWidth="1"/>
    <col min="5634" max="5888" width="9" style="316"/>
    <col min="5889" max="5889" width="2.09765625" style="316" customWidth="1"/>
    <col min="5890" max="6144" width="9" style="316"/>
    <col min="6145" max="6145" width="2.09765625" style="316" customWidth="1"/>
    <col min="6146" max="6400" width="9" style="316"/>
    <col min="6401" max="6401" width="2.09765625" style="316" customWidth="1"/>
    <col min="6402" max="6656" width="9" style="316"/>
    <col min="6657" max="6657" width="2.09765625" style="316" customWidth="1"/>
    <col min="6658" max="6912" width="9" style="316"/>
    <col min="6913" max="6913" width="2.09765625" style="316" customWidth="1"/>
    <col min="6914" max="7168" width="9" style="316"/>
    <col min="7169" max="7169" width="2.09765625" style="316" customWidth="1"/>
    <col min="7170" max="7424" width="9" style="316"/>
    <col min="7425" max="7425" width="2.09765625" style="316" customWidth="1"/>
    <col min="7426" max="7680" width="9" style="316"/>
    <col min="7681" max="7681" width="2.09765625" style="316" customWidth="1"/>
    <col min="7682" max="7936" width="9" style="316"/>
    <col min="7937" max="7937" width="2.09765625" style="316" customWidth="1"/>
    <col min="7938" max="8192" width="9" style="316"/>
    <col min="8193" max="8193" width="2.09765625" style="316" customWidth="1"/>
    <col min="8194" max="8448" width="9" style="316"/>
    <col min="8449" max="8449" width="2.09765625" style="316" customWidth="1"/>
    <col min="8450" max="8704" width="9" style="316"/>
    <col min="8705" max="8705" width="2.09765625" style="316" customWidth="1"/>
    <col min="8706" max="8960" width="9" style="316"/>
    <col min="8961" max="8961" width="2.09765625" style="316" customWidth="1"/>
    <col min="8962" max="9216" width="9" style="316"/>
    <col min="9217" max="9217" width="2.09765625" style="316" customWidth="1"/>
    <col min="9218" max="9472" width="9" style="316"/>
    <col min="9473" max="9473" width="2.09765625" style="316" customWidth="1"/>
    <col min="9474" max="9728" width="9" style="316"/>
    <col min="9729" max="9729" width="2.09765625" style="316" customWidth="1"/>
    <col min="9730" max="9984" width="9" style="316"/>
    <col min="9985" max="9985" width="2.09765625" style="316" customWidth="1"/>
    <col min="9986" max="10240" width="9" style="316"/>
    <col min="10241" max="10241" width="2.09765625" style="316" customWidth="1"/>
    <col min="10242" max="10496" width="9" style="316"/>
    <col min="10497" max="10497" width="2.09765625" style="316" customWidth="1"/>
    <col min="10498" max="10752" width="9" style="316"/>
    <col min="10753" max="10753" width="2.09765625" style="316" customWidth="1"/>
    <col min="10754" max="11008" width="9" style="316"/>
    <col min="11009" max="11009" width="2.09765625" style="316" customWidth="1"/>
    <col min="11010" max="11264" width="9" style="316"/>
    <col min="11265" max="11265" width="2.09765625" style="316" customWidth="1"/>
    <col min="11266" max="11520" width="9" style="316"/>
    <col min="11521" max="11521" width="2.09765625" style="316" customWidth="1"/>
    <col min="11522" max="11776" width="9" style="316"/>
    <col min="11777" max="11777" width="2.09765625" style="316" customWidth="1"/>
    <col min="11778" max="12032" width="9" style="316"/>
    <col min="12033" max="12033" width="2.09765625" style="316" customWidth="1"/>
    <col min="12034" max="12288" width="9" style="316"/>
    <col min="12289" max="12289" width="2.09765625" style="316" customWidth="1"/>
    <col min="12290" max="12544" width="9" style="316"/>
    <col min="12545" max="12545" width="2.09765625" style="316" customWidth="1"/>
    <col min="12546" max="12800" width="9" style="316"/>
    <col min="12801" max="12801" width="2.09765625" style="316" customWidth="1"/>
    <col min="12802" max="13056" width="9" style="316"/>
    <col min="13057" max="13057" width="2.09765625" style="316" customWidth="1"/>
    <col min="13058" max="13312" width="9" style="316"/>
    <col min="13313" max="13313" width="2.09765625" style="316" customWidth="1"/>
    <col min="13314" max="13568" width="9" style="316"/>
    <col min="13569" max="13569" width="2.09765625" style="316" customWidth="1"/>
    <col min="13570" max="13824" width="9" style="316"/>
    <col min="13825" max="13825" width="2.09765625" style="316" customWidth="1"/>
    <col min="13826" max="14080" width="9" style="316"/>
    <col min="14081" max="14081" width="2.09765625" style="316" customWidth="1"/>
    <col min="14082" max="14336" width="9" style="316"/>
    <col min="14337" max="14337" width="2.09765625" style="316" customWidth="1"/>
    <col min="14338" max="14592" width="9" style="316"/>
    <col min="14593" max="14593" width="2.09765625" style="316" customWidth="1"/>
    <col min="14594" max="14848" width="9" style="316"/>
    <col min="14849" max="14849" width="2.09765625" style="316" customWidth="1"/>
    <col min="14850" max="15104" width="9" style="316"/>
    <col min="15105" max="15105" width="2.09765625" style="316" customWidth="1"/>
    <col min="15106" max="15360" width="9" style="316"/>
    <col min="15361" max="15361" width="2.09765625" style="316" customWidth="1"/>
    <col min="15362" max="15616" width="9" style="316"/>
    <col min="15617" max="15617" width="2.09765625" style="316" customWidth="1"/>
    <col min="15618" max="15872" width="9" style="316"/>
    <col min="15873" max="15873" width="2.09765625" style="316" customWidth="1"/>
    <col min="15874" max="16128" width="9" style="316"/>
    <col min="16129" max="16129" width="2.09765625" style="316" customWidth="1"/>
    <col min="16130" max="16384" width="9" style="316"/>
  </cols>
  <sheetData>
    <row r="1" spans="2:2" ht="22.5" customHeight="1">
      <c r="B1" s="2008"/>
    </row>
    <row r="22" spans="2:2">
      <c r="B22" s="2008"/>
    </row>
    <row r="29" spans="2:2" ht="15.75" customHeight="1"/>
    <row r="38" ht="15.75" customHeight="1"/>
    <row r="79" spans="2:2">
      <c r="B79" s="2008"/>
    </row>
    <row r="99" spans="2:2">
      <c r="B99" s="2008"/>
    </row>
    <row r="115" spans="1:1">
      <c r="A115" s="2008"/>
    </row>
  </sheetData>
  <phoneticPr fontId="3" type="noConversion"/>
  <pageMargins left="0.70866141732283505" right="0.70866141732283505" top="0.74803149606299202" bottom="0.74803149606299202" header="0.31496062992126" footer="0.31496062992126"/>
  <pageSetup paperSize="9" scale="55" fitToHeight="0" orientation="portrait" r:id="rId1"/>
  <rowBreaks count="1" manualBreakCount="1">
    <brk id="39" max="16383" man="1"/>
  </rowBreaks>
  <colBreaks count="2" manualBreakCount="2">
    <brk id="11" max="1048575" man="1"/>
    <brk id="13" max="1048575" man="1"/>
  </col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A6BF-E876-473E-BFC7-B0F7D99C5F64}">
  <sheetPr>
    <tabColor rgb="FFFEFED8"/>
  </sheetPr>
  <dimension ref="B2:L52"/>
  <sheetViews>
    <sheetView topLeftCell="A23" zoomScale="80" zoomScaleNormal="80" workbookViewId="0">
      <selection activeCell="I38" sqref="I38"/>
    </sheetView>
  </sheetViews>
  <sheetFormatPr defaultColWidth="9" defaultRowHeight="15.6"/>
  <cols>
    <col min="1" max="1" width="3.69921875" style="1216" customWidth="1"/>
    <col min="2" max="2" width="8.09765625" style="1217" customWidth="1"/>
    <col min="3" max="3" width="9.296875" style="1216" bestFit="1" customWidth="1"/>
    <col min="4" max="4" width="11.09765625" style="1216" customWidth="1"/>
    <col min="5" max="5" width="12.19921875" style="1216" bestFit="1" customWidth="1"/>
    <col min="6" max="6" width="24.296875" style="1217" customWidth="1"/>
    <col min="7" max="7" width="16.296875" style="1239" customWidth="1"/>
    <col min="8" max="8" width="14.5" style="1216" bestFit="1" customWidth="1"/>
    <col min="9" max="9" width="25.59765625" style="1216" customWidth="1"/>
    <col min="10" max="10" width="14.796875" style="1216" customWidth="1"/>
    <col min="11" max="11" width="47.69921875" style="1216" bestFit="1" customWidth="1"/>
    <col min="12" max="12" width="62.69921875" style="1216" bestFit="1" customWidth="1"/>
    <col min="13" max="250" width="9" style="1216"/>
    <col min="251" max="251" width="3.69921875" style="1216" customWidth="1"/>
    <col min="252" max="506" width="9" style="1216"/>
    <col min="507" max="507" width="3.69921875" style="1216" customWidth="1"/>
    <col min="508" max="762" width="9" style="1216"/>
    <col min="763" max="763" width="3.69921875" style="1216" customWidth="1"/>
    <col min="764" max="1018" width="9" style="1216"/>
    <col min="1019" max="1019" width="3.69921875" style="1216" customWidth="1"/>
    <col min="1020" max="1274" width="9" style="1216"/>
    <col min="1275" max="1275" width="3.69921875" style="1216" customWidth="1"/>
    <col min="1276" max="1530" width="9" style="1216"/>
    <col min="1531" max="1531" width="3.69921875" style="1216" customWidth="1"/>
    <col min="1532" max="1786" width="9" style="1216"/>
    <col min="1787" max="1787" width="3.69921875" style="1216" customWidth="1"/>
    <col min="1788" max="2042" width="9" style="1216"/>
    <col min="2043" max="2043" width="3.69921875" style="1216" customWidth="1"/>
    <col min="2044" max="2298" width="9" style="1216"/>
    <col min="2299" max="2299" width="3.69921875" style="1216" customWidth="1"/>
    <col min="2300" max="2554" width="9" style="1216"/>
    <col min="2555" max="2555" width="3.69921875" style="1216" customWidth="1"/>
    <col min="2556" max="2810" width="9" style="1216"/>
    <col min="2811" max="2811" width="3.69921875" style="1216" customWidth="1"/>
    <col min="2812" max="3066" width="9" style="1216"/>
    <col min="3067" max="3067" width="3.69921875" style="1216" customWidth="1"/>
    <col min="3068" max="3322" width="9" style="1216"/>
    <col min="3323" max="3323" width="3.69921875" style="1216" customWidth="1"/>
    <col min="3324" max="3578" width="9" style="1216"/>
    <col min="3579" max="3579" width="3.69921875" style="1216" customWidth="1"/>
    <col min="3580" max="3834" width="9" style="1216"/>
    <col min="3835" max="3835" width="3.69921875" style="1216" customWidth="1"/>
    <col min="3836" max="4090" width="9" style="1216"/>
    <col min="4091" max="4091" width="3.69921875" style="1216" customWidth="1"/>
    <col min="4092" max="4346" width="9" style="1216"/>
    <col min="4347" max="4347" width="3.69921875" style="1216" customWidth="1"/>
    <col min="4348" max="4602" width="9" style="1216"/>
    <col min="4603" max="4603" width="3.69921875" style="1216" customWidth="1"/>
    <col min="4604" max="4858" width="9" style="1216"/>
    <col min="4859" max="4859" width="3.69921875" style="1216" customWidth="1"/>
    <col min="4860" max="5114" width="9" style="1216"/>
    <col min="5115" max="5115" width="3.69921875" style="1216" customWidth="1"/>
    <col min="5116" max="5370" width="9" style="1216"/>
    <col min="5371" max="5371" width="3.69921875" style="1216" customWidth="1"/>
    <col min="5372" max="5626" width="9" style="1216"/>
    <col min="5627" max="5627" width="3.69921875" style="1216" customWidth="1"/>
    <col min="5628" max="5882" width="9" style="1216"/>
    <col min="5883" max="5883" width="3.69921875" style="1216" customWidth="1"/>
    <col min="5884" max="6138" width="9" style="1216"/>
    <col min="6139" max="6139" width="3.69921875" style="1216" customWidth="1"/>
    <col min="6140" max="6394" width="9" style="1216"/>
    <col min="6395" max="6395" width="3.69921875" style="1216" customWidth="1"/>
    <col min="6396" max="6650" width="9" style="1216"/>
    <col min="6651" max="6651" width="3.69921875" style="1216" customWidth="1"/>
    <col min="6652" max="6906" width="9" style="1216"/>
    <col min="6907" max="6907" width="3.69921875" style="1216" customWidth="1"/>
    <col min="6908" max="7162" width="9" style="1216"/>
    <col min="7163" max="7163" width="3.69921875" style="1216" customWidth="1"/>
    <col min="7164" max="7418" width="9" style="1216"/>
    <col min="7419" max="7419" width="3.69921875" style="1216" customWidth="1"/>
    <col min="7420" max="7674" width="9" style="1216"/>
    <col min="7675" max="7675" width="3.69921875" style="1216" customWidth="1"/>
    <col min="7676" max="7930" width="9" style="1216"/>
    <col min="7931" max="7931" width="3.69921875" style="1216" customWidth="1"/>
    <col min="7932" max="8186" width="9" style="1216"/>
    <col min="8187" max="8187" width="3.69921875" style="1216" customWidth="1"/>
    <col min="8188" max="8442" width="9" style="1216"/>
    <col min="8443" max="8443" width="3.69921875" style="1216" customWidth="1"/>
    <col min="8444" max="8698" width="9" style="1216"/>
    <col min="8699" max="8699" width="3.69921875" style="1216" customWidth="1"/>
    <col min="8700" max="8954" width="9" style="1216"/>
    <col min="8955" max="8955" width="3.69921875" style="1216" customWidth="1"/>
    <col min="8956" max="9210" width="9" style="1216"/>
    <col min="9211" max="9211" width="3.69921875" style="1216" customWidth="1"/>
    <col min="9212" max="9466" width="9" style="1216"/>
    <col min="9467" max="9467" width="3.69921875" style="1216" customWidth="1"/>
    <col min="9468" max="9722" width="9" style="1216"/>
    <col min="9723" max="9723" width="3.69921875" style="1216" customWidth="1"/>
    <col min="9724" max="9978" width="9" style="1216"/>
    <col min="9979" max="9979" width="3.69921875" style="1216" customWidth="1"/>
    <col min="9980" max="10234" width="9" style="1216"/>
    <col min="10235" max="10235" width="3.69921875" style="1216" customWidth="1"/>
    <col min="10236" max="10490" width="9" style="1216"/>
    <col min="10491" max="10491" width="3.69921875" style="1216" customWidth="1"/>
    <col min="10492" max="10746" width="9" style="1216"/>
    <col min="10747" max="10747" width="3.69921875" style="1216" customWidth="1"/>
    <col min="10748" max="11002" width="9" style="1216"/>
    <col min="11003" max="11003" width="3.69921875" style="1216" customWidth="1"/>
    <col min="11004" max="11258" width="9" style="1216"/>
    <col min="11259" max="11259" width="3.69921875" style="1216" customWidth="1"/>
    <col min="11260" max="11514" width="9" style="1216"/>
    <col min="11515" max="11515" width="3.69921875" style="1216" customWidth="1"/>
    <col min="11516" max="11770" width="9" style="1216"/>
    <col min="11771" max="11771" width="3.69921875" style="1216" customWidth="1"/>
    <col min="11772" max="12026" width="9" style="1216"/>
    <col min="12027" max="12027" width="3.69921875" style="1216" customWidth="1"/>
    <col min="12028" max="12282" width="9" style="1216"/>
    <col min="12283" max="12283" width="3.69921875" style="1216" customWidth="1"/>
    <col min="12284" max="12538" width="9" style="1216"/>
    <col min="12539" max="12539" width="3.69921875" style="1216" customWidth="1"/>
    <col min="12540" max="12794" width="9" style="1216"/>
    <col min="12795" max="12795" width="3.69921875" style="1216" customWidth="1"/>
    <col min="12796" max="13050" width="9" style="1216"/>
    <col min="13051" max="13051" width="3.69921875" style="1216" customWidth="1"/>
    <col min="13052" max="13306" width="9" style="1216"/>
    <col min="13307" max="13307" width="3.69921875" style="1216" customWidth="1"/>
    <col min="13308" max="13562" width="9" style="1216"/>
    <col min="13563" max="13563" width="3.69921875" style="1216" customWidth="1"/>
    <col min="13564" max="13818" width="9" style="1216"/>
    <col min="13819" max="13819" width="3.69921875" style="1216" customWidth="1"/>
    <col min="13820" max="14074" width="9" style="1216"/>
    <col min="14075" max="14075" width="3.69921875" style="1216" customWidth="1"/>
    <col min="14076" max="14330" width="9" style="1216"/>
    <col min="14331" max="14331" width="3.69921875" style="1216" customWidth="1"/>
    <col min="14332" max="14586" width="9" style="1216"/>
    <col min="14587" max="14587" width="3.69921875" style="1216" customWidth="1"/>
    <col min="14588" max="14842" width="9" style="1216"/>
    <col min="14843" max="14843" width="3.69921875" style="1216" customWidth="1"/>
    <col min="14844" max="15098" width="9" style="1216"/>
    <col min="15099" max="15099" width="3.69921875" style="1216" customWidth="1"/>
    <col min="15100" max="15354" width="9" style="1216"/>
    <col min="15355" max="15355" width="3.69921875" style="1216" customWidth="1"/>
    <col min="15356" max="15610" width="9" style="1216"/>
    <col min="15611" max="15611" width="3.69921875" style="1216" customWidth="1"/>
    <col min="15612" max="15866" width="9" style="1216"/>
    <col min="15867" max="15867" width="3.69921875" style="1216" customWidth="1"/>
    <col min="15868" max="16122" width="9" style="1216"/>
    <col min="16123" max="16123" width="3.69921875" style="1216" customWidth="1"/>
    <col min="16124" max="16384" width="9" style="1216"/>
  </cols>
  <sheetData>
    <row r="2" spans="2:12" ht="20.399999999999999">
      <c r="B2" s="1215" t="s">
        <v>260</v>
      </c>
      <c r="G2" s="2107"/>
      <c r="H2" s="2107"/>
      <c r="I2" s="2107"/>
    </row>
    <row r="4" spans="2:12">
      <c r="B4" s="2106" t="s">
        <v>261</v>
      </c>
      <c r="C4" s="2106" t="s">
        <v>262</v>
      </c>
      <c r="D4" s="2108" t="s">
        <v>263</v>
      </c>
      <c r="E4" s="2108" t="s">
        <v>1172</v>
      </c>
      <c r="F4" s="2108" t="s">
        <v>264</v>
      </c>
      <c r="G4" s="2106" t="s">
        <v>265</v>
      </c>
      <c r="H4" s="2106"/>
      <c r="I4" s="2106" t="s">
        <v>266</v>
      </c>
      <c r="J4" s="2106" t="s">
        <v>267</v>
      </c>
      <c r="K4" s="2106" t="s">
        <v>1127</v>
      </c>
      <c r="L4" s="2106"/>
    </row>
    <row r="5" spans="2:12">
      <c r="B5" s="2106"/>
      <c r="C5" s="2106"/>
      <c r="D5" s="2109"/>
      <c r="E5" s="2109"/>
      <c r="F5" s="2109"/>
      <c r="G5" s="1219" t="s">
        <v>268</v>
      </c>
      <c r="H5" s="1218" t="s">
        <v>743</v>
      </c>
      <c r="I5" s="2106"/>
      <c r="J5" s="2106"/>
      <c r="K5" s="1218" t="s">
        <v>1128</v>
      </c>
      <c r="L5" s="1218" t="s">
        <v>1173</v>
      </c>
    </row>
    <row r="6" spans="2:12" ht="20.100000000000001" customHeight="1">
      <c r="B6" s="1220">
        <f t="shared" ref="B6:B51" si="0">ROW()-5</f>
        <v>1</v>
      </c>
      <c r="C6" s="1221"/>
      <c r="D6" s="1222">
        <v>45855</v>
      </c>
      <c r="E6" s="1223" t="s">
        <v>1426</v>
      </c>
      <c r="F6" s="1224" t="s">
        <v>1476</v>
      </c>
      <c r="G6" s="1225">
        <v>51</v>
      </c>
      <c r="H6" s="1226"/>
      <c r="I6" s="1227" t="s">
        <v>1477</v>
      </c>
      <c r="J6" s="1227" t="s">
        <v>1478</v>
      </c>
      <c r="K6" s="1227" t="s">
        <v>1479</v>
      </c>
      <c r="L6" s="1228" t="s">
        <v>1480</v>
      </c>
    </row>
    <row r="7" spans="2:12" ht="20.100000000000001" customHeight="1">
      <c r="B7" s="1220">
        <f t="shared" si="0"/>
        <v>2</v>
      </c>
      <c r="C7" s="1221"/>
      <c r="D7" s="1222">
        <v>45818</v>
      </c>
      <c r="E7" s="1223" t="s">
        <v>1426</v>
      </c>
      <c r="F7" s="1224" t="s">
        <v>1476</v>
      </c>
      <c r="G7" s="1225">
        <v>36</v>
      </c>
      <c r="H7" s="1226"/>
      <c r="I7" s="1227" t="s">
        <v>1477</v>
      </c>
      <c r="J7" s="1227" t="s">
        <v>1478</v>
      </c>
      <c r="K7" s="1227" t="s">
        <v>1481</v>
      </c>
      <c r="L7" s="1228" t="s">
        <v>1482</v>
      </c>
    </row>
    <row r="8" spans="2:12" ht="20.100000000000001" customHeight="1">
      <c r="B8" s="1220">
        <f t="shared" si="0"/>
        <v>3</v>
      </c>
      <c r="C8" s="1221"/>
      <c r="D8" s="1222">
        <v>45846</v>
      </c>
      <c r="E8" s="1223" t="s">
        <v>1426</v>
      </c>
      <c r="F8" s="1224" t="s">
        <v>1483</v>
      </c>
      <c r="G8" s="1225">
        <v>62</v>
      </c>
      <c r="H8" s="1226"/>
      <c r="I8" s="1227" t="s">
        <v>1477</v>
      </c>
      <c r="J8" s="1227" t="s">
        <v>1478</v>
      </c>
      <c r="K8" s="1227" t="s">
        <v>1484</v>
      </c>
      <c r="L8" s="1228" t="s">
        <v>1485</v>
      </c>
    </row>
    <row r="9" spans="2:12" ht="20.100000000000001" customHeight="1">
      <c r="B9" s="1220">
        <f t="shared" si="0"/>
        <v>4</v>
      </c>
      <c r="C9" s="1221"/>
      <c r="D9" s="1222">
        <v>45841</v>
      </c>
      <c r="E9" s="1223" t="s">
        <v>1426</v>
      </c>
      <c r="F9" s="1224" t="s">
        <v>1486</v>
      </c>
      <c r="G9" s="1225">
        <v>414</v>
      </c>
      <c r="H9" s="1226"/>
      <c r="I9" s="1227" t="s">
        <v>1477</v>
      </c>
      <c r="J9" s="1227" t="s">
        <v>1478</v>
      </c>
      <c r="K9" s="1227" t="s">
        <v>1487</v>
      </c>
      <c r="L9" s="1228" t="s">
        <v>1482</v>
      </c>
    </row>
    <row r="10" spans="2:12" ht="20.100000000000001" customHeight="1">
      <c r="B10" s="1220">
        <f t="shared" si="0"/>
        <v>5</v>
      </c>
      <c r="C10" s="1221"/>
      <c r="D10" s="1222">
        <v>45839</v>
      </c>
      <c r="E10" s="1223" t="s">
        <v>1426</v>
      </c>
      <c r="F10" s="1224" t="s">
        <v>1488</v>
      </c>
      <c r="G10" s="1225">
        <v>280</v>
      </c>
      <c r="H10" s="1226"/>
      <c r="I10" s="1227" t="s">
        <v>1477</v>
      </c>
      <c r="J10" s="1227" t="s">
        <v>1489</v>
      </c>
      <c r="K10" s="1227" t="s">
        <v>1490</v>
      </c>
      <c r="L10" s="1228" t="s">
        <v>1480</v>
      </c>
    </row>
    <row r="11" spans="2:12" ht="20.100000000000001" customHeight="1">
      <c r="B11" s="1220">
        <f t="shared" si="0"/>
        <v>6</v>
      </c>
      <c r="C11" s="1221"/>
      <c r="D11" s="1222">
        <v>45832</v>
      </c>
      <c r="E11" s="1223" t="s">
        <v>1426</v>
      </c>
      <c r="F11" s="1224" t="s">
        <v>1491</v>
      </c>
      <c r="G11" s="1225">
        <v>486</v>
      </c>
      <c r="H11" s="1226"/>
      <c r="I11" s="1227" t="s">
        <v>1477</v>
      </c>
      <c r="J11" s="1227" t="s">
        <v>1489</v>
      </c>
      <c r="K11" s="1227" t="s">
        <v>1492</v>
      </c>
      <c r="L11" s="1228" t="s">
        <v>1482</v>
      </c>
    </row>
    <row r="12" spans="2:12" ht="20.100000000000001" customHeight="1">
      <c r="B12" s="1220">
        <f t="shared" si="0"/>
        <v>7</v>
      </c>
      <c r="C12" s="1221"/>
      <c r="D12" s="1222">
        <v>45833</v>
      </c>
      <c r="E12" s="1223" t="s">
        <v>1426</v>
      </c>
      <c r="F12" s="1224" t="s">
        <v>1491</v>
      </c>
      <c r="G12" s="1225">
        <v>546</v>
      </c>
      <c r="H12" s="1226"/>
      <c r="I12" s="1227" t="s">
        <v>1477</v>
      </c>
      <c r="J12" s="1227" t="s">
        <v>1489</v>
      </c>
      <c r="K12" s="1227" t="s">
        <v>1493</v>
      </c>
      <c r="L12" s="1228" t="s">
        <v>1482</v>
      </c>
    </row>
    <row r="13" spans="2:12" ht="20.100000000000001" customHeight="1">
      <c r="B13" s="1220">
        <f t="shared" si="0"/>
        <v>8</v>
      </c>
      <c r="C13" s="1221"/>
      <c r="D13" s="1222">
        <v>45828</v>
      </c>
      <c r="E13" s="1223" t="s">
        <v>1426</v>
      </c>
      <c r="F13" s="1224" t="s">
        <v>1494</v>
      </c>
      <c r="G13" s="1225">
        <v>554</v>
      </c>
      <c r="H13" s="1226"/>
      <c r="I13" s="1227" t="s">
        <v>1477</v>
      </c>
      <c r="J13" s="1227" t="s">
        <v>1495</v>
      </c>
      <c r="K13" s="1227" t="s">
        <v>1496</v>
      </c>
      <c r="L13" s="1228" t="s">
        <v>1482</v>
      </c>
    </row>
    <row r="14" spans="2:12" ht="20.100000000000001" customHeight="1">
      <c r="B14" s="1220">
        <f t="shared" si="0"/>
        <v>9</v>
      </c>
      <c r="C14" s="1221"/>
      <c r="D14" s="1222">
        <v>45827</v>
      </c>
      <c r="E14" s="1223" t="s">
        <v>1426</v>
      </c>
      <c r="F14" s="1224" t="s">
        <v>1497</v>
      </c>
      <c r="G14" s="1225">
        <v>458</v>
      </c>
      <c r="H14" s="1226"/>
      <c r="I14" s="1227" t="s">
        <v>1477</v>
      </c>
      <c r="J14" s="1227" t="s">
        <v>1489</v>
      </c>
      <c r="K14" s="1227" t="s">
        <v>1498</v>
      </c>
      <c r="L14" s="1228" t="s">
        <v>1482</v>
      </c>
    </row>
    <row r="15" spans="2:12" ht="20.100000000000001" customHeight="1">
      <c r="B15" s="1220">
        <f t="shared" si="0"/>
        <v>10</v>
      </c>
      <c r="C15" s="1221"/>
      <c r="D15" s="1222">
        <v>45839</v>
      </c>
      <c r="E15" s="1223" t="s">
        <v>1426</v>
      </c>
      <c r="F15" s="1224" t="s">
        <v>1486</v>
      </c>
      <c r="G15" s="1225">
        <v>342</v>
      </c>
      <c r="H15" s="1226"/>
      <c r="I15" s="1227" t="s">
        <v>1477</v>
      </c>
      <c r="J15" s="1227" t="s">
        <v>1478</v>
      </c>
      <c r="K15" s="1227" t="s">
        <v>1479</v>
      </c>
      <c r="L15" s="1228" t="s">
        <v>1499</v>
      </c>
    </row>
    <row r="16" spans="2:12" ht="20.100000000000001" customHeight="1">
      <c r="B16" s="1220">
        <f t="shared" si="0"/>
        <v>11</v>
      </c>
      <c r="C16" s="1221"/>
      <c r="D16" s="1222">
        <v>45839</v>
      </c>
      <c r="E16" s="1223" t="s">
        <v>1426</v>
      </c>
      <c r="F16" s="1224" t="s">
        <v>1500</v>
      </c>
      <c r="G16" s="1225">
        <v>230</v>
      </c>
      <c r="H16" s="1226"/>
      <c r="I16" s="1227" t="s">
        <v>1477</v>
      </c>
      <c r="J16" s="1227" t="s">
        <v>1478</v>
      </c>
      <c r="K16" s="1227" t="s">
        <v>1501</v>
      </c>
      <c r="L16" s="1228" t="s">
        <v>1502</v>
      </c>
    </row>
    <row r="17" spans="2:12" ht="20.100000000000001" customHeight="1">
      <c r="B17" s="1220">
        <f t="shared" si="0"/>
        <v>12</v>
      </c>
      <c r="C17" s="1221"/>
      <c r="D17" s="1222">
        <v>45838</v>
      </c>
      <c r="E17" s="1223" t="s">
        <v>1426</v>
      </c>
      <c r="F17" s="1224" t="s">
        <v>1503</v>
      </c>
      <c r="G17" s="1225">
        <v>96</v>
      </c>
      <c r="H17" s="1226"/>
      <c r="I17" s="1227" t="s">
        <v>1477</v>
      </c>
      <c r="J17" s="1227" t="s">
        <v>1478</v>
      </c>
      <c r="K17" s="1227" t="s">
        <v>1504</v>
      </c>
      <c r="L17" s="1228" t="s">
        <v>1505</v>
      </c>
    </row>
    <row r="18" spans="2:12" ht="20.100000000000001" customHeight="1">
      <c r="B18" s="1220">
        <f t="shared" si="0"/>
        <v>13</v>
      </c>
      <c r="C18" s="1221"/>
      <c r="D18" s="1222">
        <v>45835</v>
      </c>
      <c r="E18" s="1223" t="s">
        <v>1426</v>
      </c>
      <c r="F18" s="1224" t="s">
        <v>1491</v>
      </c>
      <c r="G18" s="1225">
        <v>700</v>
      </c>
      <c r="H18" s="1226"/>
      <c r="I18" s="1227" t="s">
        <v>1477</v>
      </c>
      <c r="J18" s="1227" t="s">
        <v>1489</v>
      </c>
      <c r="K18" s="1227" t="s">
        <v>1506</v>
      </c>
      <c r="L18" s="1228" t="s">
        <v>1507</v>
      </c>
    </row>
    <row r="19" spans="2:12" ht="20.100000000000001" customHeight="1">
      <c r="B19" s="1220">
        <f t="shared" si="0"/>
        <v>14</v>
      </c>
      <c r="C19" s="1221"/>
      <c r="D19" s="1240">
        <v>45855</v>
      </c>
      <c r="E19" s="1241" t="s">
        <v>1473</v>
      </c>
      <c r="F19" s="1242" t="s">
        <v>1175</v>
      </c>
      <c r="G19" s="1243">
        <v>129</v>
      </c>
      <c r="H19" s="1229"/>
      <c r="I19" s="1231" t="s">
        <v>1474</v>
      </c>
      <c r="J19" s="1230" t="s">
        <v>1475</v>
      </c>
      <c r="K19" s="1244" t="s">
        <v>1508</v>
      </c>
      <c r="L19" s="1245" t="s">
        <v>1509</v>
      </c>
    </row>
    <row r="20" spans="2:12" ht="20.100000000000001" customHeight="1">
      <c r="B20" s="1220">
        <f t="shared" si="0"/>
        <v>15</v>
      </c>
      <c r="C20" s="1221"/>
      <c r="D20" s="1246">
        <v>45832</v>
      </c>
      <c r="E20" s="1247" t="s">
        <v>1466</v>
      </c>
      <c r="F20" s="1248" t="s">
        <v>1470</v>
      </c>
      <c r="G20" s="1249">
        <v>142</v>
      </c>
      <c r="H20" s="1226"/>
      <c r="I20" s="1250" t="s">
        <v>1467</v>
      </c>
      <c r="J20" s="1250" t="str">
        <f>LEFT(I20,4)</f>
        <v>CSOT</v>
      </c>
      <c r="K20" s="1250" t="s">
        <v>1511</v>
      </c>
      <c r="L20" s="1245" t="s">
        <v>1512</v>
      </c>
    </row>
    <row r="21" spans="2:12" ht="20.100000000000001" customHeight="1">
      <c r="B21" s="1220">
        <f t="shared" si="0"/>
        <v>16</v>
      </c>
      <c r="C21" s="1221"/>
      <c r="D21" s="1246">
        <v>45832</v>
      </c>
      <c r="E21" s="1247" t="s">
        <v>1466</v>
      </c>
      <c r="F21" s="1248" t="s">
        <v>1470</v>
      </c>
      <c r="G21" s="1249">
        <v>67.83</v>
      </c>
      <c r="H21" s="1226"/>
      <c r="I21" s="1250" t="s">
        <v>1467</v>
      </c>
      <c r="J21" s="1250" t="str">
        <f>LEFT(I21,4)</f>
        <v>CSOT</v>
      </c>
      <c r="K21" s="1250" t="s">
        <v>1513</v>
      </c>
      <c r="L21" s="1245" t="s">
        <v>1512</v>
      </c>
    </row>
    <row r="22" spans="2:12" ht="20.100000000000001" customHeight="1">
      <c r="B22" s="1220">
        <f>ROW()-5</f>
        <v>17</v>
      </c>
      <c r="C22" s="1221"/>
      <c r="D22" s="1246">
        <v>45832</v>
      </c>
      <c r="E22" s="1247" t="s">
        <v>1466</v>
      </c>
      <c r="F22" s="1248" t="s">
        <v>1471</v>
      </c>
      <c r="G22" s="1249">
        <v>133</v>
      </c>
      <c r="H22" s="1226"/>
      <c r="I22" s="1250" t="s">
        <v>1467</v>
      </c>
      <c r="J22" s="1250" t="str">
        <f>LEFT(I22,4)</f>
        <v>CSOT</v>
      </c>
      <c r="K22" s="1250" t="s">
        <v>1513</v>
      </c>
      <c r="L22" s="1245" t="s">
        <v>1512</v>
      </c>
    </row>
    <row r="23" spans="2:12" ht="20.100000000000001" customHeight="1">
      <c r="B23" s="1220">
        <f t="shared" si="0"/>
        <v>18</v>
      </c>
      <c r="C23" s="1221"/>
      <c r="D23" s="1246">
        <v>45838</v>
      </c>
      <c r="E23" s="1247" t="s">
        <v>1466</v>
      </c>
      <c r="F23" s="1248" t="s">
        <v>1468</v>
      </c>
      <c r="G23" s="1249">
        <v>667</v>
      </c>
      <c r="H23" s="1226"/>
      <c r="I23" s="1250" t="s">
        <v>1467</v>
      </c>
      <c r="J23" s="1250" t="str">
        <f t="shared" ref="J23:J24" si="1">LEFT(I23,4)</f>
        <v>CSOT</v>
      </c>
      <c r="K23" s="1250" t="s">
        <v>1514</v>
      </c>
      <c r="L23" s="1245" t="s">
        <v>1515</v>
      </c>
    </row>
    <row r="24" spans="2:12" ht="20.100000000000001" customHeight="1">
      <c r="B24" s="1220">
        <f t="shared" si="0"/>
        <v>19</v>
      </c>
      <c r="C24" s="1221"/>
      <c r="D24" s="1246">
        <v>45842</v>
      </c>
      <c r="E24" s="1247" t="s">
        <v>1466</v>
      </c>
      <c r="F24" s="1248" t="s">
        <v>1468</v>
      </c>
      <c r="G24" s="1249">
        <v>229</v>
      </c>
      <c r="H24" s="1226"/>
      <c r="I24" s="1250" t="s">
        <v>1467</v>
      </c>
      <c r="J24" s="1250" t="str">
        <f t="shared" si="1"/>
        <v>CSOT</v>
      </c>
      <c r="K24" s="1250" t="s">
        <v>1516</v>
      </c>
      <c r="L24" s="1245" t="s">
        <v>1517</v>
      </c>
    </row>
    <row r="25" spans="2:12" ht="20.100000000000001" customHeight="1">
      <c r="B25" s="1220">
        <f t="shared" si="0"/>
        <v>20</v>
      </c>
      <c r="C25" s="1221"/>
      <c r="D25" s="1246">
        <v>45845</v>
      </c>
      <c r="E25" s="1247" t="s">
        <v>1466</v>
      </c>
      <c r="F25" s="1248" t="s">
        <v>1468</v>
      </c>
      <c r="G25" s="1249">
        <v>308</v>
      </c>
      <c r="H25" s="1226"/>
      <c r="I25" s="1250" t="s">
        <v>1518</v>
      </c>
      <c r="J25" s="1250" t="s">
        <v>1519</v>
      </c>
      <c r="K25" s="1250" t="s">
        <v>1469</v>
      </c>
      <c r="L25" s="1245" t="s">
        <v>1517</v>
      </c>
    </row>
    <row r="26" spans="2:12" ht="20.100000000000001" customHeight="1">
      <c r="B26" s="1220">
        <f t="shared" si="0"/>
        <v>21</v>
      </c>
      <c r="C26" s="1221"/>
      <c r="D26" s="1246">
        <v>45856</v>
      </c>
      <c r="E26" s="1247" t="s">
        <v>1466</v>
      </c>
      <c r="F26" s="1248" t="s">
        <v>1470</v>
      </c>
      <c r="G26" s="1249">
        <v>43.9</v>
      </c>
      <c r="H26" s="1226"/>
      <c r="I26" s="1250" t="s">
        <v>1467</v>
      </c>
      <c r="J26" s="1250" t="str">
        <f t="shared" ref="J26" si="2">LEFT(I26,4)</f>
        <v>CSOT</v>
      </c>
      <c r="K26" s="1251" t="s">
        <v>1520</v>
      </c>
      <c r="L26" s="1245" t="s">
        <v>1521</v>
      </c>
    </row>
    <row r="27" spans="2:12" ht="20.100000000000001" customHeight="1">
      <c r="B27" s="1220">
        <f t="shared" si="0"/>
        <v>22</v>
      </c>
      <c r="C27" s="1221"/>
      <c r="D27" s="1246">
        <v>45838</v>
      </c>
      <c r="E27" s="1241" t="s">
        <v>1472</v>
      </c>
      <c r="F27" s="1242" t="s">
        <v>1175</v>
      </c>
      <c r="G27" s="1243">
        <v>83.1</v>
      </c>
      <c r="H27" s="1229"/>
      <c r="I27" s="1253" t="s">
        <v>1522</v>
      </c>
      <c r="J27" s="1252" t="str">
        <f>LEFT(I27,4)</f>
        <v>CSOT</v>
      </c>
      <c r="K27" s="1254" t="s">
        <v>1523</v>
      </c>
      <c r="L27" s="1255" t="s">
        <v>1472</v>
      </c>
    </row>
    <row r="28" spans="2:12" ht="20.100000000000001" customHeight="1">
      <c r="B28" s="1220">
        <f t="shared" si="0"/>
        <v>23</v>
      </c>
      <c r="C28" s="1221"/>
      <c r="D28" s="1246">
        <v>45848</v>
      </c>
      <c r="E28" s="1241" t="s">
        <v>1472</v>
      </c>
      <c r="F28" s="1242" t="s">
        <v>1175</v>
      </c>
      <c r="G28" s="1256">
        <v>18</v>
      </c>
      <c r="H28" s="1229"/>
      <c r="I28" s="1253" t="s">
        <v>1524</v>
      </c>
      <c r="J28" s="1252" t="str">
        <f>LEFT(I28,4)</f>
        <v xml:space="preserve">HKC </v>
      </c>
      <c r="K28" s="1254" t="s">
        <v>1525</v>
      </c>
      <c r="L28" s="1255" t="s">
        <v>1472</v>
      </c>
    </row>
    <row r="29" spans="2:12" ht="20.100000000000001" customHeight="1">
      <c r="B29" s="1220">
        <f t="shared" si="0"/>
        <v>24</v>
      </c>
      <c r="C29" s="1221"/>
      <c r="D29" s="1246">
        <v>45855</v>
      </c>
      <c r="E29" s="1241" t="s">
        <v>1472</v>
      </c>
      <c r="F29" s="1257" t="s">
        <v>1526</v>
      </c>
      <c r="G29" s="1256">
        <v>168.9</v>
      </c>
      <c r="H29" s="1229"/>
      <c r="I29" s="1253" t="s">
        <v>1524</v>
      </c>
      <c r="J29" s="1252" t="str">
        <f>LEFT(I29,4)</f>
        <v xml:space="preserve">HKC </v>
      </c>
      <c r="K29" s="1254" t="s">
        <v>1527</v>
      </c>
      <c r="L29" s="1255" t="s">
        <v>1472</v>
      </c>
    </row>
    <row r="30" spans="2:12" ht="20.100000000000001" customHeight="1">
      <c r="B30" s="1220">
        <f t="shared" si="0"/>
        <v>25</v>
      </c>
      <c r="C30" s="1221"/>
      <c r="D30" s="1258" t="s">
        <v>1528</v>
      </c>
      <c r="E30" s="1259" t="s">
        <v>1529</v>
      </c>
      <c r="F30" s="1260" t="s">
        <v>1530</v>
      </c>
      <c r="G30" s="1261">
        <v>138</v>
      </c>
      <c r="H30" s="1262"/>
      <c r="I30" s="1260" t="s">
        <v>1531</v>
      </c>
      <c r="J30" s="1260" t="s">
        <v>1532</v>
      </c>
      <c r="K30" s="1260" t="s">
        <v>1533</v>
      </c>
      <c r="L30" s="1258" t="s">
        <v>1534</v>
      </c>
    </row>
    <row r="31" spans="2:12" ht="20.100000000000001" customHeight="1">
      <c r="B31" s="1220">
        <f t="shared" si="0"/>
        <v>26</v>
      </c>
      <c r="C31" s="1221"/>
      <c r="D31" s="732" t="s">
        <v>1535</v>
      </c>
      <c r="E31" s="1263" t="s">
        <v>1529</v>
      </c>
      <c r="F31" s="733" t="s">
        <v>1536</v>
      </c>
      <c r="G31" s="1264">
        <v>644</v>
      </c>
      <c r="H31" s="1265"/>
      <c r="I31" s="734" t="s">
        <v>1537</v>
      </c>
      <c r="J31" s="734" t="s">
        <v>1538</v>
      </c>
      <c r="K31" s="734" t="s">
        <v>1539</v>
      </c>
      <c r="L31" s="732" t="s">
        <v>1540</v>
      </c>
    </row>
    <row r="32" spans="2:12" ht="20.100000000000001" customHeight="1">
      <c r="B32" s="1220">
        <f t="shared" si="0"/>
        <v>27</v>
      </c>
      <c r="C32" s="1221"/>
      <c r="D32" s="732" t="s">
        <v>1535</v>
      </c>
      <c r="E32" s="1263" t="s">
        <v>1529</v>
      </c>
      <c r="F32" s="733" t="s">
        <v>1541</v>
      </c>
      <c r="G32" s="1264">
        <v>6500</v>
      </c>
      <c r="H32" s="1265"/>
      <c r="I32" s="734" t="s">
        <v>1542</v>
      </c>
      <c r="J32" s="734" t="s">
        <v>1538</v>
      </c>
      <c r="K32" s="734" t="s">
        <v>1539</v>
      </c>
      <c r="L32" s="732" t="s">
        <v>1540</v>
      </c>
    </row>
    <row r="33" spans="2:12" ht="20.100000000000001" customHeight="1">
      <c r="B33" s="1220">
        <f t="shared" si="0"/>
        <v>28</v>
      </c>
      <c r="C33" s="1221"/>
      <c r="D33" s="732" t="s">
        <v>1543</v>
      </c>
      <c r="E33" s="1263" t="s">
        <v>1529</v>
      </c>
      <c r="F33" s="733" t="s">
        <v>1544</v>
      </c>
      <c r="G33" s="1264">
        <v>108.8</v>
      </c>
      <c r="H33" s="1265"/>
      <c r="I33" s="734" t="s">
        <v>1545</v>
      </c>
      <c r="J33" s="734" t="s">
        <v>1538</v>
      </c>
      <c r="K33" s="734" t="s">
        <v>1539</v>
      </c>
      <c r="L33" s="732" t="s">
        <v>1534</v>
      </c>
    </row>
    <row r="34" spans="2:12" ht="20.100000000000001" customHeight="1">
      <c r="B34" s="1220">
        <f t="shared" si="0"/>
        <v>29</v>
      </c>
      <c r="C34" s="1221"/>
      <c r="D34" s="732" t="s">
        <v>1546</v>
      </c>
      <c r="E34" s="1263" t="s">
        <v>1529</v>
      </c>
      <c r="F34" s="733" t="s">
        <v>1547</v>
      </c>
      <c r="G34" s="1264">
        <v>315</v>
      </c>
      <c r="H34" s="1265"/>
      <c r="I34" s="734" t="s">
        <v>1548</v>
      </c>
      <c r="J34" s="734" t="s">
        <v>1538</v>
      </c>
      <c r="K34" s="734" t="s">
        <v>1549</v>
      </c>
      <c r="L34" s="732" t="s">
        <v>1550</v>
      </c>
    </row>
    <row r="35" spans="2:12" ht="20.100000000000001" customHeight="1">
      <c r="B35" s="1220">
        <f t="shared" si="0"/>
        <v>30</v>
      </c>
      <c r="C35" s="1221"/>
      <c r="D35" s="732">
        <v>45834</v>
      </c>
      <c r="E35" s="1263" t="s">
        <v>1552</v>
      </c>
      <c r="F35" s="733" t="s">
        <v>1553</v>
      </c>
      <c r="G35" s="1264">
        <v>1208</v>
      </c>
      <c r="H35" s="1265"/>
      <c r="I35" s="734" t="s">
        <v>1554</v>
      </c>
      <c r="J35" s="734" t="s">
        <v>1555</v>
      </c>
      <c r="K35" s="734" t="s">
        <v>1556</v>
      </c>
      <c r="L35" s="732" t="s">
        <v>1557</v>
      </c>
    </row>
    <row r="36" spans="2:12" ht="20.100000000000001" customHeight="1">
      <c r="B36" s="1220">
        <f t="shared" si="0"/>
        <v>31</v>
      </c>
      <c r="C36" s="1221"/>
      <c r="D36" s="732">
        <v>45838</v>
      </c>
      <c r="E36" s="1263" t="s">
        <v>1552</v>
      </c>
      <c r="F36" s="733" t="s">
        <v>1558</v>
      </c>
      <c r="G36" s="1264">
        <v>755</v>
      </c>
      <c r="H36" s="1265"/>
      <c r="I36" s="734" t="s">
        <v>1559</v>
      </c>
      <c r="J36" s="734" t="s">
        <v>1560</v>
      </c>
      <c r="K36" s="734" t="s">
        <v>1561</v>
      </c>
      <c r="L36" s="732" t="s">
        <v>1562</v>
      </c>
    </row>
    <row r="37" spans="2:12" ht="20.100000000000001" customHeight="1">
      <c r="B37" s="1220">
        <f t="shared" si="0"/>
        <v>32</v>
      </c>
      <c r="C37" s="1221"/>
      <c r="D37" s="732">
        <v>45838</v>
      </c>
      <c r="E37" s="1263" t="s">
        <v>1552</v>
      </c>
      <c r="F37" s="1264" t="s">
        <v>1563</v>
      </c>
      <c r="G37" s="1264">
        <v>1780</v>
      </c>
      <c r="H37" s="1265"/>
      <c r="I37" s="734" t="s">
        <v>1559</v>
      </c>
      <c r="J37" s="734" t="s">
        <v>1560</v>
      </c>
      <c r="K37" s="734" t="s">
        <v>1561</v>
      </c>
      <c r="L37" s="732" t="s">
        <v>1557</v>
      </c>
    </row>
    <row r="38" spans="2:12" ht="20.100000000000001" customHeight="1">
      <c r="B38" s="1220">
        <f t="shared" si="0"/>
        <v>33</v>
      </c>
      <c r="C38" s="1221"/>
      <c r="D38" s="732">
        <v>45846</v>
      </c>
      <c r="E38" s="1263" t="s">
        <v>1552</v>
      </c>
      <c r="F38" s="733" t="s">
        <v>1564</v>
      </c>
      <c r="G38" s="1264">
        <v>399</v>
      </c>
      <c r="H38" s="1265"/>
      <c r="I38" s="734" t="s">
        <v>1559</v>
      </c>
      <c r="J38" s="734" t="s">
        <v>1560</v>
      </c>
      <c r="K38" s="734" t="s">
        <v>1565</v>
      </c>
      <c r="L38" s="732" t="s">
        <v>1566</v>
      </c>
    </row>
    <row r="39" spans="2:12" ht="20.100000000000001" customHeight="1">
      <c r="B39" s="1220">
        <f t="shared" si="0"/>
        <v>34</v>
      </c>
      <c r="C39" s="1221"/>
      <c r="D39" s="732">
        <v>45847</v>
      </c>
      <c r="E39" s="1263" t="s">
        <v>1552</v>
      </c>
      <c r="F39" s="733" t="s">
        <v>1567</v>
      </c>
      <c r="G39" s="1264">
        <v>1350</v>
      </c>
      <c r="H39" s="1265"/>
      <c r="I39" s="734" t="s">
        <v>1568</v>
      </c>
      <c r="J39" s="734" t="s">
        <v>1560</v>
      </c>
      <c r="K39" s="734" t="s">
        <v>1569</v>
      </c>
      <c r="L39" s="732" t="s">
        <v>1557</v>
      </c>
    </row>
    <row r="40" spans="2:12" ht="20.100000000000001" customHeight="1">
      <c r="B40" s="1220">
        <f t="shared" si="0"/>
        <v>35</v>
      </c>
      <c r="C40" s="1221"/>
      <c r="D40" s="732">
        <v>45848</v>
      </c>
      <c r="E40" s="1263" t="s">
        <v>1552</v>
      </c>
      <c r="F40" s="733" t="s">
        <v>1570</v>
      </c>
      <c r="G40" s="1264">
        <v>2500</v>
      </c>
      <c r="H40" s="1265"/>
      <c r="I40" s="734" t="s">
        <v>1571</v>
      </c>
      <c r="J40" s="734" t="s">
        <v>1560</v>
      </c>
      <c r="K40" s="734" t="s">
        <v>1572</v>
      </c>
      <c r="L40" s="732" t="s">
        <v>1557</v>
      </c>
    </row>
    <row r="41" spans="2:12" ht="20.100000000000001" customHeight="1">
      <c r="B41" s="1220">
        <f t="shared" si="0"/>
        <v>36</v>
      </c>
      <c r="C41" s="1221"/>
      <c r="D41" s="732">
        <v>45853</v>
      </c>
      <c r="E41" s="1263" t="s">
        <v>1552</v>
      </c>
      <c r="F41" s="733" t="s">
        <v>1558</v>
      </c>
      <c r="G41" s="1264">
        <v>426</v>
      </c>
      <c r="H41" s="1265"/>
      <c r="I41" s="734" t="s">
        <v>1573</v>
      </c>
      <c r="J41" s="734" t="s">
        <v>1574</v>
      </c>
      <c r="K41" s="734" t="s">
        <v>1575</v>
      </c>
      <c r="L41" s="732" t="s">
        <v>1557</v>
      </c>
    </row>
    <row r="42" spans="2:12" ht="20.100000000000001" customHeight="1">
      <c r="B42" s="1220">
        <f t="shared" si="0"/>
        <v>37</v>
      </c>
      <c r="C42" s="1221"/>
      <c r="D42" s="1233"/>
      <c r="E42" s="1210"/>
      <c r="F42" s="1210"/>
      <c r="G42" s="1234"/>
      <c r="H42" s="1235"/>
      <c r="I42" s="1210"/>
      <c r="J42" s="1210"/>
      <c r="K42" s="1210"/>
      <c r="L42" s="1210"/>
    </row>
    <row r="43" spans="2:12" ht="20.100000000000001" customHeight="1">
      <c r="B43" s="1220">
        <f t="shared" si="0"/>
        <v>38</v>
      </c>
      <c r="C43" s="1221"/>
      <c r="D43" s="1233"/>
      <c r="E43" s="1210"/>
      <c r="F43" s="1210"/>
      <c r="G43" s="1234"/>
      <c r="H43" s="1235"/>
      <c r="I43" s="1210"/>
      <c r="J43" s="1210"/>
      <c r="K43" s="1210"/>
      <c r="L43" s="1210"/>
    </row>
    <row r="44" spans="2:12" ht="20.100000000000001" customHeight="1">
      <c r="B44" s="1220">
        <f t="shared" si="0"/>
        <v>39</v>
      </c>
      <c r="C44" s="1221"/>
      <c r="D44" s="1233"/>
      <c r="E44" s="1210"/>
      <c r="F44" s="1210"/>
      <c r="G44" s="1234"/>
      <c r="H44" s="1235"/>
      <c r="I44" s="1210"/>
      <c r="J44" s="1210"/>
      <c r="K44" s="1210"/>
      <c r="L44" s="1210"/>
    </row>
    <row r="45" spans="2:12" ht="20.100000000000001" customHeight="1">
      <c r="B45" s="1220">
        <f t="shared" si="0"/>
        <v>40</v>
      </c>
      <c r="C45" s="1221"/>
      <c r="D45" s="1233"/>
      <c r="E45" s="1210"/>
      <c r="F45" s="1210"/>
      <c r="G45" s="1234"/>
      <c r="H45" s="1235"/>
      <c r="I45" s="1210"/>
      <c r="J45" s="1210"/>
      <c r="K45" s="1210"/>
      <c r="L45" s="1210"/>
    </row>
    <row r="46" spans="2:12" ht="20.100000000000001" customHeight="1">
      <c r="B46" s="1220">
        <f t="shared" si="0"/>
        <v>41</v>
      </c>
      <c r="C46" s="1221"/>
      <c r="D46" s="1233"/>
      <c r="E46" s="1210"/>
      <c r="F46" s="1210"/>
      <c r="G46" s="1234"/>
      <c r="H46" s="1235"/>
      <c r="I46" s="1210"/>
      <c r="J46" s="1210"/>
      <c r="K46" s="1210"/>
      <c r="L46" s="1210"/>
    </row>
    <row r="47" spans="2:12" ht="20.100000000000001" customHeight="1">
      <c r="B47" s="1220">
        <f t="shared" si="0"/>
        <v>42</v>
      </c>
      <c r="C47" s="1221"/>
      <c r="D47" s="1233"/>
      <c r="E47" s="1210"/>
      <c r="F47" s="1210"/>
      <c r="G47" s="1234"/>
      <c r="H47" s="1235"/>
      <c r="I47" s="1210"/>
      <c r="J47" s="1210"/>
      <c r="K47" s="1210"/>
      <c r="L47" s="1210"/>
    </row>
    <row r="48" spans="2:12" ht="20.100000000000001" customHeight="1">
      <c r="B48" s="1220">
        <f t="shared" si="0"/>
        <v>43</v>
      </c>
      <c r="C48" s="1221"/>
      <c r="D48" s="1236"/>
      <c r="E48" s="1223"/>
      <c r="F48" s="1224"/>
      <c r="G48" s="1225"/>
      <c r="H48" s="1226"/>
      <c r="I48" s="1227"/>
      <c r="J48" s="1227"/>
      <c r="K48" s="1232"/>
      <c r="L48" s="1228"/>
    </row>
    <row r="49" spans="2:12" ht="20.100000000000001" customHeight="1">
      <c r="B49" s="1220">
        <f t="shared" si="0"/>
        <v>44</v>
      </c>
      <c r="C49" s="1221"/>
      <c r="D49" s="1236"/>
      <c r="E49" s="1223"/>
      <c r="F49" s="1224"/>
      <c r="G49" s="1225"/>
      <c r="H49" s="1226"/>
      <c r="I49" s="1227"/>
      <c r="J49" s="1227"/>
      <c r="K49" s="1232"/>
      <c r="L49" s="1228"/>
    </row>
    <row r="50" spans="2:12" ht="20.100000000000001" customHeight="1">
      <c r="B50" s="1220">
        <f t="shared" si="0"/>
        <v>45</v>
      </c>
      <c r="C50" s="1221"/>
      <c r="D50" s="1236"/>
      <c r="E50" s="1223"/>
      <c r="F50" s="1224"/>
      <c r="G50" s="1225"/>
      <c r="H50" s="1226"/>
      <c r="I50" s="1227"/>
      <c r="J50" s="1227"/>
      <c r="K50" s="1232"/>
      <c r="L50" s="1228"/>
    </row>
    <row r="51" spans="2:12" ht="20.100000000000001" customHeight="1">
      <c r="B51" s="1220">
        <f t="shared" si="0"/>
        <v>46</v>
      </c>
      <c r="C51" s="1221"/>
      <c r="D51" s="1236"/>
      <c r="E51" s="1210"/>
      <c r="F51" s="1224"/>
      <c r="G51" s="1225"/>
      <c r="H51" s="1226"/>
      <c r="I51" s="1227"/>
      <c r="J51" s="1227"/>
      <c r="K51" s="1232"/>
      <c r="L51" s="1228"/>
    </row>
    <row r="52" spans="2:12">
      <c r="B52" s="1220"/>
      <c r="G52" s="1237">
        <f>SUM(G6:G51)</f>
        <v>22368.53</v>
      </c>
      <c r="H52" s="1238">
        <f>SUM(H6:H49)</f>
        <v>0</v>
      </c>
    </row>
  </sheetData>
  <mergeCells count="10">
    <mergeCell ref="J4:J5"/>
    <mergeCell ref="K4:L4"/>
    <mergeCell ref="G2:I2"/>
    <mergeCell ref="B4:B5"/>
    <mergeCell ref="C4:C5"/>
    <mergeCell ref="D4:D5"/>
    <mergeCell ref="E4:E5"/>
    <mergeCell ref="F4:F5"/>
    <mergeCell ref="G4:H4"/>
    <mergeCell ref="I4:I5"/>
  </mergeCells>
  <phoneticPr fontId="11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DB7-6A9C-4189-ACA3-520285F6CE7E}">
  <sheetPr>
    <tabColor rgb="FFFEFED8"/>
  </sheetPr>
  <dimension ref="C3:V24"/>
  <sheetViews>
    <sheetView showGridLines="0" view="pageBreakPreview" zoomScale="80" zoomScaleNormal="90" zoomScaleSheetLayoutView="80" workbookViewId="0">
      <selection activeCell="I38" sqref="I38"/>
    </sheetView>
  </sheetViews>
  <sheetFormatPr defaultColWidth="9.5" defaultRowHeight="17.399999999999999"/>
  <cols>
    <col min="1" max="2" width="2.09765625" style="1209" customWidth="1"/>
    <col min="3" max="3" width="10.796875" style="1209" bestFit="1" customWidth="1"/>
    <col min="4" max="4" width="9.796875" style="1209" customWidth="1"/>
    <col min="5" max="5" width="16.59765625" style="1209" customWidth="1"/>
    <col min="6" max="6" width="10.796875" style="1209" bestFit="1" customWidth="1"/>
    <col min="7" max="9" width="9.5" style="1209"/>
    <col min="10" max="10" width="10.796875" style="1209" bestFit="1" customWidth="1"/>
    <col min="11" max="16" width="9.5" style="1209"/>
    <col min="17" max="17" width="14.5" style="1209" bestFit="1" customWidth="1"/>
    <col min="18" max="16384" width="9.5" style="1209"/>
  </cols>
  <sheetData>
    <row r="3" spans="3:22">
      <c r="C3" s="1208" t="s">
        <v>1030</v>
      </c>
      <c r="J3" s="1208" t="s">
        <v>1031</v>
      </c>
      <c r="Q3" s="1208" t="s">
        <v>1465</v>
      </c>
    </row>
    <row r="4" spans="3:22">
      <c r="C4" s="1210" t="s">
        <v>723</v>
      </c>
      <c r="D4" s="1210" t="s">
        <v>724</v>
      </c>
      <c r="E4" s="1210" t="s">
        <v>725</v>
      </c>
      <c r="F4" s="1210" t="s">
        <v>726</v>
      </c>
      <c r="G4" s="1210" t="s">
        <v>727</v>
      </c>
      <c r="H4" s="1210" t="s">
        <v>728</v>
      </c>
      <c r="J4" s="1210" t="s">
        <v>723</v>
      </c>
      <c r="K4" s="1210" t="s">
        <v>724</v>
      </c>
      <c r="L4" s="1210" t="s">
        <v>725</v>
      </c>
      <c r="M4" s="1210" t="s">
        <v>726</v>
      </c>
      <c r="N4" s="1210" t="s">
        <v>727</v>
      </c>
      <c r="O4" s="1210" t="s">
        <v>728</v>
      </c>
      <c r="Q4" s="1210" t="s">
        <v>723</v>
      </c>
      <c r="R4" s="1210" t="s">
        <v>724</v>
      </c>
      <c r="S4" s="1210" t="s">
        <v>725</v>
      </c>
      <c r="T4" s="1210" t="s">
        <v>726</v>
      </c>
      <c r="U4" s="1210" t="s">
        <v>727</v>
      </c>
      <c r="V4" s="1210" t="s">
        <v>728</v>
      </c>
    </row>
    <row r="5" spans="3:22">
      <c r="C5" s="1211">
        <v>45828</v>
      </c>
      <c r="D5" s="1210"/>
      <c r="E5" s="1210" t="s">
        <v>729</v>
      </c>
      <c r="F5" s="1210">
        <v>3.5</v>
      </c>
      <c r="G5" s="1210">
        <f t="shared" ref="G5:G23" si="0">F5*20</f>
        <v>70</v>
      </c>
      <c r="H5" s="1210"/>
      <c r="J5" s="1211">
        <v>45828</v>
      </c>
      <c r="K5" s="1210"/>
      <c r="L5" s="1210" t="s">
        <v>729</v>
      </c>
      <c r="M5" s="1210">
        <v>1</v>
      </c>
      <c r="N5" s="1210">
        <f t="shared" ref="N5:N23" si="1">M5*20</f>
        <v>20</v>
      </c>
      <c r="O5" s="1210"/>
      <c r="Q5" s="1211">
        <v>45807</v>
      </c>
      <c r="R5" s="1210"/>
      <c r="S5" s="1210" t="s">
        <v>729</v>
      </c>
      <c r="T5" s="1210">
        <v>1</v>
      </c>
      <c r="U5" s="1210">
        <f t="shared" ref="U5:U23" si="2">T5*20</f>
        <v>20</v>
      </c>
      <c r="V5" s="1210"/>
    </row>
    <row r="6" spans="3:22">
      <c r="C6" s="1211">
        <v>45832</v>
      </c>
      <c r="D6" s="1210"/>
      <c r="E6" s="1210" t="s">
        <v>729</v>
      </c>
      <c r="F6" s="1210">
        <v>2</v>
      </c>
      <c r="G6" s="1210">
        <f t="shared" si="0"/>
        <v>40</v>
      </c>
      <c r="H6" s="1210"/>
      <c r="J6" s="1211">
        <v>45833</v>
      </c>
      <c r="K6" s="1210"/>
      <c r="L6" s="1210" t="s">
        <v>729</v>
      </c>
      <c r="M6" s="1210">
        <v>4</v>
      </c>
      <c r="N6" s="1210">
        <f t="shared" si="1"/>
        <v>80</v>
      </c>
      <c r="O6" s="1210"/>
      <c r="Q6" s="1211">
        <v>45809</v>
      </c>
      <c r="R6" s="1210"/>
      <c r="S6" s="1210" t="s">
        <v>729</v>
      </c>
      <c r="T6" s="1210">
        <v>6</v>
      </c>
      <c r="U6" s="1210">
        <f t="shared" si="2"/>
        <v>120</v>
      </c>
      <c r="V6" s="1210"/>
    </row>
    <row r="7" spans="3:22">
      <c r="C7" s="1211">
        <v>45833</v>
      </c>
      <c r="D7" s="1210"/>
      <c r="E7" s="1210" t="s">
        <v>729</v>
      </c>
      <c r="F7" s="1210">
        <v>2</v>
      </c>
      <c r="G7" s="1210">
        <f t="shared" si="0"/>
        <v>40</v>
      </c>
      <c r="H7" s="1210"/>
      <c r="J7" s="1211">
        <v>45834</v>
      </c>
      <c r="K7" s="1210"/>
      <c r="L7" s="1210" t="s">
        <v>729</v>
      </c>
      <c r="M7" s="1210">
        <v>2</v>
      </c>
      <c r="N7" s="1210">
        <f t="shared" si="1"/>
        <v>40</v>
      </c>
      <c r="O7" s="1210"/>
      <c r="Q7" s="1211">
        <v>45818</v>
      </c>
      <c r="R7" s="1210"/>
      <c r="S7" s="1210" t="s">
        <v>729</v>
      </c>
      <c r="T7" s="1210">
        <v>3</v>
      </c>
      <c r="U7" s="1210">
        <f t="shared" si="2"/>
        <v>60</v>
      </c>
      <c r="V7" s="1210"/>
    </row>
    <row r="8" spans="3:22">
      <c r="C8" s="1211">
        <v>45835</v>
      </c>
      <c r="D8" s="1210"/>
      <c r="E8" s="1210" t="s">
        <v>729</v>
      </c>
      <c r="F8" s="1210">
        <v>2.5</v>
      </c>
      <c r="G8" s="1210">
        <f t="shared" si="0"/>
        <v>50</v>
      </c>
      <c r="H8" s="1210"/>
      <c r="J8" s="1211">
        <v>45835</v>
      </c>
      <c r="K8" s="1210"/>
      <c r="L8" s="1210" t="s">
        <v>729</v>
      </c>
      <c r="M8" s="1210">
        <v>1</v>
      </c>
      <c r="N8" s="1210">
        <f t="shared" si="1"/>
        <v>20</v>
      </c>
      <c r="O8" s="1210"/>
      <c r="Q8" s="1211"/>
      <c r="R8" s="1210"/>
      <c r="S8" s="1210" t="s">
        <v>729</v>
      </c>
      <c r="T8" s="1210"/>
      <c r="U8" s="1210">
        <f t="shared" si="2"/>
        <v>0</v>
      </c>
      <c r="V8" s="1210"/>
    </row>
    <row r="9" spans="3:22">
      <c r="C9" s="1211">
        <v>45838</v>
      </c>
      <c r="D9" s="1210"/>
      <c r="E9" s="1210" t="s">
        <v>729</v>
      </c>
      <c r="F9" s="1210">
        <v>4.5</v>
      </c>
      <c r="G9" s="1210">
        <f t="shared" si="0"/>
        <v>90</v>
      </c>
      <c r="H9" s="1212"/>
      <c r="J9" s="1211">
        <v>45837</v>
      </c>
      <c r="K9" s="1210"/>
      <c r="L9" s="1210" t="s">
        <v>729</v>
      </c>
      <c r="M9" s="1210">
        <v>18</v>
      </c>
      <c r="N9" s="1210">
        <f t="shared" si="1"/>
        <v>360</v>
      </c>
      <c r="O9" s="1212"/>
      <c r="Q9" s="1211"/>
      <c r="R9" s="1210"/>
      <c r="S9" s="1210" t="s">
        <v>729</v>
      </c>
      <c r="T9" s="1210"/>
      <c r="U9" s="1210">
        <f t="shared" si="2"/>
        <v>0</v>
      </c>
      <c r="V9" s="1212"/>
    </row>
    <row r="10" spans="3:22">
      <c r="C10" s="1211">
        <v>45839</v>
      </c>
      <c r="D10" s="1210"/>
      <c r="E10" s="1210" t="s">
        <v>729</v>
      </c>
      <c r="F10" s="1210">
        <v>5</v>
      </c>
      <c r="G10" s="1210">
        <f t="shared" si="0"/>
        <v>100</v>
      </c>
      <c r="H10" s="1210"/>
      <c r="J10" s="1211">
        <v>45838</v>
      </c>
      <c r="K10" s="1210"/>
      <c r="L10" s="1210" t="s">
        <v>729</v>
      </c>
      <c r="M10" s="1210">
        <v>4</v>
      </c>
      <c r="N10" s="1210">
        <f t="shared" si="1"/>
        <v>80</v>
      </c>
      <c r="O10" s="1210"/>
      <c r="Q10" s="1211"/>
      <c r="R10" s="1210"/>
      <c r="S10" s="1210" t="s">
        <v>729</v>
      </c>
      <c r="T10" s="1210"/>
      <c r="U10" s="1210">
        <f t="shared" si="2"/>
        <v>0</v>
      </c>
      <c r="V10" s="1210"/>
    </row>
    <row r="11" spans="3:22">
      <c r="C11" s="1211">
        <v>45849</v>
      </c>
      <c r="D11" s="1210"/>
      <c r="E11" s="1210" t="s">
        <v>729</v>
      </c>
      <c r="F11" s="1210">
        <v>2.5</v>
      </c>
      <c r="G11" s="1210">
        <f t="shared" si="0"/>
        <v>50</v>
      </c>
      <c r="H11" s="1210"/>
      <c r="J11" s="1211">
        <v>45839</v>
      </c>
      <c r="K11" s="1210"/>
      <c r="L11" s="1210" t="s">
        <v>729</v>
      </c>
      <c r="M11" s="1210">
        <v>6</v>
      </c>
      <c r="N11" s="1210">
        <f t="shared" si="1"/>
        <v>120</v>
      </c>
      <c r="O11" s="1210"/>
      <c r="Q11" s="1211"/>
      <c r="R11" s="1210"/>
      <c r="S11" s="1210" t="s">
        <v>729</v>
      </c>
      <c r="T11" s="1210"/>
      <c r="U11" s="1210">
        <f t="shared" si="2"/>
        <v>0</v>
      </c>
      <c r="V11" s="1210"/>
    </row>
    <row r="12" spans="3:22">
      <c r="C12" s="1211">
        <v>45854</v>
      </c>
      <c r="D12" s="1210"/>
      <c r="E12" s="1210" t="s">
        <v>729</v>
      </c>
      <c r="F12" s="1210">
        <v>2.5</v>
      </c>
      <c r="G12" s="1210">
        <f t="shared" si="0"/>
        <v>50</v>
      </c>
      <c r="H12" s="1210"/>
      <c r="J12" s="1211">
        <v>45845</v>
      </c>
      <c r="K12" s="1210"/>
      <c r="L12" s="1210" t="s">
        <v>729</v>
      </c>
      <c r="M12" s="1210">
        <v>5</v>
      </c>
      <c r="N12" s="1210">
        <f t="shared" si="1"/>
        <v>100</v>
      </c>
      <c r="O12" s="1210"/>
      <c r="Q12" s="1211"/>
      <c r="R12" s="1210"/>
      <c r="S12" s="1210" t="s">
        <v>729</v>
      </c>
      <c r="T12" s="1210"/>
      <c r="U12" s="1210">
        <f t="shared" si="2"/>
        <v>0</v>
      </c>
      <c r="V12" s="1210"/>
    </row>
    <row r="13" spans="3:22">
      <c r="C13" s="1211"/>
      <c r="D13" s="1210"/>
      <c r="E13" s="1210" t="s">
        <v>729</v>
      </c>
      <c r="F13" s="1210"/>
      <c r="G13" s="1210">
        <f t="shared" si="0"/>
        <v>0</v>
      </c>
      <c r="H13" s="1212"/>
      <c r="J13" s="1211">
        <v>45846</v>
      </c>
      <c r="K13" s="1210"/>
      <c r="L13" s="1210" t="s">
        <v>729</v>
      </c>
      <c r="M13" s="1210">
        <v>1</v>
      </c>
      <c r="N13" s="1210">
        <f t="shared" si="1"/>
        <v>20</v>
      </c>
      <c r="O13" s="1212"/>
      <c r="Q13" s="1211"/>
      <c r="R13" s="1210"/>
      <c r="S13" s="1210" t="s">
        <v>729</v>
      </c>
      <c r="T13" s="1210"/>
      <c r="U13" s="1210">
        <f t="shared" si="2"/>
        <v>0</v>
      </c>
      <c r="V13" s="1212"/>
    </row>
    <row r="14" spans="3:22">
      <c r="C14" s="1211"/>
      <c r="D14" s="1210"/>
      <c r="E14" s="1210" t="s">
        <v>729</v>
      </c>
      <c r="F14" s="1210"/>
      <c r="G14" s="1210">
        <f t="shared" si="0"/>
        <v>0</v>
      </c>
      <c r="H14" s="1212"/>
      <c r="J14" s="1211">
        <v>45847</v>
      </c>
      <c r="K14" s="1210"/>
      <c r="L14" s="1210" t="s">
        <v>729</v>
      </c>
      <c r="M14" s="1210">
        <v>4</v>
      </c>
      <c r="N14" s="1210">
        <f t="shared" si="1"/>
        <v>80</v>
      </c>
      <c r="O14" s="1212"/>
      <c r="Q14" s="1211"/>
      <c r="R14" s="1210"/>
      <c r="S14" s="1210" t="s">
        <v>729</v>
      </c>
      <c r="T14" s="1210"/>
      <c r="U14" s="1210">
        <f t="shared" si="2"/>
        <v>0</v>
      </c>
      <c r="V14" s="1212"/>
    </row>
    <row r="15" spans="3:22">
      <c r="C15" s="1211"/>
      <c r="D15" s="1210"/>
      <c r="E15" s="1210" t="s">
        <v>729</v>
      </c>
      <c r="F15" s="1210"/>
      <c r="G15" s="1210">
        <f t="shared" si="0"/>
        <v>0</v>
      </c>
      <c r="H15" s="1212"/>
      <c r="J15" s="1211"/>
      <c r="K15" s="1210"/>
      <c r="L15" s="1210" t="s">
        <v>729</v>
      </c>
      <c r="M15" s="1210"/>
      <c r="N15" s="1210">
        <f t="shared" si="1"/>
        <v>0</v>
      </c>
      <c r="O15" s="1212"/>
      <c r="Q15" s="1211"/>
      <c r="R15" s="1210"/>
      <c r="S15" s="1210" t="s">
        <v>729</v>
      </c>
      <c r="T15" s="1210"/>
      <c r="U15" s="1210">
        <f t="shared" si="2"/>
        <v>0</v>
      </c>
      <c r="V15" s="1212"/>
    </row>
    <row r="16" spans="3:22">
      <c r="C16" s="1211"/>
      <c r="D16" s="1210"/>
      <c r="E16" s="1210" t="s">
        <v>729</v>
      </c>
      <c r="F16" s="1210"/>
      <c r="G16" s="1210">
        <f t="shared" si="0"/>
        <v>0</v>
      </c>
      <c r="H16" s="1212"/>
      <c r="J16" s="1211"/>
      <c r="K16" s="1210"/>
      <c r="L16" s="1210" t="s">
        <v>729</v>
      </c>
      <c r="M16" s="1210"/>
      <c r="N16" s="1210">
        <f t="shared" si="1"/>
        <v>0</v>
      </c>
      <c r="O16" s="1212"/>
      <c r="Q16" s="1211"/>
      <c r="R16" s="1210"/>
      <c r="S16" s="1210" t="s">
        <v>729</v>
      </c>
      <c r="T16" s="1210"/>
      <c r="U16" s="1210">
        <f t="shared" si="2"/>
        <v>0</v>
      </c>
      <c r="V16" s="1212"/>
    </row>
    <row r="17" spans="3:22">
      <c r="C17" s="1211"/>
      <c r="D17" s="1210"/>
      <c r="E17" s="1210" t="s">
        <v>729</v>
      </c>
      <c r="F17" s="1210"/>
      <c r="G17" s="1210">
        <f t="shared" si="0"/>
        <v>0</v>
      </c>
      <c r="H17" s="1210"/>
      <c r="J17" s="1211"/>
      <c r="K17" s="1210"/>
      <c r="L17" s="1210" t="s">
        <v>729</v>
      </c>
      <c r="M17" s="1210"/>
      <c r="N17" s="1210">
        <f t="shared" si="1"/>
        <v>0</v>
      </c>
      <c r="O17" s="1210"/>
      <c r="Q17" s="1211"/>
      <c r="R17" s="1210"/>
      <c r="S17" s="1210" t="s">
        <v>729</v>
      </c>
      <c r="T17" s="1210"/>
      <c r="U17" s="1210">
        <f t="shared" si="2"/>
        <v>0</v>
      </c>
      <c r="V17" s="1210"/>
    </row>
    <row r="18" spans="3:22">
      <c r="C18" s="1211"/>
      <c r="D18" s="1210"/>
      <c r="E18" s="1210" t="s">
        <v>729</v>
      </c>
      <c r="F18" s="1210"/>
      <c r="G18" s="1210">
        <f t="shared" si="0"/>
        <v>0</v>
      </c>
      <c r="H18" s="1210"/>
      <c r="J18" s="1211"/>
      <c r="K18" s="1210"/>
      <c r="L18" s="1210" t="s">
        <v>729</v>
      </c>
      <c r="M18" s="1210"/>
      <c r="N18" s="1210">
        <f t="shared" si="1"/>
        <v>0</v>
      </c>
      <c r="O18" s="1210"/>
      <c r="Q18" s="1211"/>
      <c r="R18" s="1210"/>
      <c r="S18" s="1210" t="s">
        <v>729</v>
      </c>
      <c r="T18" s="1210"/>
      <c r="U18" s="1210">
        <f t="shared" si="2"/>
        <v>0</v>
      </c>
      <c r="V18" s="1210"/>
    </row>
    <row r="19" spans="3:22">
      <c r="C19" s="1211"/>
      <c r="D19" s="1210"/>
      <c r="E19" s="1210" t="s">
        <v>729</v>
      </c>
      <c r="F19" s="1210"/>
      <c r="G19" s="1210">
        <f t="shared" si="0"/>
        <v>0</v>
      </c>
      <c r="H19" s="1210"/>
      <c r="J19" s="1211"/>
      <c r="K19" s="1210"/>
      <c r="L19" s="1210" t="s">
        <v>729</v>
      </c>
      <c r="M19" s="1210"/>
      <c r="N19" s="1210">
        <f t="shared" si="1"/>
        <v>0</v>
      </c>
      <c r="O19" s="1210"/>
      <c r="Q19" s="1211"/>
      <c r="R19" s="1210"/>
      <c r="S19" s="1210" t="s">
        <v>729</v>
      </c>
      <c r="T19" s="1210"/>
      <c r="U19" s="1210">
        <f t="shared" si="2"/>
        <v>0</v>
      </c>
      <c r="V19" s="1210"/>
    </row>
    <row r="20" spans="3:22">
      <c r="C20" s="1211"/>
      <c r="D20" s="1210"/>
      <c r="E20" s="1210" t="s">
        <v>729</v>
      </c>
      <c r="F20" s="1210"/>
      <c r="G20" s="1210">
        <f t="shared" si="0"/>
        <v>0</v>
      </c>
      <c r="H20" s="1210"/>
      <c r="J20" s="1211"/>
      <c r="K20" s="1210"/>
      <c r="L20" s="1210" t="s">
        <v>729</v>
      </c>
      <c r="M20" s="1210"/>
      <c r="N20" s="1210">
        <f t="shared" si="1"/>
        <v>0</v>
      </c>
      <c r="O20" s="1210"/>
      <c r="Q20" s="1211"/>
      <c r="R20" s="1210"/>
      <c r="S20" s="1210" t="s">
        <v>729</v>
      </c>
      <c r="T20" s="1210"/>
      <c r="U20" s="1210">
        <f t="shared" si="2"/>
        <v>0</v>
      </c>
      <c r="V20" s="1210"/>
    </row>
    <row r="21" spans="3:22">
      <c r="C21" s="1211"/>
      <c r="D21" s="1212"/>
      <c r="E21" s="1210" t="s">
        <v>729</v>
      </c>
      <c r="F21" s="1210"/>
      <c r="G21" s="1210">
        <f t="shared" si="0"/>
        <v>0</v>
      </c>
      <c r="H21" s="1212"/>
      <c r="J21" s="1211"/>
      <c r="K21" s="1212"/>
      <c r="L21" s="1210" t="s">
        <v>729</v>
      </c>
      <c r="M21" s="1210"/>
      <c r="N21" s="1210">
        <f t="shared" si="1"/>
        <v>0</v>
      </c>
      <c r="O21" s="1212"/>
      <c r="Q21" s="1211"/>
      <c r="R21" s="1212"/>
      <c r="S21" s="1210" t="s">
        <v>729</v>
      </c>
      <c r="T21" s="1210"/>
      <c r="U21" s="1210">
        <f t="shared" si="2"/>
        <v>0</v>
      </c>
      <c r="V21" s="1212"/>
    </row>
    <row r="22" spans="3:22">
      <c r="C22" s="1211"/>
      <c r="D22" s="1212"/>
      <c r="E22" s="1210" t="s">
        <v>729</v>
      </c>
      <c r="F22" s="1210"/>
      <c r="G22" s="1210">
        <f t="shared" si="0"/>
        <v>0</v>
      </c>
      <c r="H22" s="1212"/>
      <c r="J22" s="1211"/>
      <c r="K22" s="1212"/>
      <c r="L22" s="1210" t="s">
        <v>729</v>
      </c>
      <c r="M22" s="1210"/>
      <c r="N22" s="1210">
        <f t="shared" si="1"/>
        <v>0</v>
      </c>
      <c r="O22" s="1212"/>
      <c r="Q22" s="1211"/>
      <c r="R22" s="1212"/>
      <c r="S22" s="1210" t="s">
        <v>729</v>
      </c>
      <c r="T22" s="1210"/>
      <c r="U22" s="1210">
        <f t="shared" si="2"/>
        <v>0</v>
      </c>
      <c r="V22" s="1212"/>
    </row>
    <row r="23" spans="3:22">
      <c r="C23" s="1213"/>
      <c r="D23" s="1212"/>
      <c r="E23" s="1210" t="s">
        <v>729</v>
      </c>
      <c r="F23" s="1210"/>
      <c r="G23" s="1210">
        <f t="shared" si="0"/>
        <v>0</v>
      </c>
      <c r="H23" s="1212"/>
      <c r="J23" s="1211"/>
      <c r="K23" s="1212"/>
      <c r="L23" s="1210" t="s">
        <v>729</v>
      </c>
      <c r="M23" s="1210"/>
      <c r="N23" s="1210">
        <f t="shared" si="1"/>
        <v>0</v>
      </c>
      <c r="O23" s="1212"/>
      <c r="Q23" s="1211"/>
      <c r="R23" s="1212"/>
      <c r="S23" s="1210" t="s">
        <v>729</v>
      </c>
      <c r="T23" s="1210"/>
      <c r="U23" s="1210">
        <f t="shared" si="2"/>
        <v>0</v>
      </c>
      <c r="V23" s="1212"/>
    </row>
    <row r="24" spans="3:22">
      <c r="G24" s="1214">
        <f>SUM(G5:G23)</f>
        <v>490</v>
      </c>
      <c r="N24" s="1214">
        <f>SUM(N5:N23)</f>
        <v>920</v>
      </c>
      <c r="U24" s="1214">
        <f>SUM(U5:U23)</f>
        <v>200</v>
      </c>
    </row>
  </sheetData>
  <phoneticPr fontId="111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ADFE-97DC-499E-9EEB-111BB696B272}">
  <dimension ref="B2:K31"/>
  <sheetViews>
    <sheetView zoomScale="85" zoomScaleNormal="85" workbookViewId="0">
      <selection activeCell="G139" sqref="G139"/>
    </sheetView>
  </sheetViews>
  <sheetFormatPr defaultColWidth="9" defaultRowHeight="15.6"/>
  <cols>
    <col min="1" max="1" width="3.69921875" style="5" customWidth="1"/>
    <col min="2" max="2" width="8.09765625" style="388" customWidth="1"/>
    <col min="3" max="3" width="9.296875" style="5" bestFit="1" customWidth="1"/>
    <col min="4" max="5" width="9.296875" style="5" customWidth="1"/>
    <col min="6" max="6" width="18.796875" style="5" bestFit="1" customWidth="1"/>
    <col min="7" max="7" width="19.796875" style="227" bestFit="1" customWidth="1"/>
    <col min="8" max="8" width="46.5" style="5" bestFit="1" customWidth="1"/>
    <col min="9" max="9" width="23.69921875" style="5" bestFit="1" customWidth="1"/>
    <col min="10" max="10" width="86.69921875" style="5" bestFit="1" customWidth="1"/>
    <col min="11" max="11" width="56.796875" style="5" customWidth="1"/>
    <col min="12" max="255" width="9" style="5"/>
    <col min="256" max="256" width="3.69921875" style="5" customWidth="1"/>
    <col min="257" max="511" width="9" style="5"/>
    <col min="512" max="512" width="3.69921875" style="5" customWidth="1"/>
    <col min="513" max="767" width="9" style="5"/>
    <col min="768" max="768" width="3.69921875" style="5" customWidth="1"/>
    <col min="769" max="1023" width="9" style="5"/>
    <col min="1024" max="1024" width="3.69921875" style="5" customWidth="1"/>
    <col min="1025" max="1279" width="9" style="5"/>
    <col min="1280" max="1280" width="3.69921875" style="5" customWidth="1"/>
    <col min="1281" max="1535" width="9" style="5"/>
    <col min="1536" max="1536" width="3.69921875" style="5" customWidth="1"/>
    <col min="1537" max="1791" width="9" style="5"/>
    <col min="1792" max="1792" width="3.69921875" style="5" customWidth="1"/>
    <col min="1793" max="2047" width="9" style="5"/>
    <col min="2048" max="2048" width="3.69921875" style="5" customWidth="1"/>
    <col min="2049" max="2303" width="9" style="5"/>
    <col min="2304" max="2304" width="3.69921875" style="5" customWidth="1"/>
    <col min="2305" max="2559" width="9" style="5"/>
    <col min="2560" max="2560" width="3.69921875" style="5" customWidth="1"/>
    <col min="2561" max="2815" width="9" style="5"/>
    <col min="2816" max="2816" width="3.69921875" style="5" customWidth="1"/>
    <col min="2817" max="3071" width="9" style="5"/>
    <col min="3072" max="3072" width="3.69921875" style="5" customWidth="1"/>
    <col min="3073" max="3327" width="9" style="5"/>
    <col min="3328" max="3328" width="3.69921875" style="5" customWidth="1"/>
    <col min="3329" max="3583" width="9" style="5"/>
    <col min="3584" max="3584" width="3.69921875" style="5" customWidth="1"/>
    <col min="3585" max="3839" width="9" style="5"/>
    <col min="3840" max="3840" width="3.69921875" style="5" customWidth="1"/>
    <col min="3841" max="4095" width="9" style="5"/>
    <col min="4096" max="4096" width="3.69921875" style="5" customWidth="1"/>
    <col min="4097" max="4351" width="9" style="5"/>
    <col min="4352" max="4352" width="3.69921875" style="5" customWidth="1"/>
    <col min="4353" max="4607" width="9" style="5"/>
    <col min="4608" max="4608" width="3.69921875" style="5" customWidth="1"/>
    <col min="4609" max="4863" width="9" style="5"/>
    <col min="4864" max="4864" width="3.69921875" style="5" customWidth="1"/>
    <col min="4865" max="5119" width="9" style="5"/>
    <col min="5120" max="5120" width="3.69921875" style="5" customWidth="1"/>
    <col min="5121" max="5375" width="9" style="5"/>
    <col min="5376" max="5376" width="3.69921875" style="5" customWidth="1"/>
    <col min="5377" max="5631" width="9" style="5"/>
    <col min="5632" max="5632" width="3.69921875" style="5" customWidth="1"/>
    <col min="5633" max="5887" width="9" style="5"/>
    <col min="5888" max="5888" width="3.69921875" style="5" customWidth="1"/>
    <col min="5889" max="6143" width="9" style="5"/>
    <col min="6144" max="6144" width="3.69921875" style="5" customWidth="1"/>
    <col min="6145" max="6399" width="9" style="5"/>
    <col min="6400" max="6400" width="3.69921875" style="5" customWidth="1"/>
    <col min="6401" max="6655" width="9" style="5"/>
    <col min="6656" max="6656" width="3.69921875" style="5" customWidth="1"/>
    <col min="6657" max="6911" width="9" style="5"/>
    <col min="6912" max="6912" width="3.69921875" style="5" customWidth="1"/>
    <col min="6913" max="7167" width="9" style="5"/>
    <col min="7168" max="7168" width="3.69921875" style="5" customWidth="1"/>
    <col min="7169" max="7423" width="9" style="5"/>
    <col min="7424" max="7424" width="3.69921875" style="5" customWidth="1"/>
    <col min="7425" max="7679" width="9" style="5"/>
    <col min="7680" max="7680" width="3.69921875" style="5" customWidth="1"/>
    <col min="7681" max="7935" width="9" style="5"/>
    <col min="7936" max="7936" width="3.69921875" style="5" customWidth="1"/>
    <col min="7937" max="8191" width="9" style="5"/>
    <col min="8192" max="8192" width="3.69921875" style="5" customWidth="1"/>
    <col min="8193" max="8447" width="9" style="5"/>
    <col min="8448" max="8448" width="3.69921875" style="5" customWidth="1"/>
    <col min="8449" max="8703" width="9" style="5"/>
    <col min="8704" max="8704" width="3.69921875" style="5" customWidth="1"/>
    <col min="8705" max="8959" width="9" style="5"/>
    <col min="8960" max="8960" width="3.69921875" style="5" customWidth="1"/>
    <col min="8961" max="9215" width="9" style="5"/>
    <col min="9216" max="9216" width="3.69921875" style="5" customWidth="1"/>
    <col min="9217" max="9471" width="9" style="5"/>
    <col min="9472" max="9472" width="3.69921875" style="5" customWidth="1"/>
    <col min="9473" max="9727" width="9" style="5"/>
    <col min="9728" max="9728" width="3.69921875" style="5" customWidth="1"/>
    <col min="9729" max="9983" width="9" style="5"/>
    <col min="9984" max="9984" width="3.69921875" style="5" customWidth="1"/>
    <col min="9985" max="10239" width="9" style="5"/>
    <col min="10240" max="10240" width="3.69921875" style="5" customWidth="1"/>
    <col min="10241" max="10495" width="9" style="5"/>
    <col min="10496" max="10496" width="3.69921875" style="5" customWidth="1"/>
    <col min="10497" max="10751" width="9" style="5"/>
    <col min="10752" max="10752" width="3.69921875" style="5" customWidth="1"/>
    <col min="10753" max="11007" width="9" style="5"/>
    <col min="11008" max="11008" width="3.69921875" style="5" customWidth="1"/>
    <col min="11009" max="11263" width="9" style="5"/>
    <col min="11264" max="11264" width="3.69921875" style="5" customWidth="1"/>
    <col min="11265" max="11519" width="9" style="5"/>
    <col min="11520" max="11520" width="3.69921875" style="5" customWidth="1"/>
    <col min="11521" max="11775" width="9" style="5"/>
    <col min="11776" max="11776" width="3.69921875" style="5" customWidth="1"/>
    <col min="11777" max="12031" width="9" style="5"/>
    <col min="12032" max="12032" width="3.69921875" style="5" customWidth="1"/>
    <col min="12033" max="12287" width="9" style="5"/>
    <col min="12288" max="12288" width="3.69921875" style="5" customWidth="1"/>
    <col min="12289" max="12543" width="9" style="5"/>
    <col min="12544" max="12544" width="3.69921875" style="5" customWidth="1"/>
    <col min="12545" max="12799" width="9" style="5"/>
    <col min="12800" max="12800" width="3.69921875" style="5" customWidth="1"/>
    <col min="12801" max="13055" width="9" style="5"/>
    <col min="13056" max="13056" width="3.69921875" style="5" customWidth="1"/>
    <col min="13057" max="13311" width="9" style="5"/>
    <col min="13312" max="13312" width="3.69921875" style="5" customWidth="1"/>
    <col min="13313" max="13567" width="9" style="5"/>
    <col min="13568" max="13568" width="3.69921875" style="5" customWidth="1"/>
    <col min="13569" max="13823" width="9" style="5"/>
    <col min="13824" max="13824" width="3.69921875" style="5" customWidth="1"/>
    <col min="13825" max="14079" width="9" style="5"/>
    <col min="14080" max="14080" width="3.69921875" style="5" customWidth="1"/>
    <col min="14081" max="14335" width="9" style="5"/>
    <col min="14336" max="14336" width="3.69921875" style="5" customWidth="1"/>
    <col min="14337" max="14591" width="9" style="5"/>
    <col min="14592" max="14592" width="3.69921875" style="5" customWidth="1"/>
    <col min="14593" max="14847" width="9" style="5"/>
    <col min="14848" max="14848" width="3.69921875" style="5" customWidth="1"/>
    <col min="14849" max="15103" width="9" style="5"/>
    <col min="15104" max="15104" width="3.69921875" style="5" customWidth="1"/>
    <col min="15105" max="15359" width="9" style="5"/>
    <col min="15360" max="15360" width="3.69921875" style="5" customWidth="1"/>
    <col min="15361" max="15615" width="9" style="5"/>
    <col min="15616" max="15616" width="3.69921875" style="5" customWidth="1"/>
    <col min="15617" max="15871" width="9" style="5"/>
    <col min="15872" max="15872" width="3.69921875" style="5" customWidth="1"/>
    <col min="15873" max="16127" width="9" style="5"/>
    <col min="16128" max="16128" width="3.69921875" style="5" customWidth="1"/>
    <col min="16129" max="16384" width="9" style="5"/>
  </cols>
  <sheetData>
    <row r="2" spans="2:11" ht="20.399999999999999">
      <c r="B2" s="387" t="s">
        <v>260</v>
      </c>
      <c r="G2" s="2065"/>
      <c r="H2" s="2065"/>
    </row>
    <row r="4" spans="2:11">
      <c r="B4" s="2110" t="s">
        <v>261</v>
      </c>
      <c r="C4" s="2110" t="s">
        <v>262</v>
      </c>
      <c r="D4" s="2111" t="s">
        <v>263</v>
      </c>
      <c r="E4" s="2111" t="s">
        <v>1172</v>
      </c>
      <c r="F4" s="2111" t="s">
        <v>264</v>
      </c>
      <c r="G4" s="402" t="s">
        <v>265</v>
      </c>
      <c r="H4" s="2110" t="s">
        <v>266</v>
      </c>
      <c r="I4" s="2110" t="s">
        <v>267</v>
      </c>
      <c r="J4" s="2110" t="s">
        <v>1127</v>
      </c>
      <c r="K4" s="2110"/>
    </row>
    <row r="5" spans="2:11">
      <c r="B5" s="2110"/>
      <c r="C5" s="2110"/>
      <c r="D5" s="2112"/>
      <c r="E5" s="2112"/>
      <c r="F5" s="2112"/>
      <c r="G5" s="228" t="s">
        <v>268</v>
      </c>
      <c r="H5" s="2110"/>
      <c r="I5" s="2110"/>
      <c r="J5" s="402" t="s">
        <v>1128</v>
      </c>
      <c r="K5" s="402" t="s">
        <v>1173</v>
      </c>
    </row>
    <row r="6" spans="2:11" ht="20.100000000000001" customHeight="1">
      <c r="B6" s="731">
        <v>1</v>
      </c>
      <c r="C6" s="732" t="s">
        <v>1174</v>
      </c>
      <c r="D6" s="732">
        <v>45343</v>
      </c>
      <c r="E6" s="732" t="s">
        <v>1032</v>
      </c>
      <c r="F6" s="733" t="s">
        <v>1175</v>
      </c>
      <c r="G6" s="735">
        <v>79</v>
      </c>
      <c r="H6" s="734" t="s">
        <v>1176</v>
      </c>
      <c r="I6" s="734" t="str">
        <f t="shared" ref="I6:I15" si="0">LEFT(H6,4)</f>
        <v>CSOT</v>
      </c>
      <c r="J6" s="734" t="s">
        <v>1177</v>
      </c>
      <c r="K6" s="734" t="s">
        <v>1178</v>
      </c>
    </row>
    <row r="7" spans="2:11" ht="20.100000000000001" customHeight="1">
      <c r="B7" s="731">
        <v>2</v>
      </c>
      <c r="C7" s="732" t="s">
        <v>1174</v>
      </c>
      <c r="D7" s="732">
        <v>45343</v>
      </c>
      <c r="E7" s="732" t="s">
        <v>1032</v>
      </c>
      <c r="F7" s="733" t="s">
        <v>1179</v>
      </c>
      <c r="G7" s="735">
        <v>2328</v>
      </c>
      <c r="H7" s="734" t="s">
        <v>1176</v>
      </c>
      <c r="I7" s="734" t="str">
        <f t="shared" si="0"/>
        <v>CSOT</v>
      </c>
      <c r="J7" s="734" t="s">
        <v>1180</v>
      </c>
      <c r="K7" s="734" t="s">
        <v>1181</v>
      </c>
    </row>
    <row r="8" spans="2:11" ht="20.100000000000001" customHeight="1">
      <c r="B8" s="731">
        <v>3</v>
      </c>
      <c r="C8" s="732" t="s">
        <v>1174</v>
      </c>
      <c r="D8" s="732">
        <v>45344</v>
      </c>
      <c r="E8" s="732" t="s">
        <v>1032</v>
      </c>
      <c r="F8" s="733" t="s">
        <v>1182</v>
      </c>
      <c r="G8" s="735">
        <v>135</v>
      </c>
      <c r="H8" s="734" t="s">
        <v>1176</v>
      </c>
      <c r="I8" s="734" t="str">
        <f t="shared" si="0"/>
        <v>CSOT</v>
      </c>
      <c r="J8" s="734" t="s">
        <v>1183</v>
      </c>
      <c r="K8" s="734" t="s">
        <v>1184</v>
      </c>
    </row>
    <row r="9" spans="2:11" ht="20.100000000000001" customHeight="1">
      <c r="B9" s="731">
        <v>4</v>
      </c>
      <c r="C9" s="732" t="s">
        <v>1174</v>
      </c>
      <c r="D9" s="732">
        <v>45344</v>
      </c>
      <c r="E9" s="732" t="s">
        <v>1032</v>
      </c>
      <c r="F9" s="733" t="s">
        <v>1175</v>
      </c>
      <c r="G9" s="735">
        <v>212</v>
      </c>
      <c r="H9" s="734" t="s">
        <v>1176</v>
      </c>
      <c r="I9" s="734" t="str">
        <f t="shared" si="0"/>
        <v>CSOT</v>
      </c>
      <c r="J9" s="734" t="s">
        <v>1185</v>
      </c>
      <c r="K9" s="734" t="s">
        <v>1186</v>
      </c>
    </row>
    <row r="10" spans="2:11" ht="20.100000000000001" customHeight="1">
      <c r="B10" s="731">
        <v>5</v>
      </c>
      <c r="C10" s="732" t="s">
        <v>1174</v>
      </c>
      <c r="D10" s="732">
        <v>45344</v>
      </c>
      <c r="E10" s="732" t="s">
        <v>1032</v>
      </c>
      <c r="F10" s="733" t="s">
        <v>1175</v>
      </c>
      <c r="G10" s="735">
        <v>59</v>
      </c>
      <c r="H10" s="734" t="s">
        <v>1176</v>
      </c>
      <c r="I10" s="734" t="str">
        <f t="shared" si="0"/>
        <v>CSOT</v>
      </c>
      <c r="J10" s="734" t="s">
        <v>1187</v>
      </c>
      <c r="K10" s="734" t="s">
        <v>1188</v>
      </c>
    </row>
    <row r="11" spans="2:11" ht="20.100000000000001" customHeight="1">
      <c r="B11" s="731">
        <v>6</v>
      </c>
      <c r="C11" s="732" t="s">
        <v>1174</v>
      </c>
      <c r="D11" s="732">
        <v>45349</v>
      </c>
      <c r="E11" s="732" t="s">
        <v>1032</v>
      </c>
      <c r="F11" s="733" t="s">
        <v>1179</v>
      </c>
      <c r="G11" s="735">
        <v>278</v>
      </c>
      <c r="H11" s="734" t="s">
        <v>1189</v>
      </c>
      <c r="I11" s="734" t="str">
        <f t="shared" si="0"/>
        <v xml:space="preserve">HKC </v>
      </c>
      <c r="J11" s="734" t="s">
        <v>1190</v>
      </c>
      <c r="K11" s="734" t="s">
        <v>1191</v>
      </c>
    </row>
    <row r="12" spans="2:11" ht="20.100000000000001" customHeight="1">
      <c r="B12" s="731">
        <v>7</v>
      </c>
      <c r="C12" s="732" t="s">
        <v>1174</v>
      </c>
      <c r="D12" s="732">
        <v>45359</v>
      </c>
      <c r="E12" s="732" t="s">
        <v>1032</v>
      </c>
      <c r="F12" s="733" t="s">
        <v>1179</v>
      </c>
      <c r="G12" s="735">
        <v>298</v>
      </c>
      <c r="H12" s="734" t="s">
        <v>1192</v>
      </c>
      <c r="I12" s="734" t="str">
        <f t="shared" si="0"/>
        <v xml:space="preserve">VD  </v>
      </c>
      <c r="J12" s="734" t="s">
        <v>1193</v>
      </c>
      <c r="K12" s="734" t="s">
        <v>1194</v>
      </c>
    </row>
    <row r="13" spans="2:11" ht="20.100000000000001" customHeight="1">
      <c r="B13" s="731">
        <v>8</v>
      </c>
      <c r="C13" s="732" t="s">
        <v>1174</v>
      </c>
      <c r="D13" s="732">
        <v>45363</v>
      </c>
      <c r="E13" s="732" t="s">
        <v>1032</v>
      </c>
      <c r="F13" s="733" t="s">
        <v>1175</v>
      </c>
      <c r="G13" s="735">
        <v>83.2</v>
      </c>
      <c r="H13" s="734" t="s">
        <v>1176</v>
      </c>
      <c r="I13" s="734" t="str">
        <f t="shared" si="0"/>
        <v>CSOT</v>
      </c>
      <c r="J13" s="734" t="s">
        <v>1195</v>
      </c>
      <c r="K13" s="734" t="s">
        <v>1196</v>
      </c>
    </row>
    <row r="14" spans="2:11">
      <c r="B14" s="731">
        <v>9</v>
      </c>
      <c r="C14" s="732" t="s">
        <v>1174</v>
      </c>
      <c r="D14" s="732">
        <v>45363</v>
      </c>
      <c r="E14" s="732" t="s">
        <v>1032</v>
      </c>
      <c r="F14" s="733" t="s">
        <v>1182</v>
      </c>
      <c r="G14" s="735">
        <v>268</v>
      </c>
      <c r="H14" s="734" t="s">
        <v>1176</v>
      </c>
      <c r="I14" s="734" t="str">
        <f t="shared" si="0"/>
        <v>CSOT</v>
      </c>
      <c r="J14" s="734" t="s">
        <v>1187</v>
      </c>
      <c r="K14" s="734" t="s">
        <v>1196</v>
      </c>
    </row>
    <row r="15" spans="2:11">
      <c r="B15" s="731">
        <v>10</v>
      </c>
      <c r="C15" s="732" t="s">
        <v>1174</v>
      </c>
      <c r="D15" s="732">
        <v>45364</v>
      </c>
      <c r="E15" s="732" t="s">
        <v>1032</v>
      </c>
      <c r="F15" s="733" t="s">
        <v>1175</v>
      </c>
      <c r="G15" s="735">
        <v>42</v>
      </c>
      <c r="H15" s="734" t="s">
        <v>1176</v>
      </c>
      <c r="I15" s="734" t="str">
        <f t="shared" si="0"/>
        <v>CSOT</v>
      </c>
      <c r="J15" s="734" t="s">
        <v>1187</v>
      </c>
      <c r="K15" s="734" t="s">
        <v>1197</v>
      </c>
    </row>
    <row r="16" spans="2:11">
      <c r="B16" s="731">
        <v>11</v>
      </c>
      <c r="C16" s="732" t="s">
        <v>1174</v>
      </c>
      <c r="D16" s="732">
        <v>45345</v>
      </c>
      <c r="E16" s="732" t="s">
        <v>859</v>
      </c>
      <c r="F16" s="733" t="s">
        <v>1198</v>
      </c>
      <c r="G16" s="736">
        <v>661</v>
      </c>
      <c r="H16" s="734" t="s">
        <v>1199</v>
      </c>
      <c r="I16" s="734" t="s">
        <v>768</v>
      </c>
      <c r="J16" s="734" t="s">
        <v>1200</v>
      </c>
      <c r="K16" s="734" t="s">
        <v>1201</v>
      </c>
    </row>
    <row r="17" spans="2:11">
      <c r="B17" s="731">
        <v>12</v>
      </c>
      <c r="C17" s="732" t="s">
        <v>1174</v>
      </c>
      <c r="D17" s="732">
        <v>45362</v>
      </c>
      <c r="E17" s="732" t="s">
        <v>859</v>
      </c>
      <c r="F17" s="733" t="s">
        <v>1202</v>
      </c>
      <c r="G17" s="736">
        <v>345</v>
      </c>
      <c r="H17" s="734" t="s">
        <v>1203</v>
      </c>
      <c r="I17" s="734" t="s">
        <v>768</v>
      </c>
      <c r="J17" s="734" t="s">
        <v>1204</v>
      </c>
      <c r="K17" s="734" t="s">
        <v>1205</v>
      </c>
    </row>
    <row r="18" spans="2:11">
      <c r="B18" s="731">
        <v>13</v>
      </c>
      <c r="C18" s="732" t="s">
        <v>1174</v>
      </c>
      <c r="D18" s="732">
        <v>45364</v>
      </c>
      <c r="E18" s="732" t="s">
        <v>859</v>
      </c>
      <c r="F18" s="733" t="s">
        <v>1206</v>
      </c>
      <c r="G18" s="736">
        <v>165</v>
      </c>
      <c r="H18" s="734" t="s">
        <v>1207</v>
      </c>
      <c r="I18" s="734" t="s">
        <v>272</v>
      </c>
      <c r="J18" s="734" t="s">
        <v>1208</v>
      </c>
      <c r="K18" s="734" t="s">
        <v>1205</v>
      </c>
    </row>
    <row r="19" spans="2:11">
      <c r="B19" s="731">
        <v>14</v>
      </c>
      <c r="C19" s="732" t="s">
        <v>1174</v>
      </c>
      <c r="D19" s="732">
        <v>45296</v>
      </c>
      <c r="E19" s="732" t="s">
        <v>859</v>
      </c>
      <c r="F19" s="733" t="s">
        <v>1209</v>
      </c>
      <c r="G19" s="735">
        <v>143</v>
      </c>
      <c r="H19" s="734" t="s">
        <v>1210</v>
      </c>
      <c r="I19" s="734" t="s">
        <v>272</v>
      </c>
      <c r="J19" s="734" t="s">
        <v>1211</v>
      </c>
      <c r="K19" s="734" t="s">
        <v>1201</v>
      </c>
    </row>
    <row r="20" spans="2:11">
      <c r="B20" s="731">
        <v>15</v>
      </c>
      <c r="C20" s="732" t="s">
        <v>1174</v>
      </c>
      <c r="D20" s="732">
        <v>45344</v>
      </c>
      <c r="E20" s="732" t="s">
        <v>1212</v>
      </c>
      <c r="F20" s="733" t="s">
        <v>1179</v>
      </c>
      <c r="G20" s="735">
        <v>267</v>
      </c>
      <c r="H20" s="734" t="s">
        <v>1213</v>
      </c>
      <c r="I20" s="734" t="s">
        <v>1214</v>
      </c>
      <c r="J20" s="734" t="s">
        <v>1215</v>
      </c>
      <c r="K20" s="734" t="s">
        <v>1216</v>
      </c>
    </row>
    <row r="21" spans="2:11">
      <c r="B21" s="731">
        <v>16</v>
      </c>
      <c r="C21" s="732" t="s">
        <v>1174</v>
      </c>
      <c r="D21" s="732">
        <v>45366</v>
      </c>
      <c r="E21" s="732" t="s">
        <v>1217</v>
      </c>
      <c r="F21" s="733" t="s">
        <v>1179</v>
      </c>
      <c r="G21" s="735">
        <v>149</v>
      </c>
      <c r="H21" s="734" t="s">
        <v>1218</v>
      </c>
      <c r="I21" s="734" t="s">
        <v>960</v>
      </c>
      <c r="J21" s="734" t="s">
        <v>1219</v>
      </c>
      <c r="K21" s="734" t="s">
        <v>1217</v>
      </c>
    </row>
    <row r="22" spans="2:11">
      <c r="B22" s="731">
        <v>17</v>
      </c>
      <c r="C22" s="732" t="s">
        <v>1220</v>
      </c>
      <c r="D22" s="732" t="s">
        <v>1221</v>
      </c>
      <c r="E22" s="732" t="s">
        <v>247</v>
      </c>
      <c r="F22" s="733" t="s">
        <v>1179</v>
      </c>
      <c r="G22" s="737">
        <v>290</v>
      </c>
      <c r="H22" s="734" t="s">
        <v>1176</v>
      </c>
      <c r="I22" s="734" t="s">
        <v>272</v>
      </c>
      <c r="J22" s="734" t="s">
        <v>1222</v>
      </c>
      <c r="K22" s="734" t="s">
        <v>1223</v>
      </c>
    </row>
    <row r="23" spans="2:11">
      <c r="B23" s="731">
        <v>18</v>
      </c>
      <c r="C23" s="732" t="s">
        <v>1220</v>
      </c>
      <c r="D23" s="732" t="s">
        <v>1224</v>
      </c>
      <c r="E23" s="732" t="s">
        <v>1225</v>
      </c>
      <c r="F23" s="733" t="s">
        <v>1179</v>
      </c>
      <c r="G23" s="737">
        <v>898</v>
      </c>
      <c r="H23" s="734" t="s">
        <v>1226</v>
      </c>
      <c r="I23" s="734" t="s">
        <v>1227</v>
      </c>
      <c r="J23" s="734" t="s">
        <v>1228</v>
      </c>
      <c r="K23" s="734" t="s">
        <v>247</v>
      </c>
    </row>
    <row r="24" spans="2:11">
      <c r="B24" s="731">
        <v>19</v>
      </c>
      <c r="C24" s="732" t="s">
        <v>1220</v>
      </c>
      <c r="D24" s="732" t="s">
        <v>1229</v>
      </c>
      <c r="E24" s="732" t="s">
        <v>247</v>
      </c>
      <c r="F24" s="733" t="s">
        <v>1179</v>
      </c>
      <c r="G24" s="737">
        <v>549</v>
      </c>
      <c r="H24" s="734" t="s">
        <v>1176</v>
      </c>
      <c r="I24" s="734" t="s">
        <v>272</v>
      </c>
      <c r="J24" s="734" t="s">
        <v>1230</v>
      </c>
      <c r="K24" s="734" t="s">
        <v>1231</v>
      </c>
    </row>
    <row r="25" spans="2:11">
      <c r="B25" s="731">
        <v>20</v>
      </c>
      <c r="C25" s="732" t="s">
        <v>1220</v>
      </c>
      <c r="D25" s="732" t="s">
        <v>1232</v>
      </c>
      <c r="E25" s="732" t="s">
        <v>247</v>
      </c>
      <c r="F25" s="733" t="s">
        <v>833</v>
      </c>
      <c r="G25" s="737">
        <v>47.5</v>
      </c>
      <c r="H25" s="734" t="s">
        <v>1189</v>
      </c>
      <c r="I25" s="734" t="s">
        <v>768</v>
      </c>
      <c r="J25" s="734" t="s">
        <v>1233</v>
      </c>
      <c r="K25" s="734" t="s">
        <v>1234</v>
      </c>
    </row>
    <row r="26" spans="2:11">
      <c r="B26" s="731">
        <v>21</v>
      </c>
      <c r="C26" s="732" t="s">
        <v>1220</v>
      </c>
      <c r="D26" s="732" t="s">
        <v>1232</v>
      </c>
      <c r="E26" s="732" t="s">
        <v>247</v>
      </c>
      <c r="F26" s="733" t="s">
        <v>1235</v>
      </c>
      <c r="G26" s="737">
        <v>3300</v>
      </c>
      <c r="H26" s="734" t="s">
        <v>1176</v>
      </c>
      <c r="I26" s="734" t="s">
        <v>272</v>
      </c>
      <c r="J26" s="734" t="s">
        <v>1236</v>
      </c>
      <c r="K26" s="734" t="s">
        <v>1237</v>
      </c>
    </row>
    <row r="27" spans="2:11">
      <c r="B27" s="731">
        <v>22</v>
      </c>
      <c r="C27" s="732" t="s">
        <v>1220</v>
      </c>
      <c r="D27" s="732" t="s">
        <v>1238</v>
      </c>
      <c r="E27" s="732" t="s">
        <v>247</v>
      </c>
      <c r="F27" s="733" t="s">
        <v>833</v>
      </c>
      <c r="G27" s="737">
        <v>55.5</v>
      </c>
      <c r="H27" s="734" t="s">
        <v>1189</v>
      </c>
      <c r="I27" s="734" t="s">
        <v>768</v>
      </c>
      <c r="J27" s="734" t="s">
        <v>1233</v>
      </c>
      <c r="K27" s="734" t="s">
        <v>1234</v>
      </c>
    </row>
    <row r="28" spans="2:11">
      <c r="B28" s="731">
        <v>23</v>
      </c>
      <c r="C28" s="732" t="s">
        <v>1220</v>
      </c>
      <c r="D28" s="732" t="s">
        <v>1239</v>
      </c>
      <c r="E28" s="732" t="s">
        <v>247</v>
      </c>
      <c r="F28" s="733" t="s">
        <v>1240</v>
      </c>
      <c r="G28" s="737">
        <v>354</v>
      </c>
      <c r="H28" s="734" t="s">
        <v>1176</v>
      </c>
      <c r="I28" s="734" t="s">
        <v>272</v>
      </c>
      <c r="J28" s="734" t="s">
        <v>1241</v>
      </c>
      <c r="K28" s="734" t="s">
        <v>1234</v>
      </c>
    </row>
    <row r="29" spans="2:11">
      <c r="B29" s="731">
        <v>24</v>
      </c>
      <c r="C29" s="732" t="s">
        <v>1220</v>
      </c>
      <c r="D29" s="732" t="s">
        <v>1239</v>
      </c>
      <c r="E29" s="732" t="s">
        <v>247</v>
      </c>
      <c r="F29" s="733" t="s">
        <v>1242</v>
      </c>
      <c r="G29" s="737">
        <v>919</v>
      </c>
      <c r="H29" s="734" t="s">
        <v>1176</v>
      </c>
      <c r="I29" s="734" t="s">
        <v>272</v>
      </c>
      <c r="J29" s="734" t="s">
        <v>1241</v>
      </c>
      <c r="K29" s="734" t="s">
        <v>1234</v>
      </c>
    </row>
    <row r="30" spans="2:11">
      <c r="B30" s="731">
        <v>25</v>
      </c>
      <c r="C30" s="732" t="s">
        <v>1220</v>
      </c>
      <c r="D30" s="732" t="s">
        <v>1239</v>
      </c>
      <c r="E30" s="732" t="s">
        <v>247</v>
      </c>
      <c r="F30" s="733" t="s">
        <v>1242</v>
      </c>
      <c r="G30" s="737">
        <v>180</v>
      </c>
      <c r="H30" s="734" t="s">
        <v>1176</v>
      </c>
      <c r="I30" s="734" t="s">
        <v>272</v>
      </c>
      <c r="J30" s="734" t="s">
        <v>1243</v>
      </c>
      <c r="K30" s="734" t="s">
        <v>1234</v>
      </c>
    </row>
    <row r="31" spans="2:11">
      <c r="G31" s="5">
        <f>SUM(G6:G30)</f>
        <v>12105.2</v>
      </c>
    </row>
  </sheetData>
  <mergeCells count="9">
    <mergeCell ref="I4:I5"/>
    <mergeCell ref="J4:K4"/>
    <mergeCell ref="G2:H2"/>
    <mergeCell ref="B4:B5"/>
    <mergeCell ref="C4:C5"/>
    <mergeCell ref="D4:D5"/>
    <mergeCell ref="E4:E5"/>
    <mergeCell ref="F4:F5"/>
    <mergeCell ref="H4:H5"/>
  </mergeCells>
  <phoneticPr fontId="3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2FBE-7819-4856-A7D2-569EC6342A4B}">
  <sheetPr>
    <tabColor theme="0" tint="-4.9989318521683403E-2"/>
  </sheetPr>
  <dimension ref="B2:J17"/>
  <sheetViews>
    <sheetView zoomScale="85" zoomScaleNormal="85" workbookViewId="0">
      <selection activeCell="G17" sqref="G17"/>
    </sheetView>
  </sheetViews>
  <sheetFormatPr defaultColWidth="9" defaultRowHeight="15.6"/>
  <cols>
    <col min="1" max="1" width="3.69921875" style="318" customWidth="1"/>
    <col min="2" max="2" width="8.09765625" style="326" customWidth="1"/>
    <col min="3" max="3" width="9.296875" style="318" bestFit="1" customWidth="1"/>
    <col min="4" max="4" width="9.296875" style="318" customWidth="1"/>
    <col min="5" max="5" width="7.296875" style="318" bestFit="1" customWidth="1"/>
    <col min="6" max="6" width="19.796875" style="227" bestFit="1" customWidth="1"/>
    <col min="7" max="7" width="12.69921875" style="318" customWidth="1"/>
    <col min="8" max="8" width="46.59765625" style="318" bestFit="1" customWidth="1"/>
    <col min="9" max="9" width="23.69921875" style="318" bestFit="1" customWidth="1"/>
    <col min="10" max="10" width="101.796875" style="318" bestFit="1" customWidth="1"/>
    <col min="11" max="256" width="9" style="318"/>
    <col min="257" max="257" width="3.69921875" style="318" customWidth="1"/>
    <col min="258" max="512" width="9" style="318"/>
    <col min="513" max="513" width="3.69921875" style="318" customWidth="1"/>
    <col min="514" max="768" width="9" style="318"/>
    <col min="769" max="769" width="3.69921875" style="318" customWidth="1"/>
    <col min="770" max="1024" width="9" style="318"/>
    <col min="1025" max="1025" width="3.69921875" style="318" customWidth="1"/>
    <col min="1026" max="1280" width="9" style="318"/>
    <col min="1281" max="1281" width="3.69921875" style="318" customWidth="1"/>
    <col min="1282" max="1536" width="9" style="318"/>
    <col min="1537" max="1537" width="3.69921875" style="318" customWidth="1"/>
    <col min="1538" max="1792" width="9" style="318"/>
    <col min="1793" max="1793" width="3.69921875" style="318" customWidth="1"/>
    <col min="1794" max="2048" width="9" style="318"/>
    <col min="2049" max="2049" width="3.69921875" style="318" customWidth="1"/>
    <col min="2050" max="2304" width="9" style="318"/>
    <col min="2305" max="2305" width="3.69921875" style="318" customWidth="1"/>
    <col min="2306" max="2560" width="9" style="318"/>
    <col min="2561" max="2561" width="3.69921875" style="318" customWidth="1"/>
    <col min="2562" max="2816" width="9" style="318"/>
    <col min="2817" max="2817" width="3.69921875" style="318" customWidth="1"/>
    <col min="2818" max="3072" width="9" style="318"/>
    <col min="3073" max="3073" width="3.69921875" style="318" customWidth="1"/>
    <col min="3074" max="3328" width="9" style="318"/>
    <col min="3329" max="3329" width="3.69921875" style="318" customWidth="1"/>
    <col min="3330" max="3584" width="9" style="318"/>
    <col min="3585" max="3585" width="3.69921875" style="318" customWidth="1"/>
    <col min="3586" max="3840" width="9" style="318"/>
    <col min="3841" max="3841" width="3.69921875" style="318" customWidth="1"/>
    <col min="3842" max="4096" width="9" style="318"/>
    <col min="4097" max="4097" width="3.69921875" style="318" customWidth="1"/>
    <col min="4098" max="4352" width="9" style="318"/>
    <col min="4353" max="4353" width="3.69921875" style="318" customWidth="1"/>
    <col min="4354" max="4608" width="9" style="318"/>
    <col min="4609" max="4609" width="3.69921875" style="318" customWidth="1"/>
    <col min="4610" max="4864" width="9" style="318"/>
    <col min="4865" max="4865" width="3.69921875" style="318" customWidth="1"/>
    <col min="4866" max="5120" width="9" style="318"/>
    <col min="5121" max="5121" width="3.69921875" style="318" customWidth="1"/>
    <col min="5122" max="5376" width="9" style="318"/>
    <col min="5377" max="5377" width="3.69921875" style="318" customWidth="1"/>
    <col min="5378" max="5632" width="9" style="318"/>
    <col min="5633" max="5633" width="3.69921875" style="318" customWidth="1"/>
    <col min="5634" max="5888" width="9" style="318"/>
    <col min="5889" max="5889" width="3.69921875" style="318" customWidth="1"/>
    <col min="5890" max="6144" width="9" style="318"/>
    <col min="6145" max="6145" width="3.69921875" style="318" customWidth="1"/>
    <col min="6146" max="6400" width="9" style="318"/>
    <col min="6401" max="6401" width="3.69921875" style="318" customWidth="1"/>
    <col min="6402" max="6656" width="9" style="318"/>
    <col min="6657" max="6657" width="3.69921875" style="318" customWidth="1"/>
    <col min="6658" max="6912" width="9" style="318"/>
    <col min="6913" max="6913" width="3.69921875" style="318" customWidth="1"/>
    <col min="6914" max="7168" width="9" style="318"/>
    <col min="7169" max="7169" width="3.69921875" style="318" customWidth="1"/>
    <col min="7170" max="7424" width="9" style="318"/>
    <col min="7425" max="7425" width="3.69921875" style="318" customWidth="1"/>
    <col min="7426" max="7680" width="9" style="318"/>
    <col min="7681" max="7681" width="3.69921875" style="318" customWidth="1"/>
    <col min="7682" max="7936" width="9" style="318"/>
    <col min="7937" max="7937" width="3.69921875" style="318" customWidth="1"/>
    <col min="7938" max="8192" width="9" style="318"/>
    <col min="8193" max="8193" width="3.69921875" style="318" customWidth="1"/>
    <col min="8194" max="8448" width="9" style="318"/>
    <col min="8449" max="8449" width="3.69921875" style="318" customWidth="1"/>
    <col min="8450" max="8704" width="9" style="318"/>
    <col min="8705" max="8705" width="3.69921875" style="318" customWidth="1"/>
    <col min="8706" max="8960" width="9" style="318"/>
    <col min="8961" max="8961" width="3.69921875" style="318" customWidth="1"/>
    <col min="8962" max="9216" width="9" style="318"/>
    <col min="9217" max="9217" width="3.69921875" style="318" customWidth="1"/>
    <col min="9218" max="9472" width="9" style="318"/>
    <col min="9473" max="9473" width="3.69921875" style="318" customWidth="1"/>
    <col min="9474" max="9728" width="9" style="318"/>
    <col min="9729" max="9729" width="3.69921875" style="318" customWidth="1"/>
    <col min="9730" max="9984" width="9" style="318"/>
    <col min="9985" max="9985" width="3.69921875" style="318" customWidth="1"/>
    <col min="9986" max="10240" width="9" style="318"/>
    <col min="10241" max="10241" width="3.69921875" style="318" customWidth="1"/>
    <col min="10242" max="10496" width="9" style="318"/>
    <col min="10497" max="10497" width="3.69921875" style="318" customWidth="1"/>
    <col min="10498" max="10752" width="9" style="318"/>
    <col min="10753" max="10753" width="3.69921875" style="318" customWidth="1"/>
    <col min="10754" max="11008" width="9" style="318"/>
    <col min="11009" max="11009" width="3.69921875" style="318" customWidth="1"/>
    <col min="11010" max="11264" width="9" style="318"/>
    <col min="11265" max="11265" width="3.69921875" style="318" customWidth="1"/>
    <col min="11266" max="11520" width="9" style="318"/>
    <col min="11521" max="11521" width="3.69921875" style="318" customWidth="1"/>
    <col min="11522" max="11776" width="9" style="318"/>
    <col min="11777" max="11777" width="3.69921875" style="318" customWidth="1"/>
    <col min="11778" max="12032" width="9" style="318"/>
    <col min="12033" max="12033" width="3.69921875" style="318" customWidth="1"/>
    <col min="12034" max="12288" width="9" style="318"/>
    <col min="12289" max="12289" width="3.69921875" style="318" customWidth="1"/>
    <col min="12290" max="12544" width="9" style="318"/>
    <col min="12545" max="12545" width="3.69921875" style="318" customWidth="1"/>
    <col min="12546" max="12800" width="9" style="318"/>
    <col min="12801" max="12801" width="3.69921875" style="318" customWidth="1"/>
    <col min="12802" max="13056" width="9" style="318"/>
    <col min="13057" max="13057" width="3.69921875" style="318" customWidth="1"/>
    <col min="13058" max="13312" width="9" style="318"/>
    <col min="13313" max="13313" width="3.69921875" style="318" customWidth="1"/>
    <col min="13314" max="13568" width="9" style="318"/>
    <col min="13569" max="13569" width="3.69921875" style="318" customWidth="1"/>
    <col min="13570" max="13824" width="9" style="318"/>
    <col min="13825" max="13825" width="3.69921875" style="318" customWidth="1"/>
    <col min="13826" max="14080" width="9" style="318"/>
    <col min="14081" max="14081" width="3.69921875" style="318" customWidth="1"/>
    <col min="14082" max="14336" width="9" style="318"/>
    <col min="14337" max="14337" width="3.69921875" style="318" customWidth="1"/>
    <col min="14338" max="14592" width="9" style="318"/>
    <col min="14593" max="14593" width="3.69921875" style="318" customWidth="1"/>
    <col min="14594" max="14848" width="9" style="318"/>
    <col min="14849" max="14849" width="3.69921875" style="318" customWidth="1"/>
    <col min="14850" max="15104" width="9" style="318"/>
    <col min="15105" max="15105" width="3.69921875" style="318" customWidth="1"/>
    <col min="15106" max="15360" width="9" style="318"/>
    <col min="15361" max="15361" width="3.69921875" style="318" customWidth="1"/>
    <col min="15362" max="15616" width="9" style="318"/>
    <col min="15617" max="15617" width="3.69921875" style="318" customWidth="1"/>
    <col min="15618" max="15872" width="9" style="318"/>
    <col min="15873" max="15873" width="3.69921875" style="318" customWidth="1"/>
    <col min="15874" max="16128" width="9" style="318"/>
    <col min="16129" max="16129" width="3.69921875" style="318" customWidth="1"/>
    <col min="16130" max="16384" width="9" style="318"/>
  </cols>
  <sheetData>
    <row r="2" spans="2:10" ht="20.399999999999999">
      <c r="B2" s="317" t="s">
        <v>260</v>
      </c>
      <c r="F2" s="2065"/>
      <c r="G2" s="2065"/>
      <c r="H2" s="2065"/>
    </row>
    <row r="4" spans="2:10">
      <c r="B4" s="2064" t="s">
        <v>261</v>
      </c>
      <c r="C4" s="2064" t="s">
        <v>262</v>
      </c>
      <c r="D4" s="2066" t="s">
        <v>263</v>
      </c>
      <c r="E4" s="2066" t="s">
        <v>264</v>
      </c>
      <c r="F4" s="2064" t="s">
        <v>265</v>
      </c>
      <c r="G4" s="2064"/>
      <c r="H4" s="2064" t="s">
        <v>266</v>
      </c>
      <c r="I4" s="2064" t="s">
        <v>267</v>
      </c>
      <c r="J4" s="339"/>
    </row>
    <row r="5" spans="2:10">
      <c r="B5" s="2064"/>
      <c r="C5" s="2064"/>
      <c r="D5" s="2067"/>
      <c r="E5" s="2067"/>
      <c r="F5" s="228" t="s">
        <v>268</v>
      </c>
      <c r="G5" s="339" t="s">
        <v>743</v>
      </c>
      <c r="H5" s="2064"/>
      <c r="I5" s="2064"/>
      <c r="J5" s="339" t="s">
        <v>269</v>
      </c>
    </row>
    <row r="6" spans="2:10" ht="20.100000000000001" customHeight="1">
      <c r="B6" s="319">
        <v>1</v>
      </c>
      <c r="C6" s="320"/>
      <c r="D6" s="320">
        <v>45254</v>
      </c>
      <c r="E6" s="320" t="s">
        <v>1032</v>
      </c>
      <c r="F6" s="321" t="s">
        <v>833</v>
      </c>
      <c r="G6" s="426">
        <v>55</v>
      </c>
      <c r="H6" s="322" t="s">
        <v>908</v>
      </c>
      <c r="I6" s="322" t="s">
        <v>272</v>
      </c>
      <c r="J6" s="323" t="s">
        <v>1034</v>
      </c>
    </row>
    <row r="7" spans="2:10" ht="20.100000000000001" customHeight="1">
      <c r="B7" s="319">
        <v>2</v>
      </c>
      <c r="C7" s="320"/>
      <c r="D7" s="320">
        <v>45257</v>
      </c>
      <c r="E7" s="320" t="s">
        <v>1032</v>
      </c>
      <c r="F7" s="321" t="s">
        <v>833</v>
      </c>
      <c r="G7" s="427">
        <v>92</v>
      </c>
      <c r="H7" s="322" t="s">
        <v>908</v>
      </c>
      <c r="I7" s="322" t="s">
        <v>272</v>
      </c>
      <c r="J7" s="323" t="s">
        <v>1035</v>
      </c>
    </row>
    <row r="8" spans="2:10" ht="20.100000000000001" customHeight="1">
      <c r="B8" s="319">
        <v>3</v>
      </c>
      <c r="C8" s="320"/>
      <c r="D8" s="320">
        <v>45257</v>
      </c>
      <c r="E8" s="320" t="s">
        <v>1032</v>
      </c>
      <c r="F8" s="321" t="s">
        <v>271</v>
      </c>
      <c r="G8" s="427">
        <v>680.4</v>
      </c>
      <c r="H8" s="322" t="s">
        <v>908</v>
      </c>
      <c r="I8" s="322" t="s">
        <v>272</v>
      </c>
      <c r="J8" s="323" t="s">
        <v>1036</v>
      </c>
    </row>
    <row r="9" spans="2:10" ht="20.100000000000001" customHeight="1">
      <c r="B9" s="319">
        <v>4</v>
      </c>
      <c r="C9" s="320"/>
      <c r="D9" s="320">
        <v>45264</v>
      </c>
      <c r="E9" s="320" t="s">
        <v>1032</v>
      </c>
      <c r="F9" s="321" t="s">
        <v>1037</v>
      </c>
      <c r="G9" s="426">
        <v>243</v>
      </c>
      <c r="H9" s="322" t="s">
        <v>908</v>
      </c>
      <c r="I9" s="322" t="s">
        <v>960</v>
      </c>
      <c r="J9" s="323" t="s">
        <v>1038</v>
      </c>
    </row>
    <row r="10" spans="2:10" ht="20.100000000000001" customHeight="1">
      <c r="B10" s="319">
        <v>5</v>
      </c>
      <c r="C10" s="320"/>
      <c r="D10" s="324">
        <v>45261</v>
      </c>
      <c r="E10" s="324" t="s">
        <v>859</v>
      </c>
      <c r="F10" s="321" t="s">
        <v>1033</v>
      </c>
      <c r="G10" s="427">
        <v>81</v>
      </c>
      <c r="H10" s="322" t="s">
        <v>908</v>
      </c>
      <c r="I10" s="322" t="s">
        <v>272</v>
      </c>
      <c r="J10" s="323" t="s">
        <v>1039</v>
      </c>
    </row>
    <row r="11" spans="2:10" ht="20.100000000000001" customHeight="1">
      <c r="B11" s="319">
        <v>6</v>
      </c>
      <c r="C11" s="320"/>
      <c r="D11" s="325">
        <v>45263</v>
      </c>
      <c r="E11" s="324" t="s">
        <v>859</v>
      </c>
      <c r="F11" s="321" t="s">
        <v>1037</v>
      </c>
      <c r="G11" s="427">
        <v>899</v>
      </c>
      <c r="H11" s="322" t="s">
        <v>908</v>
      </c>
      <c r="I11" s="322" t="s">
        <v>960</v>
      </c>
      <c r="J11" s="323" t="s">
        <v>1040</v>
      </c>
    </row>
    <row r="12" spans="2:10" ht="20.100000000000001" customHeight="1">
      <c r="B12" s="319">
        <v>7</v>
      </c>
      <c r="C12" s="320"/>
      <c r="D12" s="325">
        <v>45264</v>
      </c>
      <c r="E12" s="324" t="s">
        <v>859</v>
      </c>
      <c r="F12" s="321" t="s">
        <v>1037</v>
      </c>
      <c r="G12" s="427">
        <v>762</v>
      </c>
      <c r="H12" s="322" t="s">
        <v>908</v>
      </c>
      <c r="I12" s="322" t="s">
        <v>960</v>
      </c>
      <c r="J12" s="323" t="s">
        <v>1040</v>
      </c>
    </row>
    <row r="13" spans="2:10" ht="20.100000000000001" customHeight="1">
      <c r="B13" s="319">
        <v>8</v>
      </c>
      <c r="C13" s="320"/>
      <c r="D13" s="325">
        <v>45269</v>
      </c>
      <c r="E13" s="325" t="s">
        <v>247</v>
      </c>
      <c r="F13" s="321" t="s">
        <v>1041</v>
      </c>
      <c r="G13" s="427">
        <v>784</v>
      </c>
      <c r="H13" s="322" t="s">
        <v>908</v>
      </c>
      <c r="I13" s="322" t="s">
        <v>272</v>
      </c>
      <c r="J13" s="323" t="s">
        <v>1042</v>
      </c>
    </row>
    <row r="14" spans="2:10">
      <c r="B14" s="319">
        <v>9</v>
      </c>
      <c r="C14" s="320"/>
      <c r="D14" s="325">
        <v>45269</v>
      </c>
      <c r="E14" s="325" t="s">
        <v>247</v>
      </c>
      <c r="F14" s="321" t="s">
        <v>1041</v>
      </c>
      <c r="G14" s="427">
        <v>683</v>
      </c>
      <c r="H14" s="322" t="s">
        <v>908</v>
      </c>
      <c r="I14" s="322" t="s">
        <v>272</v>
      </c>
      <c r="J14" s="323" t="s">
        <v>1043</v>
      </c>
    </row>
    <row r="15" spans="2:10">
      <c r="B15" s="319">
        <v>10</v>
      </c>
      <c r="C15" s="320"/>
      <c r="D15" s="325">
        <v>45259</v>
      </c>
      <c r="E15" s="325" t="s">
        <v>247</v>
      </c>
      <c r="F15" s="321" t="s">
        <v>271</v>
      </c>
      <c r="G15" s="427">
        <v>738</v>
      </c>
      <c r="H15" s="322" t="s">
        <v>908</v>
      </c>
      <c r="I15" s="322" t="s">
        <v>272</v>
      </c>
      <c r="J15" s="323" t="s">
        <v>1044</v>
      </c>
    </row>
    <row r="16" spans="2:10">
      <c r="B16" s="319">
        <v>11</v>
      </c>
      <c r="C16" s="320"/>
      <c r="D16" s="325">
        <v>45280</v>
      </c>
      <c r="E16" s="325" t="s">
        <v>247</v>
      </c>
      <c r="F16" s="321" t="s">
        <v>833</v>
      </c>
      <c r="G16" s="427">
        <v>285</v>
      </c>
      <c r="H16" s="322" t="s">
        <v>908</v>
      </c>
      <c r="I16" s="322" t="s">
        <v>272</v>
      </c>
      <c r="J16" s="323" t="s">
        <v>1045</v>
      </c>
    </row>
    <row r="17" spans="6:7">
      <c r="F17" s="318"/>
      <c r="G17" s="227">
        <f>SUM(G6:G16)</f>
        <v>5302.4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3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F03E-8F94-4214-8D71-01AF7F7F73B2}">
  <sheetPr>
    <tabColor theme="0" tint="-4.9989318521683403E-2"/>
  </sheetPr>
  <dimension ref="C3:O22"/>
  <sheetViews>
    <sheetView showGridLines="0" zoomScale="85" zoomScaleNormal="85" workbookViewId="0">
      <selection activeCell="E33" sqref="E33"/>
    </sheetView>
  </sheetViews>
  <sheetFormatPr defaultColWidth="9" defaultRowHeight="17.399999999999999"/>
  <cols>
    <col min="1" max="2" width="2.09765625" style="316" customWidth="1"/>
    <col min="3" max="3" width="9.59765625" style="316" bestFit="1" customWidth="1"/>
    <col min="4" max="4" width="26.19921875" style="316" customWidth="1"/>
    <col min="5" max="5" width="31.796875" style="316" bestFit="1" customWidth="1"/>
    <col min="6" max="6" width="10.796875" style="316" bestFit="1" customWidth="1"/>
    <col min="7" max="16384" width="9" style="316"/>
  </cols>
  <sheetData>
    <row r="3" spans="3:15">
      <c r="C3" s="316" t="s">
        <v>1030</v>
      </c>
      <c r="J3" s="316" t="s">
        <v>1031</v>
      </c>
    </row>
    <row r="4" spans="3:15">
      <c r="C4" s="327" t="s">
        <v>723</v>
      </c>
      <c r="D4" s="327" t="s">
        <v>724</v>
      </c>
      <c r="E4" s="327" t="s">
        <v>725</v>
      </c>
      <c r="F4" s="327" t="s">
        <v>726</v>
      </c>
      <c r="G4" s="327" t="s">
        <v>727</v>
      </c>
      <c r="H4" s="327" t="s">
        <v>728</v>
      </c>
      <c r="J4" s="327" t="s">
        <v>723</v>
      </c>
      <c r="K4" s="327" t="s">
        <v>724</v>
      </c>
      <c r="L4" s="327" t="s">
        <v>725</v>
      </c>
      <c r="M4" s="327" t="s">
        <v>726</v>
      </c>
      <c r="N4" s="327" t="s">
        <v>727</v>
      </c>
      <c r="O4" s="327" t="s">
        <v>728</v>
      </c>
    </row>
    <row r="5" spans="3:15">
      <c r="C5" s="328">
        <v>45252</v>
      </c>
      <c r="D5" s="327"/>
      <c r="E5" s="327" t="s">
        <v>729</v>
      </c>
      <c r="F5" s="327">
        <v>5</v>
      </c>
      <c r="G5" s="327">
        <f>F5*20</f>
        <v>100</v>
      </c>
      <c r="H5" s="327"/>
      <c r="J5" s="328">
        <v>45253</v>
      </c>
      <c r="K5" s="327"/>
      <c r="L5" s="327" t="s">
        <v>729</v>
      </c>
      <c r="M5" s="327">
        <v>4</v>
      </c>
      <c r="N5" s="327">
        <f>M5*20</f>
        <v>80</v>
      </c>
      <c r="O5" s="327"/>
    </row>
    <row r="6" spans="3:15">
      <c r="C6" s="328">
        <v>45253</v>
      </c>
      <c r="D6" s="327"/>
      <c r="E6" s="327" t="s">
        <v>729</v>
      </c>
      <c r="F6" s="327">
        <v>6.5</v>
      </c>
      <c r="G6" s="327">
        <f t="shared" ref="G6:G21" si="0">F6*20</f>
        <v>130</v>
      </c>
      <c r="H6" s="327"/>
      <c r="J6" s="328">
        <v>45254</v>
      </c>
      <c r="K6" s="327"/>
      <c r="L6" s="327" t="s">
        <v>729</v>
      </c>
      <c r="M6" s="327">
        <v>3</v>
      </c>
      <c r="N6" s="327">
        <f t="shared" ref="N6:N20" si="1">M6*20</f>
        <v>60</v>
      </c>
      <c r="O6" s="327"/>
    </row>
    <row r="7" spans="3:15">
      <c r="C7" s="328">
        <v>45254</v>
      </c>
      <c r="D7" s="327"/>
      <c r="E7" s="327" t="s">
        <v>729</v>
      </c>
      <c r="F7" s="327">
        <v>3.5</v>
      </c>
      <c r="G7" s="327">
        <f t="shared" si="0"/>
        <v>70</v>
      </c>
      <c r="H7" s="327"/>
      <c r="J7" s="328">
        <v>45257</v>
      </c>
      <c r="K7" s="327"/>
      <c r="L7" s="327" t="s">
        <v>729</v>
      </c>
      <c r="M7" s="327">
        <v>3</v>
      </c>
      <c r="N7" s="327">
        <f t="shared" si="1"/>
        <v>60</v>
      </c>
      <c r="O7" s="327"/>
    </row>
    <row r="8" spans="3:15">
      <c r="C8" s="328">
        <v>45257</v>
      </c>
      <c r="D8" s="327"/>
      <c r="E8" s="327" t="s">
        <v>729</v>
      </c>
      <c r="F8" s="327">
        <v>3.5</v>
      </c>
      <c r="G8" s="327">
        <f t="shared" si="0"/>
        <v>70</v>
      </c>
      <c r="H8" s="329"/>
      <c r="J8" s="328">
        <v>45258</v>
      </c>
      <c r="K8" s="327"/>
      <c r="L8" s="327" t="s">
        <v>729</v>
      </c>
      <c r="M8" s="327">
        <v>3</v>
      </c>
      <c r="N8" s="327">
        <f t="shared" si="1"/>
        <v>60</v>
      </c>
      <c r="O8" s="329"/>
    </row>
    <row r="9" spans="3:15">
      <c r="C9" s="328">
        <v>45259</v>
      </c>
      <c r="D9" s="327"/>
      <c r="E9" s="327" t="s">
        <v>729</v>
      </c>
      <c r="F9" s="327">
        <v>1.5</v>
      </c>
      <c r="G9" s="327">
        <f t="shared" si="0"/>
        <v>30</v>
      </c>
      <c r="H9" s="327"/>
      <c r="J9" s="328">
        <v>45259</v>
      </c>
      <c r="K9" s="327"/>
      <c r="L9" s="327" t="s">
        <v>729</v>
      </c>
      <c r="M9" s="327">
        <v>6</v>
      </c>
      <c r="N9" s="327">
        <f t="shared" si="1"/>
        <v>120</v>
      </c>
      <c r="O9" s="327"/>
    </row>
    <row r="10" spans="3:15">
      <c r="C10" s="328">
        <v>45265</v>
      </c>
      <c r="D10" s="327"/>
      <c r="E10" s="327" t="s">
        <v>729</v>
      </c>
      <c r="F10" s="327">
        <v>3.5</v>
      </c>
      <c r="G10" s="327">
        <f t="shared" si="0"/>
        <v>70</v>
      </c>
      <c r="H10" s="327"/>
      <c r="J10" s="328">
        <v>45261</v>
      </c>
      <c r="K10" s="327"/>
      <c r="L10" s="327" t="s">
        <v>729</v>
      </c>
      <c r="M10" s="327">
        <v>5</v>
      </c>
      <c r="N10" s="327">
        <f t="shared" si="1"/>
        <v>100</v>
      </c>
      <c r="O10" s="327"/>
    </row>
    <row r="11" spans="3:15">
      <c r="C11" s="328">
        <v>45267</v>
      </c>
      <c r="D11" s="327"/>
      <c r="E11" s="327" t="s">
        <v>729</v>
      </c>
      <c r="F11" s="327">
        <v>2.5</v>
      </c>
      <c r="G11" s="327">
        <f t="shared" si="0"/>
        <v>50</v>
      </c>
      <c r="H11" s="327"/>
      <c r="J11" s="328">
        <v>45266</v>
      </c>
      <c r="K11" s="327"/>
      <c r="L11" s="327" t="s">
        <v>729</v>
      </c>
      <c r="M11" s="327">
        <v>8</v>
      </c>
      <c r="N11" s="327">
        <f t="shared" si="1"/>
        <v>160</v>
      </c>
      <c r="O11" s="327"/>
    </row>
    <row r="12" spans="3:15">
      <c r="C12" s="328">
        <v>45268</v>
      </c>
      <c r="D12" s="327"/>
      <c r="E12" s="327" t="s">
        <v>729</v>
      </c>
      <c r="F12" s="327">
        <v>4.5</v>
      </c>
      <c r="G12" s="327">
        <f t="shared" si="0"/>
        <v>90</v>
      </c>
      <c r="H12" s="329"/>
      <c r="J12" s="328">
        <v>45267</v>
      </c>
      <c r="K12" s="327"/>
      <c r="L12" s="327" t="s">
        <v>729</v>
      </c>
      <c r="M12" s="327">
        <v>3</v>
      </c>
      <c r="N12" s="327">
        <f t="shared" si="1"/>
        <v>60</v>
      </c>
      <c r="O12" s="329"/>
    </row>
    <row r="13" spans="3:15">
      <c r="C13" s="328">
        <v>45269</v>
      </c>
      <c r="D13" s="327"/>
      <c r="E13" s="327" t="s">
        <v>729</v>
      </c>
      <c r="F13" s="327">
        <v>2</v>
      </c>
      <c r="G13" s="327">
        <f t="shared" si="0"/>
        <v>40</v>
      </c>
      <c r="H13" s="329"/>
      <c r="J13" s="328">
        <v>45269</v>
      </c>
      <c r="K13" s="327"/>
      <c r="L13" s="327" t="s">
        <v>729</v>
      </c>
      <c r="M13" s="327">
        <v>1</v>
      </c>
      <c r="N13" s="327">
        <f t="shared" si="1"/>
        <v>20</v>
      </c>
      <c r="O13" s="329"/>
    </row>
    <row r="14" spans="3:15">
      <c r="C14" s="328">
        <v>45271</v>
      </c>
      <c r="D14" s="327"/>
      <c r="E14" s="327" t="s">
        <v>729</v>
      </c>
      <c r="F14" s="327">
        <v>2.5</v>
      </c>
      <c r="G14" s="327">
        <f t="shared" si="0"/>
        <v>50</v>
      </c>
      <c r="H14" s="329"/>
      <c r="J14" s="328">
        <v>45272</v>
      </c>
      <c r="K14" s="327"/>
      <c r="L14" s="327" t="s">
        <v>729</v>
      </c>
      <c r="M14" s="327">
        <v>7</v>
      </c>
      <c r="N14" s="327">
        <f t="shared" si="1"/>
        <v>140</v>
      </c>
      <c r="O14" s="329"/>
    </row>
    <row r="15" spans="3:15">
      <c r="C15" s="328">
        <v>45272</v>
      </c>
      <c r="D15" s="327"/>
      <c r="E15" s="327" t="s">
        <v>729</v>
      </c>
      <c r="F15" s="327">
        <v>4.5</v>
      </c>
      <c r="G15" s="327">
        <f t="shared" si="0"/>
        <v>90</v>
      </c>
      <c r="H15" s="329"/>
      <c r="J15" s="328">
        <v>45273</v>
      </c>
      <c r="K15" s="327"/>
      <c r="L15" s="327" t="s">
        <v>729</v>
      </c>
      <c r="M15" s="327">
        <v>3</v>
      </c>
      <c r="N15" s="327">
        <f t="shared" si="1"/>
        <v>60</v>
      </c>
      <c r="O15" s="329"/>
    </row>
    <row r="16" spans="3:15">
      <c r="C16" s="328">
        <v>45273</v>
      </c>
      <c r="D16" s="327"/>
      <c r="E16" s="327" t="s">
        <v>729</v>
      </c>
      <c r="F16" s="327">
        <v>1.5</v>
      </c>
      <c r="G16" s="327">
        <f t="shared" si="0"/>
        <v>30</v>
      </c>
      <c r="H16" s="327"/>
      <c r="J16" s="328">
        <v>45274</v>
      </c>
      <c r="K16" s="327"/>
      <c r="L16" s="327" t="s">
        <v>729</v>
      </c>
      <c r="M16" s="327">
        <v>3</v>
      </c>
      <c r="N16" s="327">
        <f t="shared" si="1"/>
        <v>60</v>
      </c>
      <c r="O16" s="327"/>
    </row>
    <row r="17" spans="3:15">
      <c r="C17" s="328">
        <v>45275</v>
      </c>
      <c r="D17" s="327"/>
      <c r="E17" s="327" t="s">
        <v>729</v>
      </c>
      <c r="F17" s="327">
        <v>2</v>
      </c>
      <c r="G17" s="327">
        <f t="shared" si="0"/>
        <v>40</v>
      </c>
      <c r="H17" s="327"/>
      <c r="J17" s="328">
        <v>45279</v>
      </c>
      <c r="K17" s="327"/>
      <c r="L17" s="327" t="s">
        <v>729</v>
      </c>
      <c r="M17" s="327">
        <v>2</v>
      </c>
      <c r="N17" s="327">
        <f t="shared" si="1"/>
        <v>40</v>
      </c>
      <c r="O17" s="327"/>
    </row>
    <row r="18" spans="3:15">
      <c r="C18" s="328">
        <v>45276</v>
      </c>
      <c r="D18" s="327"/>
      <c r="E18" s="327" t="s">
        <v>729</v>
      </c>
      <c r="F18" s="327">
        <v>2</v>
      </c>
      <c r="G18" s="327">
        <f t="shared" si="0"/>
        <v>40</v>
      </c>
      <c r="H18" s="327"/>
      <c r="J18" s="328">
        <v>45281</v>
      </c>
      <c r="K18" s="327"/>
      <c r="L18" s="327" t="s">
        <v>729</v>
      </c>
      <c r="M18" s="327">
        <v>1</v>
      </c>
      <c r="N18" s="327">
        <f t="shared" si="1"/>
        <v>20</v>
      </c>
      <c r="O18" s="327"/>
    </row>
    <row r="19" spans="3:15">
      <c r="C19" s="328">
        <v>45277</v>
      </c>
      <c r="D19" s="327"/>
      <c r="E19" s="327" t="s">
        <v>729</v>
      </c>
      <c r="F19" s="327">
        <v>3</v>
      </c>
      <c r="G19" s="327">
        <f t="shared" si="0"/>
        <v>60</v>
      </c>
      <c r="H19" s="327"/>
      <c r="J19" s="328"/>
      <c r="K19" s="327"/>
      <c r="L19" s="327"/>
      <c r="M19" s="327"/>
      <c r="N19" s="327">
        <f t="shared" si="1"/>
        <v>0</v>
      </c>
      <c r="O19" s="327"/>
    </row>
    <row r="20" spans="3:15">
      <c r="C20" s="328">
        <v>45279</v>
      </c>
      <c r="D20" s="329"/>
      <c r="E20" s="327" t="s">
        <v>729</v>
      </c>
      <c r="F20" s="327">
        <v>3.5</v>
      </c>
      <c r="G20" s="327">
        <f t="shared" si="0"/>
        <v>70</v>
      </c>
      <c r="H20" s="329"/>
      <c r="J20" s="328"/>
      <c r="K20" s="329"/>
      <c r="L20" s="327"/>
      <c r="M20" s="327"/>
      <c r="N20" s="327">
        <f t="shared" si="1"/>
        <v>0</v>
      </c>
      <c r="O20" s="329"/>
    </row>
    <row r="21" spans="3:15">
      <c r="C21" s="447">
        <v>45280</v>
      </c>
      <c r="D21" s="329"/>
      <c r="E21" s="327" t="s">
        <v>729</v>
      </c>
      <c r="F21" s="327">
        <v>2</v>
      </c>
      <c r="G21" s="327">
        <f t="shared" si="0"/>
        <v>40</v>
      </c>
      <c r="H21" s="329"/>
      <c r="N21" s="316">
        <f>SUM(N5:N20)</f>
        <v>1040</v>
      </c>
    </row>
    <row r="22" spans="3:15">
      <c r="G22" s="448">
        <f>SUM(G5:G21)</f>
        <v>1070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DCDB-3E3F-4361-BACC-569D8D4128B0}">
  <sheetPr>
    <tabColor rgb="FF92D050"/>
  </sheetPr>
  <dimension ref="C4:H21"/>
  <sheetViews>
    <sheetView showGridLines="0" zoomScale="85" zoomScaleNormal="85" workbookViewId="0">
      <selection activeCell="J26" sqref="J26"/>
    </sheetView>
  </sheetViews>
  <sheetFormatPr defaultColWidth="9" defaultRowHeight="17.399999999999999"/>
  <cols>
    <col min="1" max="2" width="2.09765625" style="316" customWidth="1"/>
    <col min="3" max="3" width="9" style="316"/>
    <col min="4" max="4" width="26.19921875" style="316" customWidth="1"/>
    <col min="5" max="5" width="31.796875" style="316" bestFit="1" customWidth="1"/>
    <col min="6" max="6" width="10.796875" style="316" bestFit="1" customWidth="1"/>
    <col min="7" max="16384" width="9" style="316"/>
  </cols>
  <sheetData>
    <row r="4" spans="3:8">
      <c r="C4" s="327" t="s">
        <v>723</v>
      </c>
      <c r="D4" s="327" t="s">
        <v>724</v>
      </c>
      <c r="E4" s="327" t="s">
        <v>725</v>
      </c>
      <c r="F4" s="327" t="s">
        <v>726</v>
      </c>
      <c r="G4" s="327" t="s">
        <v>727</v>
      </c>
      <c r="H4" s="327" t="s">
        <v>728</v>
      </c>
    </row>
    <row r="5" spans="3:8">
      <c r="C5" s="328">
        <v>45189</v>
      </c>
      <c r="D5" s="327"/>
      <c r="E5" s="327" t="s">
        <v>729</v>
      </c>
      <c r="F5" s="327">
        <v>1.5</v>
      </c>
      <c r="G5" s="327">
        <f>F5*20</f>
        <v>30</v>
      </c>
      <c r="H5" s="327"/>
    </row>
    <row r="6" spans="3:8">
      <c r="C6" s="328">
        <v>45190</v>
      </c>
      <c r="D6" s="327"/>
      <c r="E6" s="327" t="s">
        <v>729</v>
      </c>
      <c r="F6" s="327">
        <v>1.5</v>
      </c>
      <c r="G6" s="327">
        <f t="shared" ref="G6:G20" si="0">F6*20</f>
        <v>30</v>
      </c>
      <c r="H6" s="327"/>
    </row>
    <row r="7" spans="3:8">
      <c r="C7" s="328">
        <v>45192</v>
      </c>
      <c r="D7" s="327"/>
      <c r="E7" s="327" t="s">
        <v>729</v>
      </c>
      <c r="F7" s="327">
        <v>2</v>
      </c>
      <c r="G7" s="327">
        <f t="shared" si="0"/>
        <v>40</v>
      </c>
      <c r="H7" s="327"/>
    </row>
    <row r="8" spans="3:8">
      <c r="C8" s="328">
        <v>45193</v>
      </c>
      <c r="D8" s="327"/>
      <c r="E8" s="327" t="s">
        <v>729</v>
      </c>
      <c r="F8" s="327">
        <v>3</v>
      </c>
      <c r="G8" s="327">
        <f t="shared" si="0"/>
        <v>60</v>
      </c>
      <c r="H8" s="329"/>
    </row>
    <row r="9" spans="3:8">
      <c r="C9" s="328">
        <v>45194</v>
      </c>
      <c r="D9" s="327"/>
      <c r="E9" s="327" t="s">
        <v>729</v>
      </c>
      <c r="F9" s="327">
        <v>2</v>
      </c>
      <c r="G9" s="327">
        <f t="shared" si="0"/>
        <v>40</v>
      </c>
      <c r="H9" s="327"/>
    </row>
    <row r="10" spans="3:8">
      <c r="C10" s="328">
        <v>45197</v>
      </c>
      <c r="D10" s="327"/>
      <c r="E10" s="327" t="s">
        <v>729</v>
      </c>
      <c r="F10" s="327">
        <v>1.5</v>
      </c>
      <c r="G10" s="327">
        <f t="shared" si="0"/>
        <v>30</v>
      </c>
      <c r="H10" s="327"/>
    </row>
    <row r="11" spans="3:8">
      <c r="C11" s="328">
        <v>45208</v>
      </c>
      <c r="D11" s="327"/>
      <c r="E11" s="327" t="s">
        <v>729</v>
      </c>
      <c r="F11" s="327">
        <v>1.5</v>
      </c>
      <c r="G11" s="327">
        <f t="shared" si="0"/>
        <v>30</v>
      </c>
      <c r="H11" s="327"/>
    </row>
    <row r="12" spans="3:8">
      <c r="C12" s="328">
        <v>45209</v>
      </c>
      <c r="D12" s="327"/>
      <c r="E12" s="327" t="s">
        <v>729</v>
      </c>
      <c r="F12" s="327">
        <v>1.5</v>
      </c>
      <c r="G12" s="327">
        <f t="shared" si="0"/>
        <v>30</v>
      </c>
      <c r="H12" s="329"/>
    </row>
    <row r="13" spans="3:8">
      <c r="C13" s="328">
        <v>45210</v>
      </c>
      <c r="D13" s="327"/>
      <c r="E13" s="327" t="s">
        <v>729</v>
      </c>
      <c r="F13" s="327">
        <v>1.5</v>
      </c>
      <c r="G13" s="327">
        <f t="shared" si="0"/>
        <v>30</v>
      </c>
      <c r="H13" s="329"/>
    </row>
    <row r="14" spans="3:8">
      <c r="C14" s="328">
        <v>45211</v>
      </c>
      <c r="D14" s="327"/>
      <c r="E14" s="327" t="s">
        <v>729</v>
      </c>
      <c r="F14" s="327">
        <v>3</v>
      </c>
      <c r="G14" s="327">
        <f t="shared" si="0"/>
        <v>60</v>
      </c>
      <c r="H14" s="329"/>
    </row>
    <row r="15" spans="3:8">
      <c r="C15" s="328">
        <v>45214</v>
      </c>
      <c r="D15" s="327"/>
      <c r="E15" s="327" t="s">
        <v>729</v>
      </c>
      <c r="F15" s="327">
        <v>3.5</v>
      </c>
      <c r="G15" s="327">
        <f t="shared" si="0"/>
        <v>70</v>
      </c>
      <c r="H15" s="329"/>
    </row>
    <row r="16" spans="3:8">
      <c r="C16" s="328">
        <v>45215</v>
      </c>
      <c r="D16" s="327"/>
      <c r="E16" s="327" t="s">
        <v>729</v>
      </c>
      <c r="F16" s="327">
        <v>4</v>
      </c>
      <c r="G16" s="327">
        <f t="shared" si="0"/>
        <v>80</v>
      </c>
      <c r="H16" s="327"/>
    </row>
    <row r="17" spans="3:8">
      <c r="C17" s="328">
        <v>45216</v>
      </c>
      <c r="D17" s="327"/>
      <c r="E17" s="327" t="s">
        <v>729</v>
      </c>
      <c r="F17" s="327">
        <v>3</v>
      </c>
      <c r="G17" s="327">
        <f t="shared" si="0"/>
        <v>60</v>
      </c>
      <c r="H17" s="327"/>
    </row>
    <row r="18" spans="3:8">
      <c r="C18" s="328">
        <v>45217</v>
      </c>
      <c r="D18" s="327"/>
      <c r="E18" s="327" t="s">
        <v>729</v>
      </c>
      <c r="F18" s="327">
        <v>3</v>
      </c>
      <c r="G18" s="327">
        <f t="shared" si="0"/>
        <v>60</v>
      </c>
      <c r="H18" s="327"/>
    </row>
    <row r="19" spans="3:8">
      <c r="C19" s="328"/>
      <c r="D19" s="327"/>
      <c r="E19" s="327" t="s">
        <v>729</v>
      </c>
      <c r="F19" s="327"/>
      <c r="G19" s="327">
        <f t="shared" si="0"/>
        <v>0</v>
      </c>
      <c r="H19" s="327"/>
    </row>
    <row r="20" spans="3:8">
      <c r="C20" s="328"/>
      <c r="D20" s="329"/>
      <c r="E20" s="327" t="s">
        <v>729</v>
      </c>
      <c r="F20" s="327"/>
      <c r="G20" s="327">
        <f t="shared" si="0"/>
        <v>0</v>
      </c>
      <c r="H20" s="329"/>
    </row>
    <row r="21" spans="3:8">
      <c r="G21" s="316">
        <f>SUM(G5:G20)</f>
        <v>650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01D7-B548-4404-BC7C-7E6D790FB3C7}">
  <dimension ref="B2:J19"/>
  <sheetViews>
    <sheetView zoomScale="85" zoomScaleNormal="85" workbookViewId="0">
      <selection activeCell="J26" sqref="J26"/>
    </sheetView>
  </sheetViews>
  <sheetFormatPr defaultColWidth="9" defaultRowHeight="15.6"/>
  <cols>
    <col min="1" max="1" width="3.69921875" style="318" customWidth="1"/>
    <col min="2" max="2" width="5.69921875" style="326" customWidth="1"/>
    <col min="3" max="3" width="9" style="318"/>
    <col min="4" max="4" width="9.296875" style="318" customWidth="1"/>
    <col min="5" max="5" width="23.09765625" style="318" customWidth="1"/>
    <col min="6" max="6" width="10.296875" style="227" bestFit="1" customWidth="1"/>
    <col min="7" max="7" width="12.69921875" style="318" customWidth="1"/>
    <col min="8" max="8" width="46.59765625" style="318" bestFit="1" customWidth="1"/>
    <col min="9" max="9" width="19.09765625" style="318" customWidth="1"/>
    <col min="10" max="10" width="101.796875" style="318" bestFit="1" customWidth="1"/>
    <col min="11" max="256" width="9" style="318"/>
    <col min="257" max="257" width="3.69921875" style="318" customWidth="1"/>
    <col min="258" max="512" width="9" style="318"/>
    <col min="513" max="513" width="3.69921875" style="318" customWidth="1"/>
    <col min="514" max="768" width="9" style="318"/>
    <col min="769" max="769" width="3.69921875" style="318" customWidth="1"/>
    <col min="770" max="1024" width="9" style="318"/>
    <col min="1025" max="1025" width="3.69921875" style="318" customWidth="1"/>
    <col min="1026" max="1280" width="9" style="318"/>
    <col min="1281" max="1281" width="3.69921875" style="318" customWidth="1"/>
    <col min="1282" max="1536" width="9" style="318"/>
    <col min="1537" max="1537" width="3.69921875" style="318" customWidth="1"/>
    <col min="1538" max="1792" width="9" style="318"/>
    <col min="1793" max="1793" width="3.69921875" style="318" customWidth="1"/>
    <col min="1794" max="2048" width="9" style="318"/>
    <col min="2049" max="2049" width="3.69921875" style="318" customWidth="1"/>
    <col min="2050" max="2304" width="9" style="318"/>
    <col min="2305" max="2305" width="3.69921875" style="318" customWidth="1"/>
    <col min="2306" max="2560" width="9" style="318"/>
    <col min="2561" max="2561" width="3.69921875" style="318" customWidth="1"/>
    <col min="2562" max="2816" width="9" style="318"/>
    <col min="2817" max="2817" width="3.69921875" style="318" customWidth="1"/>
    <col min="2818" max="3072" width="9" style="318"/>
    <col min="3073" max="3073" width="3.69921875" style="318" customWidth="1"/>
    <col min="3074" max="3328" width="9" style="318"/>
    <col min="3329" max="3329" width="3.69921875" style="318" customWidth="1"/>
    <col min="3330" max="3584" width="9" style="318"/>
    <col min="3585" max="3585" width="3.69921875" style="318" customWidth="1"/>
    <col min="3586" max="3840" width="9" style="318"/>
    <col min="3841" max="3841" width="3.69921875" style="318" customWidth="1"/>
    <col min="3842" max="4096" width="9" style="318"/>
    <col min="4097" max="4097" width="3.69921875" style="318" customWidth="1"/>
    <col min="4098" max="4352" width="9" style="318"/>
    <col min="4353" max="4353" width="3.69921875" style="318" customWidth="1"/>
    <col min="4354" max="4608" width="9" style="318"/>
    <col min="4609" max="4609" width="3.69921875" style="318" customWidth="1"/>
    <col min="4610" max="4864" width="9" style="318"/>
    <col min="4865" max="4865" width="3.69921875" style="318" customWidth="1"/>
    <col min="4866" max="5120" width="9" style="318"/>
    <col min="5121" max="5121" width="3.69921875" style="318" customWidth="1"/>
    <col min="5122" max="5376" width="9" style="318"/>
    <col min="5377" max="5377" width="3.69921875" style="318" customWidth="1"/>
    <col min="5378" max="5632" width="9" style="318"/>
    <col min="5633" max="5633" width="3.69921875" style="318" customWidth="1"/>
    <col min="5634" max="5888" width="9" style="318"/>
    <col min="5889" max="5889" width="3.69921875" style="318" customWidth="1"/>
    <col min="5890" max="6144" width="9" style="318"/>
    <col min="6145" max="6145" width="3.69921875" style="318" customWidth="1"/>
    <col min="6146" max="6400" width="9" style="318"/>
    <col min="6401" max="6401" width="3.69921875" style="318" customWidth="1"/>
    <col min="6402" max="6656" width="9" style="318"/>
    <col min="6657" max="6657" width="3.69921875" style="318" customWidth="1"/>
    <col min="6658" max="6912" width="9" style="318"/>
    <col min="6913" max="6913" width="3.69921875" style="318" customWidth="1"/>
    <col min="6914" max="7168" width="9" style="318"/>
    <col min="7169" max="7169" width="3.69921875" style="318" customWidth="1"/>
    <col min="7170" max="7424" width="9" style="318"/>
    <col min="7425" max="7425" width="3.69921875" style="318" customWidth="1"/>
    <col min="7426" max="7680" width="9" style="318"/>
    <col min="7681" max="7681" width="3.69921875" style="318" customWidth="1"/>
    <col min="7682" max="7936" width="9" style="318"/>
    <col min="7937" max="7937" width="3.69921875" style="318" customWidth="1"/>
    <col min="7938" max="8192" width="9" style="318"/>
    <col min="8193" max="8193" width="3.69921875" style="318" customWidth="1"/>
    <col min="8194" max="8448" width="9" style="318"/>
    <col min="8449" max="8449" width="3.69921875" style="318" customWidth="1"/>
    <col min="8450" max="8704" width="9" style="318"/>
    <col min="8705" max="8705" width="3.69921875" style="318" customWidth="1"/>
    <col min="8706" max="8960" width="9" style="318"/>
    <col min="8961" max="8961" width="3.69921875" style="318" customWidth="1"/>
    <col min="8962" max="9216" width="9" style="318"/>
    <col min="9217" max="9217" width="3.69921875" style="318" customWidth="1"/>
    <col min="9218" max="9472" width="9" style="318"/>
    <col min="9473" max="9473" width="3.69921875" style="318" customWidth="1"/>
    <col min="9474" max="9728" width="9" style="318"/>
    <col min="9729" max="9729" width="3.69921875" style="318" customWidth="1"/>
    <col min="9730" max="9984" width="9" style="318"/>
    <col min="9985" max="9985" width="3.69921875" style="318" customWidth="1"/>
    <col min="9986" max="10240" width="9" style="318"/>
    <col min="10241" max="10241" width="3.69921875" style="318" customWidth="1"/>
    <col min="10242" max="10496" width="9" style="318"/>
    <col min="10497" max="10497" width="3.69921875" style="318" customWidth="1"/>
    <col min="10498" max="10752" width="9" style="318"/>
    <col min="10753" max="10753" width="3.69921875" style="318" customWidth="1"/>
    <col min="10754" max="11008" width="9" style="318"/>
    <col min="11009" max="11009" width="3.69921875" style="318" customWidth="1"/>
    <col min="11010" max="11264" width="9" style="318"/>
    <col min="11265" max="11265" width="3.69921875" style="318" customWidth="1"/>
    <col min="11266" max="11520" width="9" style="318"/>
    <col min="11521" max="11521" width="3.69921875" style="318" customWidth="1"/>
    <col min="11522" max="11776" width="9" style="318"/>
    <col min="11777" max="11777" width="3.69921875" style="318" customWidth="1"/>
    <col min="11778" max="12032" width="9" style="318"/>
    <col min="12033" max="12033" width="3.69921875" style="318" customWidth="1"/>
    <col min="12034" max="12288" width="9" style="318"/>
    <col min="12289" max="12289" width="3.69921875" style="318" customWidth="1"/>
    <col min="12290" max="12544" width="9" style="318"/>
    <col min="12545" max="12545" width="3.69921875" style="318" customWidth="1"/>
    <col min="12546" max="12800" width="9" style="318"/>
    <col min="12801" max="12801" width="3.69921875" style="318" customWidth="1"/>
    <col min="12802" max="13056" width="9" style="318"/>
    <col min="13057" max="13057" width="3.69921875" style="318" customWidth="1"/>
    <col min="13058" max="13312" width="9" style="318"/>
    <col min="13313" max="13313" width="3.69921875" style="318" customWidth="1"/>
    <col min="13314" max="13568" width="9" style="318"/>
    <col min="13569" max="13569" width="3.69921875" style="318" customWidth="1"/>
    <col min="13570" max="13824" width="9" style="318"/>
    <col min="13825" max="13825" width="3.69921875" style="318" customWidth="1"/>
    <col min="13826" max="14080" width="9" style="318"/>
    <col min="14081" max="14081" width="3.69921875" style="318" customWidth="1"/>
    <col min="14082" max="14336" width="9" style="318"/>
    <col min="14337" max="14337" width="3.69921875" style="318" customWidth="1"/>
    <col min="14338" max="14592" width="9" style="318"/>
    <col min="14593" max="14593" width="3.69921875" style="318" customWidth="1"/>
    <col min="14594" max="14848" width="9" style="318"/>
    <col min="14849" max="14849" width="3.69921875" style="318" customWidth="1"/>
    <col min="14850" max="15104" width="9" style="318"/>
    <col min="15105" max="15105" width="3.69921875" style="318" customWidth="1"/>
    <col min="15106" max="15360" width="9" style="318"/>
    <col min="15361" max="15361" width="3.69921875" style="318" customWidth="1"/>
    <col min="15362" max="15616" width="9" style="318"/>
    <col min="15617" max="15617" width="3.69921875" style="318" customWidth="1"/>
    <col min="15618" max="15872" width="9" style="318"/>
    <col min="15873" max="15873" width="3.69921875" style="318" customWidth="1"/>
    <col min="15874" max="16128" width="9" style="318"/>
    <col min="16129" max="16129" width="3.69921875" style="318" customWidth="1"/>
    <col min="16130" max="16384" width="9" style="318"/>
  </cols>
  <sheetData>
    <row r="2" spans="2:10" ht="20.399999999999999">
      <c r="B2" s="317" t="s">
        <v>260</v>
      </c>
      <c r="F2" s="2065"/>
      <c r="G2" s="2065"/>
      <c r="H2" s="2065"/>
    </row>
    <row r="4" spans="2:10">
      <c r="B4" s="2064" t="s">
        <v>261</v>
      </c>
      <c r="C4" s="2064" t="s">
        <v>262</v>
      </c>
      <c r="D4" s="2066" t="s">
        <v>263</v>
      </c>
      <c r="E4" s="2066" t="s">
        <v>264</v>
      </c>
      <c r="F4" s="2064" t="s">
        <v>265</v>
      </c>
      <c r="G4" s="2064"/>
      <c r="H4" s="2064" t="s">
        <v>266</v>
      </c>
      <c r="I4" s="2064" t="s">
        <v>267</v>
      </c>
      <c r="J4" s="339"/>
    </row>
    <row r="5" spans="2:10">
      <c r="B5" s="2064"/>
      <c r="C5" s="2064"/>
      <c r="D5" s="2067"/>
      <c r="E5" s="2067"/>
      <c r="F5" s="228" t="s">
        <v>268</v>
      </c>
      <c r="G5" s="339" t="s">
        <v>743</v>
      </c>
      <c r="H5" s="2064"/>
      <c r="I5" s="2064"/>
      <c r="J5" s="339" t="s">
        <v>269</v>
      </c>
    </row>
    <row r="6" spans="2:10" ht="20.100000000000001" customHeight="1">
      <c r="B6" s="319">
        <v>1</v>
      </c>
      <c r="C6" s="320">
        <v>45220</v>
      </c>
      <c r="D6" s="320">
        <v>45212</v>
      </c>
      <c r="E6" s="321" t="s">
        <v>271</v>
      </c>
      <c r="F6" s="426">
        <v>140</v>
      </c>
      <c r="G6" s="342"/>
      <c r="H6" s="322" t="s">
        <v>955</v>
      </c>
      <c r="I6" s="322" t="s">
        <v>272</v>
      </c>
      <c r="J6" s="323" t="s">
        <v>956</v>
      </c>
    </row>
    <row r="7" spans="2:10" ht="20.100000000000001" customHeight="1">
      <c r="B7" s="319">
        <v>2</v>
      </c>
      <c r="C7" s="320">
        <v>45220</v>
      </c>
      <c r="D7" s="320">
        <v>45216</v>
      </c>
      <c r="E7" s="321" t="s">
        <v>957</v>
      </c>
      <c r="F7" s="427">
        <v>653</v>
      </c>
      <c r="G7" s="342"/>
      <c r="H7" s="322" t="s">
        <v>955</v>
      </c>
      <c r="I7" s="322" t="s">
        <v>272</v>
      </c>
      <c r="J7" s="323" t="s">
        <v>958</v>
      </c>
    </row>
    <row r="8" spans="2:10" ht="20.100000000000001" customHeight="1">
      <c r="B8" s="319">
        <v>3</v>
      </c>
      <c r="C8" s="320">
        <v>45220</v>
      </c>
      <c r="D8" s="320">
        <v>45217</v>
      </c>
      <c r="E8" s="321" t="s">
        <v>959</v>
      </c>
      <c r="F8" s="427">
        <v>584</v>
      </c>
      <c r="G8" s="342"/>
      <c r="H8" s="322" t="s">
        <v>908</v>
      </c>
      <c r="I8" s="322" t="s">
        <v>960</v>
      </c>
      <c r="J8" s="323" t="s">
        <v>961</v>
      </c>
    </row>
    <row r="9" spans="2:10" ht="20.100000000000001" customHeight="1">
      <c r="B9" s="319">
        <v>4</v>
      </c>
      <c r="C9" s="320">
        <v>45220</v>
      </c>
      <c r="D9" s="320">
        <v>45215</v>
      </c>
      <c r="E9" s="321" t="s">
        <v>962</v>
      </c>
      <c r="F9" s="426">
        <v>422</v>
      </c>
      <c r="G9" s="342"/>
      <c r="H9" s="322" t="s">
        <v>908</v>
      </c>
      <c r="I9" s="322" t="s">
        <v>768</v>
      </c>
      <c r="J9" s="323" t="s">
        <v>963</v>
      </c>
    </row>
    <row r="10" spans="2:10" ht="20.100000000000001" customHeight="1">
      <c r="B10" s="319">
        <v>5</v>
      </c>
      <c r="C10" s="320">
        <v>45220</v>
      </c>
      <c r="D10" s="324">
        <v>45216</v>
      </c>
      <c r="E10" s="321" t="s">
        <v>964</v>
      </c>
      <c r="F10" s="427">
        <v>108</v>
      </c>
      <c r="G10" s="342"/>
      <c r="H10" s="322" t="s">
        <v>908</v>
      </c>
      <c r="I10" s="322" t="s">
        <v>272</v>
      </c>
      <c r="J10" s="323" t="s">
        <v>965</v>
      </c>
    </row>
    <row r="11" spans="2:10" ht="20.100000000000001" customHeight="1">
      <c r="B11" s="319">
        <v>6</v>
      </c>
      <c r="C11" s="320">
        <v>45220</v>
      </c>
      <c r="D11" s="325">
        <v>45217</v>
      </c>
      <c r="E11" s="321" t="s">
        <v>966</v>
      </c>
      <c r="F11" s="427">
        <v>811</v>
      </c>
      <c r="G11" s="342"/>
      <c r="H11" s="322" t="s">
        <v>908</v>
      </c>
      <c r="I11" s="322" t="s">
        <v>272</v>
      </c>
      <c r="J11" s="323" t="s">
        <v>961</v>
      </c>
    </row>
    <row r="12" spans="2:10" ht="20.100000000000001" customHeight="1">
      <c r="B12" s="319">
        <v>7</v>
      </c>
      <c r="C12" s="320">
        <v>45220</v>
      </c>
      <c r="D12" s="325">
        <v>45195</v>
      </c>
      <c r="E12" s="321" t="s">
        <v>270</v>
      </c>
      <c r="F12" s="427">
        <v>1068</v>
      </c>
      <c r="G12" s="342"/>
      <c r="H12" s="322" t="s">
        <v>967</v>
      </c>
      <c r="I12" s="322" t="s">
        <v>729</v>
      </c>
      <c r="J12" s="323" t="s">
        <v>729</v>
      </c>
    </row>
    <row r="13" spans="2:10" ht="20.100000000000001" customHeight="1">
      <c r="B13" s="319">
        <v>8</v>
      </c>
      <c r="C13" s="320">
        <v>45220</v>
      </c>
      <c r="D13" s="325">
        <v>45216</v>
      </c>
      <c r="E13" s="321" t="s">
        <v>271</v>
      </c>
      <c r="F13" s="427">
        <v>446</v>
      </c>
      <c r="G13" s="342"/>
      <c r="H13" s="322" t="s">
        <v>909</v>
      </c>
      <c r="I13" s="322" t="s">
        <v>272</v>
      </c>
      <c r="J13" s="323" t="s">
        <v>968</v>
      </c>
    </row>
    <row r="14" spans="2:10">
      <c r="B14" s="319">
        <v>9</v>
      </c>
      <c r="C14" s="320">
        <v>45220</v>
      </c>
      <c r="D14" s="325">
        <v>45206</v>
      </c>
      <c r="E14" s="321" t="s">
        <v>271</v>
      </c>
      <c r="F14" s="427">
        <v>767</v>
      </c>
      <c r="G14" s="342"/>
      <c r="H14" s="322" t="s">
        <v>909</v>
      </c>
      <c r="I14" s="322" t="s">
        <v>272</v>
      </c>
      <c r="J14" s="323" t="s">
        <v>969</v>
      </c>
    </row>
    <row r="15" spans="2:10">
      <c r="B15" s="319">
        <v>10</v>
      </c>
      <c r="C15" s="320">
        <v>45220</v>
      </c>
      <c r="D15" s="325">
        <v>45215</v>
      </c>
      <c r="E15" s="321" t="s">
        <v>271</v>
      </c>
      <c r="F15" s="427">
        <v>512</v>
      </c>
      <c r="G15" s="342"/>
      <c r="H15" s="322" t="s">
        <v>909</v>
      </c>
      <c r="I15" s="322" t="s">
        <v>272</v>
      </c>
      <c r="J15" s="323" t="s">
        <v>970</v>
      </c>
    </row>
    <row r="16" spans="2:10">
      <c r="B16" s="319">
        <v>11</v>
      </c>
      <c r="C16" s="320">
        <v>45220</v>
      </c>
      <c r="D16" s="325">
        <v>45216</v>
      </c>
      <c r="E16" s="321" t="s">
        <v>271</v>
      </c>
      <c r="F16" s="427">
        <v>585.63</v>
      </c>
      <c r="G16" s="342"/>
      <c r="H16" s="322" t="s">
        <v>909</v>
      </c>
      <c r="I16" s="322" t="s">
        <v>272</v>
      </c>
      <c r="J16" s="323" t="s">
        <v>971</v>
      </c>
    </row>
    <row r="17" spans="2:10">
      <c r="B17" s="319">
        <v>12</v>
      </c>
      <c r="C17" s="320">
        <v>45220</v>
      </c>
      <c r="D17" s="325">
        <v>45217</v>
      </c>
      <c r="E17" s="321" t="s">
        <v>271</v>
      </c>
      <c r="F17" s="427">
        <v>178.1</v>
      </c>
      <c r="G17" s="342"/>
      <c r="H17" s="322" t="s">
        <v>909</v>
      </c>
      <c r="I17" s="322" t="s">
        <v>272</v>
      </c>
      <c r="J17" s="323" t="s">
        <v>972</v>
      </c>
    </row>
    <row r="18" spans="2:10">
      <c r="B18" s="319">
        <v>13</v>
      </c>
      <c r="C18" s="320">
        <v>45220</v>
      </c>
      <c r="D18" s="325">
        <v>45217</v>
      </c>
      <c r="E18" s="321" t="s">
        <v>271</v>
      </c>
      <c r="F18" s="427">
        <v>416</v>
      </c>
      <c r="G18" s="342"/>
      <c r="H18" s="322" t="s">
        <v>909</v>
      </c>
      <c r="I18" s="322" t="s">
        <v>272</v>
      </c>
      <c r="J18" s="323" t="s">
        <v>973</v>
      </c>
    </row>
    <row r="19" spans="2:10">
      <c r="F19" s="227">
        <f>SUM(F6:F18)</f>
        <v>6690.7300000000005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3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A17CC-E89B-43AE-9649-391EAB7925F4}">
  <dimension ref="B2:J19"/>
  <sheetViews>
    <sheetView workbookViewId="0">
      <selection activeCell="F32" sqref="F32"/>
    </sheetView>
  </sheetViews>
  <sheetFormatPr defaultColWidth="9" defaultRowHeight="15.6"/>
  <cols>
    <col min="1" max="1" width="3.69921875" style="5" customWidth="1"/>
    <col min="2" max="2" width="5.69921875" style="388" customWidth="1"/>
    <col min="3" max="3" width="9" style="5"/>
    <col min="4" max="4" width="9.296875" style="5" customWidth="1"/>
    <col min="5" max="5" width="23.09765625" style="5" customWidth="1"/>
    <col min="6" max="6" width="10.296875" style="227" bestFit="1" customWidth="1"/>
    <col min="7" max="7" width="12.69921875" style="5" customWidth="1"/>
    <col min="8" max="8" width="46.796875" style="5" bestFit="1" customWidth="1"/>
    <col min="9" max="9" width="19.09765625" style="5" customWidth="1"/>
    <col min="10" max="10" width="101.796875" style="5" bestFit="1" customWidth="1"/>
    <col min="11" max="256" width="9" style="5"/>
    <col min="257" max="257" width="3.69921875" style="5" customWidth="1"/>
    <col min="258" max="512" width="9" style="5"/>
    <col min="513" max="513" width="3.69921875" style="5" customWidth="1"/>
    <col min="514" max="768" width="9" style="5"/>
    <col min="769" max="769" width="3.69921875" style="5" customWidth="1"/>
    <col min="770" max="1024" width="9" style="5"/>
    <col min="1025" max="1025" width="3.69921875" style="5" customWidth="1"/>
    <col min="1026" max="1280" width="9" style="5"/>
    <col min="1281" max="1281" width="3.69921875" style="5" customWidth="1"/>
    <col min="1282" max="1536" width="9" style="5"/>
    <col min="1537" max="1537" width="3.69921875" style="5" customWidth="1"/>
    <col min="1538" max="1792" width="9" style="5"/>
    <col min="1793" max="1793" width="3.69921875" style="5" customWidth="1"/>
    <col min="1794" max="2048" width="9" style="5"/>
    <col min="2049" max="2049" width="3.69921875" style="5" customWidth="1"/>
    <col min="2050" max="2304" width="9" style="5"/>
    <col min="2305" max="2305" width="3.69921875" style="5" customWidth="1"/>
    <col min="2306" max="2560" width="9" style="5"/>
    <col min="2561" max="2561" width="3.69921875" style="5" customWidth="1"/>
    <col min="2562" max="2816" width="9" style="5"/>
    <col min="2817" max="2817" width="3.69921875" style="5" customWidth="1"/>
    <col min="2818" max="3072" width="9" style="5"/>
    <col min="3073" max="3073" width="3.69921875" style="5" customWidth="1"/>
    <col min="3074" max="3328" width="9" style="5"/>
    <col min="3329" max="3329" width="3.69921875" style="5" customWidth="1"/>
    <col min="3330" max="3584" width="9" style="5"/>
    <col min="3585" max="3585" width="3.69921875" style="5" customWidth="1"/>
    <col min="3586" max="3840" width="9" style="5"/>
    <col min="3841" max="3841" width="3.69921875" style="5" customWidth="1"/>
    <col min="3842" max="4096" width="9" style="5"/>
    <col min="4097" max="4097" width="3.69921875" style="5" customWidth="1"/>
    <col min="4098" max="4352" width="9" style="5"/>
    <col min="4353" max="4353" width="3.69921875" style="5" customWidth="1"/>
    <col min="4354" max="4608" width="9" style="5"/>
    <col min="4609" max="4609" width="3.69921875" style="5" customWidth="1"/>
    <col min="4610" max="4864" width="9" style="5"/>
    <col min="4865" max="4865" width="3.69921875" style="5" customWidth="1"/>
    <col min="4866" max="5120" width="9" style="5"/>
    <col min="5121" max="5121" width="3.69921875" style="5" customWidth="1"/>
    <col min="5122" max="5376" width="9" style="5"/>
    <col min="5377" max="5377" width="3.69921875" style="5" customWidth="1"/>
    <col min="5378" max="5632" width="9" style="5"/>
    <col min="5633" max="5633" width="3.69921875" style="5" customWidth="1"/>
    <col min="5634" max="5888" width="9" style="5"/>
    <col min="5889" max="5889" width="3.69921875" style="5" customWidth="1"/>
    <col min="5890" max="6144" width="9" style="5"/>
    <col min="6145" max="6145" width="3.69921875" style="5" customWidth="1"/>
    <col min="6146" max="6400" width="9" style="5"/>
    <col min="6401" max="6401" width="3.69921875" style="5" customWidth="1"/>
    <col min="6402" max="6656" width="9" style="5"/>
    <col min="6657" max="6657" width="3.69921875" style="5" customWidth="1"/>
    <col min="6658" max="6912" width="9" style="5"/>
    <col min="6913" max="6913" width="3.69921875" style="5" customWidth="1"/>
    <col min="6914" max="7168" width="9" style="5"/>
    <col min="7169" max="7169" width="3.69921875" style="5" customWidth="1"/>
    <col min="7170" max="7424" width="9" style="5"/>
    <col min="7425" max="7425" width="3.69921875" style="5" customWidth="1"/>
    <col min="7426" max="7680" width="9" style="5"/>
    <col min="7681" max="7681" width="3.69921875" style="5" customWidth="1"/>
    <col min="7682" max="7936" width="9" style="5"/>
    <col min="7937" max="7937" width="3.69921875" style="5" customWidth="1"/>
    <col min="7938" max="8192" width="9" style="5"/>
    <col min="8193" max="8193" width="3.69921875" style="5" customWidth="1"/>
    <col min="8194" max="8448" width="9" style="5"/>
    <col min="8449" max="8449" width="3.69921875" style="5" customWidth="1"/>
    <col min="8450" max="8704" width="9" style="5"/>
    <col min="8705" max="8705" width="3.69921875" style="5" customWidth="1"/>
    <col min="8706" max="8960" width="9" style="5"/>
    <col min="8961" max="8961" width="3.69921875" style="5" customWidth="1"/>
    <col min="8962" max="9216" width="9" style="5"/>
    <col min="9217" max="9217" width="3.69921875" style="5" customWidth="1"/>
    <col min="9218" max="9472" width="9" style="5"/>
    <col min="9473" max="9473" width="3.69921875" style="5" customWidth="1"/>
    <col min="9474" max="9728" width="9" style="5"/>
    <col min="9729" max="9729" width="3.69921875" style="5" customWidth="1"/>
    <col min="9730" max="9984" width="9" style="5"/>
    <col min="9985" max="9985" width="3.69921875" style="5" customWidth="1"/>
    <col min="9986" max="10240" width="9" style="5"/>
    <col min="10241" max="10241" width="3.69921875" style="5" customWidth="1"/>
    <col min="10242" max="10496" width="9" style="5"/>
    <col min="10497" max="10497" width="3.69921875" style="5" customWidth="1"/>
    <col min="10498" max="10752" width="9" style="5"/>
    <col min="10753" max="10753" width="3.69921875" style="5" customWidth="1"/>
    <col min="10754" max="11008" width="9" style="5"/>
    <col min="11009" max="11009" width="3.69921875" style="5" customWidth="1"/>
    <col min="11010" max="11264" width="9" style="5"/>
    <col min="11265" max="11265" width="3.69921875" style="5" customWidth="1"/>
    <col min="11266" max="11520" width="9" style="5"/>
    <col min="11521" max="11521" width="3.69921875" style="5" customWidth="1"/>
    <col min="11522" max="11776" width="9" style="5"/>
    <col min="11777" max="11777" width="3.69921875" style="5" customWidth="1"/>
    <col min="11778" max="12032" width="9" style="5"/>
    <col min="12033" max="12033" width="3.69921875" style="5" customWidth="1"/>
    <col min="12034" max="12288" width="9" style="5"/>
    <col min="12289" max="12289" width="3.69921875" style="5" customWidth="1"/>
    <col min="12290" max="12544" width="9" style="5"/>
    <col min="12545" max="12545" width="3.69921875" style="5" customWidth="1"/>
    <col min="12546" max="12800" width="9" style="5"/>
    <col min="12801" max="12801" width="3.69921875" style="5" customWidth="1"/>
    <col min="12802" max="13056" width="9" style="5"/>
    <col min="13057" max="13057" width="3.69921875" style="5" customWidth="1"/>
    <col min="13058" max="13312" width="9" style="5"/>
    <col min="13313" max="13313" width="3.69921875" style="5" customWidth="1"/>
    <col min="13314" max="13568" width="9" style="5"/>
    <col min="13569" max="13569" width="3.69921875" style="5" customWidth="1"/>
    <col min="13570" max="13824" width="9" style="5"/>
    <col min="13825" max="13825" width="3.69921875" style="5" customWidth="1"/>
    <col min="13826" max="14080" width="9" style="5"/>
    <col min="14081" max="14081" width="3.69921875" style="5" customWidth="1"/>
    <col min="14082" max="14336" width="9" style="5"/>
    <col min="14337" max="14337" width="3.69921875" style="5" customWidth="1"/>
    <col min="14338" max="14592" width="9" style="5"/>
    <col min="14593" max="14593" width="3.69921875" style="5" customWidth="1"/>
    <col min="14594" max="14848" width="9" style="5"/>
    <col min="14849" max="14849" width="3.69921875" style="5" customWidth="1"/>
    <col min="14850" max="15104" width="9" style="5"/>
    <col min="15105" max="15105" width="3.69921875" style="5" customWidth="1"/>
    <col min="15106" max="15360" width="9" style="5"/>
    <col min="15361" max="15361" width="3.69921875" style="5" customWidth="1"/>
    <col min="15362" max="15616" width="9" style="5"/>
    <col min="15617" max="15617" width="3.69921875" style="5" customWidth="1"/>
    <col min="15618" max="15872" width="9" style="5"/>
    <col min="15873" max="15873" width="3.69921875" style="5" customWidth="1"/>
    <col min="15874" max="16128" width="9" style="5"/>
    <col min="16129" max="16129" width="3.69921875" style="5" customWidth="1"/>
    <col min="16130" max="16384" width="9" style="5"/>
  </cols>
  <sheetData>
    <row r="2" spans="2:10" ht="20.399999999999999">
      <c r="B2" s="387" t="s">
        <v>260</v>
      </c>
      <c r="F2" s="2065"/>
      <c r="G2" s="2065"/>
      <c r="H2" s="2065"/>
    </row>
    <row r="4" spans="2:10">
      <c r="B4" s="2110" t="s">
        <v>261</v>
      </c>
      <c r="C4" s="2110" t="s">
        <v>262</v>
      </c>
      <c r="D4" s="2110" t="s">
        <v>263</v>
      </c>
      <c r="E4" s="2110" t="s">
        <v>264</v>
      </c>
      <c r="F4" s="2110" t="s">
        <v>265</v>
      </c>
      <c r="G4" s="2110"/>
      <c r="H4" s="2110" t="s">
        <v>266</v>
      </c>
      <c r="I4" s="2110" t="s">
        <v>267</v>
      </c>
      <c r="J4" s="402"/>
    </row>
    <row r="5" spans="2:10">
      <c r="B5" s="2110"/>
      <c r="C5" s="2110"/>
      <c r="D5" s="2110"/>
      <c r="E5" s="2110"/>
      <c r="F5" s="228" t="s">
        <v>268</v>
      </c>
      <c r="G5" s="402" t="s">
        <v>743</v>
      </c>
      <c r="H5" s="2110"/>
      <c r="I5" s="2110"/>
      <c r="J5" s="402" t="s">
        <v>269</v>
      </c>
    </row>
    <row r="6" spans="2:10" ht="20.100000000000001" customHeight="1">
      <c r="B6" s="415">
        <v>1</v>
      </c>
      <c r="C6" s="416">
        <v>45190</v>
      </c>
      <c r="D6" s="416">
        <v>45187</v>
      </c>
      <c r="E6" s="386" t="s">
        <v>270</v>
      </c>
      <c r="F6" s="417">
        <v>236</v>
      </c>
      <c r="G6" s="418">
        <f>F6*1333.4</f>
        <v>314682.40000000002</v>
      </c>
      <c r="H6" s="386" t="s">
        <v>907</v>
      </c>
      <c r="I6" s="386" t="s">
        <v>911</v>
      </c>
      <c r="J6" s="115" t="s">
        <v>812</v>
      </c>
    </row>
    <row r="7" spans="2:10" ht="20.100000000000001" customHeight="1">
      <c r="B7" s="415">
        <v>2</v>
      </c>
      <c r="C7" s="416">
        <v>45190</v>
      </c>
      <c r="D7" s="416">
        <v>45184</v>
      </c>
      <c r="E7" s="386" t="s">
        <v>833</v>
      </c>
      <c r="F7" s="417">
        <v>82</v>
      </c>
      <c r="G7" s="418">
        <f t="shared" ref="G7:G18" si="0">F7*1333.4</f>
        <v>109338.8</v>
      </c>
      <c r="H7" s="386" t="s">
        <v>907</v>
      </c>
      <c r="I7" s="386" t="s">
        <v>750</v>
      </c>
      <c r="J7" s="115" t="s">
        <v>812</v>
      </c>
    </row>
    <row r="8" spans="2:10" ht="20.100000000000001" customHeight="1">
      <c r="B8" s="415">
        <v>3</v>
      </c>
      <c r="C8" s="416">
        <v>45190</v>
      </c>
      <c r="D8" s="416">
        <v>45180</v>
      </c>
      <c r="E8" s="386" t="s">
        <v>904</v>
      </c>
      <c r="F8" s="417">
        <v>2340</v>
      </c>
      <c r="G8" s="418">
        <f t="shared" si="0"/>
        <v>3120156</v>
      </c>
      <c r="H8" s="386" t="s">
        <v>908</v>
      </c>
      <c r="I8" s="386" t="s">
        <v>272</v>
      </c>
      <c r="J8" s="115" t="s">
        <v>912</v>
      </c>
    </row>
    <row r="9" spans="2:10" ht="20.100000000000001" customHeight="1">
      <c r="B9" s="415">
        <v>4</v>
      </c>
      <c r="C9" s="416">
        <v>45190</v>
      </c>
      <c r="D9" s="416">
        <v>45166</v>
      </c>
      <c r="E9" s="386" t="s">
        <v>270</v>
      </c>
      <c r="F9" s="417">
        <v>839</v>
      </c>
      <c r="G9" s="418">
        <f t="shared" si="0"/>
        <v>1118722.6000000001</v>
      </c>
      <c r="H9" s="386" t="s">
        <v>908</v>
      </c>
      <c r="I9" s="386" t="s">
        <v>754</v>
      </c>
      <c r="J9" s="115" t="s">
        <v>913</v>
      </c>
    </row>
    <row r="10" spans="2:10" ht="20.100000000000001" customHeight="1">
      <c r="B10" s="415">
        <v>5</v>
      </c>
      <c r="C10" s="416">
        <v>45190</v>
      </c>
      <c r="D10" s="416">
        <v>45176</v>
      </c>
      <c r="E10" s="386" t="s">
        <v>270</v>
      </c>
      <c r="F10" s="417">
        <v>784</v>
      </c>
      <c r="G10" s="418">
        <f t="shared" si="0"/>
        <v>1045385.6000000001</v>
      </c>
      <c r="H10" s="386" t="s">
        <v>907</v>
      </c>
      <c r="I10" s="386" t="s">
        <v>750</v>
      </c>
      <c r="J10" s="115" t="s">
        <v>914</v>
      </c>
    </row>
    <row r="11" spans="2:10" ht="20.100000000000001" customHeight="1">
      <c r="B11" s="415">
        <v>6</v>
      </c>
      <c r="C11" s="416">
        <v>45190</v>
      </c>
      <c r="D11" s="416">
        <v>45170</v>
      </c>
      <c r="E11" s="386" t="s">
        <v>905</v>
      </c>
      <c r="F11" s="417">
        <v>39.270000000000003</v>
      </c>
      <c r="G11" s="418">
        <f t="shared" si="0"/>
        <v>52362.618000000009</v>
      </c>
      <c r="H11" s="386" t="s">
        <v>909</v>
      </c>
      <c r="I11" s="386" t="s">
        <v>272</v>
      </c>
      <c r="J11" s="115" t="s">
        <v>915</v>
      </c>
    </row>
    <row r="12" spans="2:10" ht="20.100000000000001" customHeight="1">
      <c r="B12" s="415">
        <v>7</v>
      </c>
      <c r="C12" s="416">
        <v>45190</v>
      </c>
      <c r="D12" s="416">
        <v>45182</v>
      </c>
      <c r="E12" s="386" t="s">
        <v>270</v>
      </c>
      <c r="F12" s="417">
        <v>255</v>
      </c>
      <c r="G12" s="418">
        <f t="shared" si="0"/>
        <v>340017</v>
      </c>
      <c r="H12" s="386" t="s">
        <v>909</v>
      </c>
      <c r="I12" s="386" t="s">
        <v>272</v>
      </c>
      <c r="J12" s="115" t="s">
        <v>916</v>
      </c>
    </row>
    <row r="13" spans="2:10" ht="20.100000000000001" customHeight="1">
      <c r="B13" s="415">
        <v>8</v>
      </c>
      <c r="C13" s="416">
        <v>45190</v>
      </c>
      <c r="D13" s="416">
        <v>45159</v>
      </c>
      <c r="E13" s="386" t="s">
        <v>271</v>
      </c>
      <c r="F13" s="417">
        <v>757</v>
      </c>
      <c r="G13" s="418">
        <f t="shared" si="0"/>
        <v>1009383.8</v>
      </c>
      <c r="H13" s="386" t="s">
        <v>909</v>
      </c>
      <c r="I13" s="386" t="s">
        <v>272</v>
      </c>
      <c r="J13" s="115" t="s">
        <v>917</v>
      </c>
    </row>
    <row r="14" spans="2:10">
      <c r="B14" s="415">
        <v>9</v>
      </c>
      <c r="C14" s="416">
        <v>45190</v>
      </c>
      <c r="D14" s="416">
        <v>45163</v>
      </c>
      <c r="E14" s="386" t="s">
        <v>833</v>
      </c>
      <c r="F14" s="417">
        <v>163</v>
      </c>
      <c r="G14" s="418">
        <f t="shared" si="0"/>
        <v>217344.2</v>
      </c>
      <c r="H14" s="386" t="s">
        <v>909</v>
      </c>
      <c r="I14" s="386" t="s">
        <v>272</v>
      </c>
      <c r="J14" s="115" t="s">
        <v>918</v>
      </c>
    </row>
    <row r="15" spans="2:10">
      <c r="B15" s="415">
        <v>10</v>
      </c>
      <c r="C15" s="416">
        <v>45190</v>
      </c>
      <c r="D15" s="416">
        <v>45189</v>
      </c>
      <c r="E15" s="386" t="s">
        <v>833</v>
      </c>
      <c r="F15" s="417">
        <v>208</v>
      </c>
      <c r="G15" s="418">
        <f t="shared" si="0"/>
        <v>277347.20000000001</v>
      </c>
      <c r="H15" s="386" t="s">
        <v>910</v>
      </c>
      <c r="I15" s="386" t="s">
        <v>919</v>
      </c>
      <c r="J15" s="115" t="s">
        <v>920</v>
      </c>
    </row>
    <row r="16" spans="2:10">
      <c r="B16" s="415">
        <v>11</v>
      </c>
      <c r="C16" s="416">
        <v>45190</v>
      </c>
      <c r="D16" s="416">
        <v>45178</v>
      </c>
      <c r="E16" s="386" t="s">
        <v>271</v>
      </c>
      <c r="F16" s="417">
        <v>498</v>
      </c>
      <c r="G16" s="418">
        <f t="shared" si="0"/>
        <v>664033.20000000007</v>
      </c>
      <c r="H16" s="386" t="s">
        <v>909</v>
      </c>
      <c r="I16" s="386" t="s">
        <v>272</v>
      </c>
      <c r="J16" s="115" t="s">
        <v>921</v>
      </c>
    </row>
    <row r="17" spans="2:10">
      <c r="B17" s="415">
        <v>12</v>
      </c>
      <c r="C17" s="416">
        <v>45190</v>
      </c>
      <c r="D17" s="416">
        <v>45179</v>
      </c>
      <c r="E17" s="386" t="s">
        <v>271</v>
      </c>
      <c r="F17" s="417">
        <v>532</v>
      </c>
      <c r="G17" s="418">
        <f t="shared" si="0"/>
        <v>709368.8</v>
      </c>
      <c r="H17" s="386" t="s">
        <v>909</v>
      </c>
      <c r="I17" s="386" t="s">
        <v>272</v>
      </c>
      <c r="J17" s="115" t="s">
        <v>922</v>
      </c>
    </row>
    <row r="18" spans="2:10">
      <c r="B18" s="415">
        <v>13</v>
      </c>
      <c r="C18" s="416">
        <v>45190</v>
      </c>
      <c r="D18" s="416">
        <v>45190</v>
      </c>
      <c r="E18" s="386" t="s">
        <v>906</v>
      </c>
      <c r="F18" s="417">
        <v>7438.5</v>
      </c>
      <c r="G18" s="418">
        <f t="shared" si="0"/>
        <v>9918495.9000000004</v>
      </c>
      <c r="H18" s="386" t="s">
        <v>909</v>
      </c>
      <c r="I18" s="386" t="s">
        <v>923</v>
      </c>
      <c r="J18" s="115" t="s">
        <v>924</v>
      </c>
    </row>
    <row r="19" spans="2:10">
      <c r="F19" s="227">
        <f>SUM(F6:F18)</f>
        <v>14171.77</v>
      </c>
      <c r="G19" s="419">
        <f>SUM(G6:G18)</f>
        <v>18896638.118000001</v>
      </c>
    </row>
  </sheetData>
  <mergeCells count="8">
    <mergeCell ref="I4:I5"/>
    <mergeCell ref="F2:H2"/>
    <mergeCell ref="B4:B5"/>
    <mergeCell ref="C4:C5"/>
    <mergeCell ref="D4:D5"/>
    <mergeCell ref="E4:E5"/>
    <mergeCell ref="F4:G4"/>
    <mergeCell ref="H4:H5"/>
  </mergeCells>
  <phoneticPr fontId="3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67"/>
  <sheetViews>
    <sheetView topLeftCell="A19" workbookViewId="0">
      <selection activeCell="D51" sqref="D51"/>
    </sheetView>
  </sheetViews>
  <sheetFormatPr defaultRowHeight="17.399999999999999" outlineLevelCol="1"/>
  <cols>
    <col min="2" max="2" width="30.5" bestFit="1" customWidth="1"/>
    <col min="3" max="3" width="21.09765625" customWidth="1" outlineLevel="1"/>
  </cols>
  <sheetData>
    <row r="1" spans="1:12">
      <c r="A1" s="2034" t="s">
        <v>149</v>
      </c>
      <c r="B1" s="2036" t="s">
        <v>150</v>
      </c>
      <c r="C1" s="2036" t="s">
        <v>151</v>
      </c>
      <c r="D1" s="2036" t="s">
        <v>152</v>
      </c>
      <c r="E1" s="191"/>
      <c r="F1" s="2038" t="s">
        <v>153</v>
      </c>
      <c r="G1" s="2026" t="s">
        <v>154</v>
      </c>
      <c r="H1" s="2040"/>
      <c r="I1" s="2026" t="s">
        <v>155</v>
      </c>
      <c r="J1" s="2027"/>
      <c r="K1" s="193"/>
    </row>
    <row r="2" spans="1:12">
      <c r="A2" s="2035"/>
      <c r="B2" s="2113"/>
      <c r="C2" s="2037"/>
      <c r="D2" s="2037"/>
      <c r="E2" s="192"/>
      <c r="F2" s="2039"/>
      <c r="G2" s="30" t="s">
        <v>156</v>
      </c>
      <c r="H2" s="74" t="s">
        <v>157</v>
      </c>
      <c r="I2" s="32" t="s">
        <v>156</v>
      </c>
      <c r="J2" s="32" t="s">
        <v>157</v>
      </c>
      <c r="K2" s="202"/>
    </row>
    <row r="3" spans="1:12">
      <c r="A3" s="36">
        <v>44630</v>
      </c>
      <c r="B3" s="34" t="s">
        <v>158</v>
      </c>
      <c r="C3" s="35"/>
      <c r="D3" s="33" t="s">
        <v>159</v>
      </c>
      <c r="E3" s="33"/>
      <c r="F3" s="35"/>
      <c r="G3" s="39"/>
      <c r="H3" s="75">
        <v>7.0000000000000007E-2</v>
      </c>
      <c r="I3" s="85"/>
      <c r="J3" s="86"/>
      <c r="K3" s="203"/>
    </row>
    <row r="4" spans="1:12">
      <c r="A4" s="40">
        <v>44631</v>
      </c>
      <c r="B4" s="51" t="s">
        <v>160</v>
      </c>
      <c r="C4" s="42" t="s">
        <v>51</v>
      </c>
      <c r="D4" s="41"/>
      <c r="E4" s="41"/>
      <c r="F4" s="43"/>
      <c r="G4" s="44">
        <v>62479.23</v>
      </c>
      <c r="H4" s="76">
        <v>9850.6200000000008</v>
      </c>
      <c r="I4" s="87"/>
      <c r="J4" s="88"/>
      <c r="K4" s="204"/>
    </row>
    <row r="5" spans="1:12">
      <c r="A5" s="40">
        <v>44635</v>
      </c>
      <c r="B5" s="51" t="s">
        <v>161</v>
      </c>
      <c r="C5" s="42" t="s">
        <v>51</v>
      </c>
      <c r="D5" s="41" t="s">
        <v>162</v>
      </c>
      <c r="E5" s="41"/>
      <c r="F5" s="43"/>
      <c r="G5" s="53"/>
      <c r="H5" s="76"/>
      <c r="I5" s="87"/>
      <c r="J5" s="88">
        <v>30</v>
      </c>
      <c r="K5" s="204">
        <v>1234.5</v>
      </c>
    </row>
    <row r="6" spans="1:12">
      <c r="A6" s="36">
        <v>44635</v>
      </c>
      <c r="B6" s="34" t="s">
        <v>163</v>
      </c>
      <c r="C6" s="33" t="s">
        <v>164</v>
      </c>
      <c r="D6" s="33" t="s">
        <v>165</v>
      </c>
      <c r="E6" s="33" t="s">
        <v>179</v>
      </c>
      <c r="F6" s="35"/>
      <c r="G6" s="39"/>
      <c r="H6" s="75"/>
      <c r="I6" s="85">
        <v>5000</v>
      </c>
      <c r="J6" s="86">
        <f>I6/'통장내역(환율표)'!$D$5</f>
        <v>697.60303262179696</v>
      </c>
      <c r="K6" s="204">
        <v>1234.5</v>
      </c>
    </row>
    <row r="7" spans="1:12">
      <c r="A7" s="36">
        <v>44635</v>
      </c>
      <c r="B7" s="34" t="s">
        <v>166</v>
      </c>
      <c r="C7" s="33" t="s">
        <v>164</v>
      </c>
      <c r="D7" s="33" t="s">
        <v>165</v>
      </c>
      <c r="E7" s="33" t="s">
        <v>179</v>
      </c>
      <c r="F7" s="35"/>
      <c r="G7" s="38"/>
      <c r="H7" s="77"/>
      <c r="I7" s="89">
        <v>31000</v>
      </c>
      <c r="J7" s="86">
        <f>I7/'통장내역(환율표)'!$D$5</f>
        <v>4325.1388022551409</v>
      </c>
      <c r="K7" s="204">
        <v>1234.5</v>
      </c>
    </row>
    <row r="8" spans="1:12">
      <c r="A8" s="36">
        <v>44635</v>
      </c>
      <c r="B8" s="34" t="s">
        <v>167</v>
      </c>
      <c r="C8" s="33" t="s">
        <v>164</v>
      </c>
      <c r="D8" s="33" t="s">
        <v>168</v>
      </c>
      <c r="E8" s="2" t="s">
        <v>180</v>
      </c>
      <c r="F8" s="35" t="s">
        <v>169</v>
      </c>
      <c r="G8" s="38"/>
      <c r="H8" s="77"/>
      <c r="I8" s="89">
        <v>19440</v>
      </c>
      <c r="J8" s="86">
        <f>I8/'통장내역(환율표)'!$D$5</f>
        <v>2712.2805908335463</v>
      </c>
      <c r="K8" s="204">
        <v>1234.5</v>
      </c>
      <c r="L8">
        <f>J8*K8</f>
        <v>3348310.3893840127</v>
      </c>
    </row>
    <row r="9" spans="1:12">
      <c r="A9" s="36">
        <v>44641</v>
      </c>
      <c r="B9" s="34" t="s">
        <v>170</v>
      </c>
      <c r="C9" s="37" t="s">
        <v>51</v>
      </c>
      <c r="D9" s="33" t="s">
        <v>159</v>
      </c>
      <c r="E9" s="33"/>
      <c r="F9" s="35"/>
      <c r="G9" s="38">
        <v>0.35</v>
      </c>
      <c r="H9" s="77">
        <f>G9/'통장내역(환율표)'!$D$5</f>
        <v>4.8832212283525779E-2</v>
      </c>
      <c r="I9" s="89"/>
      <c r="J9" s="88"/>
      <c r="K9" s="204"/>
    </row>
    <row r="10" spans="1:12">
      <c r="A10" s="57">
        <v>44648</v>
      </c>
      <c r="B10" s="58" t="s">
        <v>171</v>
      </c>
      <c r="C10" s="60"/>
      <c r="D10" s="59"/>
      <c r="E10" s="59"/>
      <c r="F10" s="61"/>
      <c r="G10" s="62">
        <v>27194.531999999999</v>
      </c>
      <c r="H10" s="78">
        <v>4274.5</v>
      </c>
      <c r="I10" s="90"/>
      <c r="J10" s="91"/>
      <c r="K10" s="205"/>
    </row>
    <row r="11" spans="1:12">
      <c r="A11" s="57">
        <v>44648</v>
      </c>
      <c r="B11" s="58" t="s">
        <v>172</v>
      </c>
      <c r="C11" s="60"/>
      <c r="D11" s="59" t="s">
        <v>162</v>
      </c>
      <c r="E11" s="59"/>
      <c r="F11" s="61"/>
      <c r="G11" s="62"/>
      <c r="H11" s="78"/>
      <c r="I11" s="90">
        <f>J11*'통장내역(환율표)'!$D$5</f>
        <v>5243.7415391558361</v>
      </c>
      <c r="J11" s="91">
        <v>731.61</v>
      </c>
      <c r="K11" s="205">
        <v>1274.5999999999999</v>
      </c>
    </row>
    <row r="12" spans="1:12">
      <c r="A12" s="46">
        <v>44649</v>
      </c>
      <c r="B12" s="52" t="s">
        <v>160</v>
      </c>
      <c r="C12" s="48" t="s">
        <v>51</v>
      </c>
      <c r="D12" s="47"/>
      <c r="E12" s="47"/>
      <c r="F12" s="49"/>
      <c r="G12" s="50">
        <v>55337.75</v>
      </c>
      <c r="H12" s="79">
        <v>8777</v>
      </c>
      <c r="I12" s="92"/>
      <c r="J12" s="93"/>
      <c r="K12" s="206"/>
    </row>
    <row r="13" spans="1:12">
      <c r="A13" s="46">
        <v>44649</v>
      </c>
      <c r="B13" s="52" t="s">
        <v>161</v>
      </c>
      <c r="C13" s="48" t="s">
        <v>51</v>
      </c>
      <c r="D13" s="47" t="s">
        <v>162</v>
      </c>
      <c r="E13" s="47"/>
      <c r="F13" s="49"/>
      <c r="G13" s="54"/>
      <c r="H13" s="79"/>
      <c r="I13" s="94"/>
      <c r="J13" s="93">
        <v>58</v>
      </c>
      <c r="K13" s="204">
        <v>1218.3</v>
      </c>
    </row>
    <row r="14" spans="1:12">
      <c r="A14" s="36">
        <v>44650</v>
      </c>
      <c r="B14" s="34" t="s">
        <v>173</v>
      </c>
      <c r="C14" s="33" t="s">
        <v>174</v>
      </c>
      <c r="D14" s="33" t="s">
        <v>162</v>
      </c>
      <c r="E14" s="209" t="s">
        <v>178</v>
      </c>
      <c r="F14" s="35"/>
      <c r="G14" s="38"/>
      <c r="H14" s="77"/>
      <c r="I14" s="194">
        <v>1680</v>
      </c>
      <c r="J14" s="200">
        <f>I14/'통장내역(환율표)'!$D$5</f>
        <v>234.39461896092376</v>
      </c>
      <c r="K14" s="204">
        <v>1234.5</v>
      </c>
      <c r="L14">
        <f>J14*K14</f>
        <v>289360.15710726037</v>
      </c>
    </row>
    <row r="15" spans="1:12">
      <c r="A15" s="149" t="s">
        <v>79</v>
      </c>
      <c r="B15" s="157" t="s">
        <v>104</v>
      </c>
      <c r="C15" s="150">
        <v>1</v>
      </c>
      <c r="D15" s="151" t="s">
        <v>105</v>
      </c>
      <c r="E15" s="151"/>
      <c r="F15" s="152" t="s">
        <v>106</v>
      </c>
      <c r="G15" s="153"/>
      <c r="H15" s="166"/>
      <c r="I15" s="168">
        <f>J15*'통장내역(환율표)'!$D$5</f>
        <v>6038.5369162998486</v>
      </c>
      <c r="J15" s="102">
        <v>842.50033308188961</v>
      </c>
      <c r="K15" s="204">
        <v>1234.5</v>
      </c>
      <c r="L15">
        <f>J15*K15</f>
        <v>1040066.6611895927</v>
      </c>
    </row>
    <row r="16" spans="1:12">
      <c r="A16" s="149" t="s">
        <v>79</v>
      </c>
      <c r="B16" s="157" t="s">
        <v>181</v>
      </c>
      <c r="C16" s="150">
        <v>1</v>
      </c>
      <c r="D16" s="151" t="s">
        <v>105</v>
      </c>
      <c r="E16" s="151"/>
      <c r="F16" s="152" t="s">
        <v>106</v>
      </c>
      <c r="G16" s="153"/>
      <c r="H16" s="166"/>
      <c r="I16" s="168">
        <f>19440-I15</f>
        <v>13401.463083700151</v>
      </c>
      <c r="J16" s="86">
        <f>I16/'통장내역(환율표)'!$D$5</f>
        <v>1869.7802577516568</v>
      </c>
      <c r="K16" s="203">
        <v>1234.5</v>
      </c>
      <c r="L16">
        <f>J16*K16</f>
        <v>2308243.7281944202</v>
      </c>
    </row>
    <row r="17" spans="1:12">
      <c r="A17" s="138" t="s">
        <v>80</v>
      </c>
      <c r="B17" s="159" t="s">
        <v>93</v>
      </c>
      <c r="C17" s="37">
        <v>2</v>
      </c>
      <c r="D17" s="33" t="s">
        <v>107</v>
      </c>
      <c r="E17" s="33"/>
      <c r="F17" s="35"/>
      <c r="G17" s="103"/>
      <c r="H17" s="77"/>
      <c r="I17" s="169">
        <v>1038.04</v>
      </c>
      <c r="J17" s="86">
        <f>I17/'통장내역(환율표)'!$D$5</f>
        <v>144.82797039654602</v>
      </c>
      <c r="K17" s="203">
        <v>1234.5</v>
      </c>
    </row>
    <row r="18" spans="1:12">
      <c r="A18" s="138" t="s">
        <v>80</v>
      </c>
      <c r="B18" s="159" t="s">
        <v>94</v>
      </c>
      <c r="C18" s="37">
        <v>3</v>
      </c>
      <c r="D18" s="33" t="s">
        <v>107</v>
      </c>
      <c r="E18" s="209" t="s">
        <v>178</v>
      </c>
      <c r="F18" s="35"/>
      <c r="G18" s="103"/>
      <c r="H18" s="104"/>
      <c r="I18" s="195">
        <v>299</v>
      </c>
      <c r="J18" s="201">
        <f>I18/'통장내역(환율표)'!$D$5</f>
        <v>41.716661350783454</v>
      </c>
      <c r="K18" s="203">
        <v>1234.5</v>
      </c>
      <c r="L18">
        <f>J18*K18</f>
        <v>51499.218437542171</v>
      </c>
    </row>
    <row r="19" spans="1:12">
      <c r="A19" s="138" t="s">
        <v>80</v>
      </c>
      <c r="B19" s="159" t="s">
        <v>95</v>
      </c>
      <c r="C19" s="37">
        <v>4</v>
      </c>
      <c r="D19" s="33" t="s">
        <v>107</v>
      </c>
      <c r="E19" s="209" t="s">
        <v>178</v>
      </c>
      <c r="F19" s="35"/>
      <c r="G19" s="38"/>
      <c r="H19" s="77"/>
      <c r="I19" s="195">
        <v>227.9</v>
      </c>
      <c r="J19" s="201">
        <f>I19/'통장내역(환율표)'!$D$5</f>
        <v>31.796746226901504</v>
      </c>
      <c r="K19" s="203">
        <v>1234.5</v>
      </c>
      <c r="L19">
        <f>J19*K19</f>
        <v>39253.08321710991</v>
      </c>
    </row>
    <row r="20" spans="1:12">
      <c r="A20" s="138" t="s">
        <v>80</v>
      </c>
      <c r="B20" s="159" t="s">
        <v>96</v>
      </c>
      <c r="C20" s="37">
        <v>5</v>
      </c>
      <c r="D20" s="33" t="s">
        <v>107</v>
      </c>
      <c r="E20" s="33"/>
      <c r="F20" s="35"/>
      <c r="G20" s="38"/>
      <c r="H20" s="77"/>
      <c r="I20" s="169">
        <v>212.41</v>
      </c>
      <c r="J20" s="86">
        <f>I20/'통장내역(환율표)'!$D$5</f>
        <v>29.635572031839175</v>
      </c>
      <c r="K20" s="203">
        <v>1234.5</v>
      </c>
    </row>
    <row r="21" spans="1:12">
      <c r="A21" s="138" t="s">
        <v>80</v>
      </c>
      <c r="B21" s="159" t="s">
        <v>97</v>
      </c>
      <c r="C21" s="37">
        <v>6</v>
      </c>
      <c r="D21" s="33" t="s">
        <v>107</v>
      </c>
      <c r="E21" s="209" t="s">
        <v>178</v>
      </c>
      <c r="F21" s="35"/>
      <c r="G21" s="38"/>
      <c r="H21" s="77"/>
      <c r="I21" s="195">
        <v>1798.9</v>
      </c>
      <c r="J21" s="201">
        <f>I21/'통장내역(환율표)'!$D$5</f>
        <v>250.9836190766701</v>
      </c>
      <c r="K21" s="203">
        <v>1234.5</v>
      </c>
      <c r="L21">
        <f t="shared" ref="L21:L28" si="0">J21*K21</f>
        <v>309839.27775014925</v>
      </c>
    </row>
    <row r="22" spans="1:12">
      <c r="A22" s="138" t="s">
        <v>80</v>
      </c>
      <c r="B22" s="159" t="s">
        <v>98</v>
      </c>
      <c r="C22" s="37">
        <v>7</v>
      </c>
      <c r="D22" s="33" t="s">
        <v>107</v>
      </c>
      <c r="E22" s="209" t="s">
        <v>178</v>
      </c>
      <c r="F22" s="35"/>
      <c r="G22" s="38"/>
      <c r="H22" s="77"/>
      <c r="I22" s="195">
        <v>3334</v>
      </c>
      <c r="J22" s="201">
        <f>I22/'통장내역(환율표)'!$D$5</f>
        <v>465.16170215221416</v>
      </c>
      <c r="K22" s="203">
        <v>1234.5</v>
      </c>
      <c r="L22">
        <f t="shared" si="0"/>
        <v>574242.12130690843</v>
      </c>
    </row>
    <row r="23" spans="1:12">
      <c r="A23" s="149" t="s">
        <v>80</v>
      </c>
      <c r="B23" s="157" t="s">
        <v>99</v>
      </c>
      <c r="C23" s="150">
        <v>8</v>
      </c>
      <c r="D23" s="151" t="s">
        <v>107</v>
      </c>
      <c r="E23" s="209" t="s">
        <v>177</v>
      </c>
      <c r="F23" s="152"/>
      <c r="G23" s="153"/>
      <c r="H23" s="166"/>
      <c r="I23" s="196">
        <f>J23*'통장내역(환율표)'!$D$5</f>
        <v>1745.9876739737736</v>
      </c>
      <c r="J23" s="198">
        <v>243.60125925687635</v>
      </c>
      <c r="K23" s="203">
        <v>1234.5</v>
      </c>
      <c r="L23">
        <f t="shared" si="0"/>
        <v>300725.75455261383</v>
      </c>
    </row>
    <row r="24" spans="1:12">
      <c r="A24" s="149" t="s">
        <v>80</v>
      </c>
      <c r="B24" s="157" t="s">
        <v>99</v>
      </c>
      <c r="C24" s="150">
        <v>8</v>
      </c>
      <c r="D24" s="151" t="s">
        <v>107</v>
      </c>
      <c r="E24" s="209" t="s">
        <v>177</v>
      </c>
      <c r="F24" s="152"/>
      <c r="G24" s="153"/>
      <c r="H24" s="166"/>
      <c r="I24" s="196">
        <f>2446-I23</f>
        <v>700.01232602622645</v>
      </c>
      <c r="J24" s="198">
        <f>I24/'통장내역(환율표)'!$D$5</f>
        <v>97.666144301706723</v>
      </c>
      <c r="K24" s="207">
        <v>1218.3</v>
      </c>
      <c r="L24">
        <f t="shared" si="0"/>
        <v>118986.6636027693</v>
      </c>
    </row>
    <row r="25" spans="1:12">
      <c r="A25" s="138" t="s">
        <v>80</v>
      </c>
      <c r="B25" s="159" t="s">
        <v>100</v>
      </c>
      <c r="C25" s="37">
        <v>9</v>
      </c>
      <c r="D25" s="33" t="s">
        <v>107</v>
      </c>
      <c r="E25" s="209" t="s">
        <v>177</v>
      </c>
      <c r="F25" s="35"/>
      <c r="G25" s="38"/>
      <c r="H25" s="77"/>
      <c r="I25" s="195">
        <v>1578</v>
      </c>
      <c r="J25" s="198">
        <f>I25/'통장내역(환율표)'!$D$5</f>
        <v>220.16351709543912</v>
      </c>
      <c r="K25" s="207">
        <v>1218.3</v>
      </c>
      <c r="L25">
        <f t="shared" si="0"/>
        <v>268225.21287737344</v>
      </c>
    </row>
    <row r="26" spans="1:12">
      <c r="A26" s="138" t="s">
        <v>80</v>
      </c>
      <c r="B26" s="159" t="s">
        <v>101</v>
      </c>
      <c r="C26" s="37">
        <v>10</v>
      </c>
      <c r="D26" s="33" t="s">
        <v>107</v>
      </c>
      <c r="E26" s="209" t="s">
        <v>178</v>
      </c>
      <c r="F26" s="35"/>
      <c r="G26" s="103"/>
      <c r="H26" s="77"/>
      <c r="I26" s="195">
        <v>3747</v>
      </c>
      <c r="J26" s="201">
        <f>I26/'통장내역(환율표)'!$D$5</f>
        <v>522.78371264677457</v>
      </c>
      <c r="K26" s="207">
        <v>1218.3</v>
      </c>
      <c r="L26">
        <f t="shared" si="0"/>
        <v>636907.39711756539</v>
      </c>
    </row>
    <row r="27" spans="1:12">
      <c r="A27" s="138" t="s">
        <v>80</v>
      </c>
      <c r="B27" s="159" t="s">
        <v>102</v>
      </c>
      <c r="C27" s="37">
        <v>11</v>
      </c>
      <c r="D27" s="33" t="s">
        <v>107</v>
      </c>
      <c r="E27" s="209" t="s">
        <v>178</v>
      </c>
      <c r="F27" s="35"/>
      <c r="G27" s="38"/>
      <c r="H27" s="77"/>
      <c r="I27" s="195">
        <v>3200</v>
      </c>
      <c r="J27" s="201">
        <f>I27/'통장내역(환율표)'!$D$5</f>
        <v>446.46594087795</v>
      </c>
      <c r="K27" s="207">
        <v>1218.3</v>
      </c>
      <c r="L27">
        <f t="shared" si="0"/>
        <v>543929.45577160642</v>
      </c>
    </row>
    <row r="28" spans="1:12">
      <c r="A28" s="138" t="s">
        <v>80</v>
      </c>
      <c r="B28" s="159" t="s">
        <v>103</v>
      </c>
      <c r="C28" s="37">
        <v>12</v>
      </c>
      <c r="D28" s="33" t="s">
        <v>107</v>
      </c>
      <c r="E28" s="209" t="s">
        <v>177</v>
      </c>
      <c r="F28" s="35"/>
      <c r="G28" s="35"/>
      <c r="H28" s="159"/>
      <c r="I28" s="195">
        <v>345.42</v>
      </c>
      <c r="J28" s="199">
        <f>I28/'통장내역(환율표)'!$D$5</f>
        <v>48.193207905644222</v>
      </c>
      <c r="K28" s="207">
        <v>1218.3</v>
      </c>
      <c r="L28">
        <f t="shared" si="0"/>
        <v>58713.785191446354</v>
      </c>
    </row>
    <row r="29" spans="1:12">
      <c r="A29" s="138"/>
      <c r="B29" s="159" t="s">
        <v>112</v>
      </c>
      <c r="C29" s="37"/>
      <c r="D29" s="33" t="s">
        <v>21</v>
      </c>
      <c r="E29" s="33"/>
      <c r="F29" s="35"/>
      <c r="G29" s="103"/>
      <c r="H29" s="77"/>
      <c r="I29" s="169"/>
      <c r="J29" s="86">
        <v>3.6874654462444596</v>
      </c>
      <c r="K29" s="207">
        <v>1218.3</v>
      </c>
    </row>
    <row r="30" spans="1:12">
      <c r="A30" s="177"/>
      <c r="B30" s="178" t="s">
        <v>113</v>
      </c>
      <c r="C30" s="180"/>
      <c r="D30" s="181"/>
      <c r="E30" s="181"/>
      <c r="F30" s="182"/>
      <c r="G30" s="183">
        <v>16486.919999999998</v>
      </c>
      <c r="H30" s="184">
        <v>2487.7800000000002</v>
      </c>
      <c r="I30" s="185"/>
      <c r="J30" s="186"/>
      <c r="K30" s="207">
        <v>1218.3</v>
      </c>
    </row>
    <row r="31" spans="1:12">
      <c r="A31" s="177"/>
      <c r="B31" s="178" t="s">
        <v>114</v>
      </c>
      <c r="C31" s="180"/>
      <c r="D31" s="181" t="s">
        <v>138</v>
      </c>
      <c r="E31" s="181"/>
      <c r="F31" s="182"/>
      <c r="G31" s="183"/>
      <c r="H31" s="184"/>
      <c r="I31" s="185"/>
      <c r="J31" s="170">
        <v>28</v>
      </c>
      <c r="K31" s="207">
        <v>1218.3</v>
      </c>
    </row>
    <row r="32" spans="1:12">
      <c r="A32" s="36">
        <v>44692</v>
      </c>
      <c r="B32" s="159" t="s">
        <v>115</v>
      </c>
      <c r="C32" s="37"/>
      <c r="D32" s="33" t="s">
        <v>138</v>
      </c>
      <c r="E32" s="33" t="s">
        <v>182</v>
      </c>
      <c r="F32" s="35"/>
      <c r="G32" s="103"/>
      <c r="H32" s="77"/>
      <c r="I32" s="169">
        <v>17</v>
      </c>
      <c r="J32" s="86" t="e">
        <f>I32/'통장내역(환율표)'!#REF!</f>
        <v>#REF!</v>
      </c>
      <c r="K32" s="207">
        <v>1218.3</v>
      </c>
      <c r="L32" s="211" t="e">
        <f>J32*K32</f>
        <v>#REF!</v>
      </c>
    </row>
    <row r="33" spans="1:12">
      <c r="A33" s="36">
        <v>44692</v>
      </c>
      <c r="B33" s="159" t="s">
        <v>115</v>
      </c>
      <c r="C33" s="37"/>
      <c r="D33" s="33" t="s">
        <v>138</v>
      </c>
      <c r="E33" s="33" t="s">
        <v>182</v>
      </c>
      <c r="F33" s="35"/>
      <c r="G33" s="103"/>
      <c r="H33" s="77"/>
      <c r="I33" s="169">
        <v>80</v>
      </c>
      <c r="J33" s="86" t="e">
        <f>I33/'통장내역(환율표)'!#REF!</f>
        <v>#REF!</v>
      </c>
      <c r="K33" s="207">
        <v>1218.3</v>
      </c>
      <c r="L33" s="211" t="e">
        <f>J33*K33</f>
        <v>#REF!</v>
      </c>
    </row>
    <row r="34" spans="1:12">
      <c r="A34" s="36">
        <v>44705</v>
      </c>
      <c r="B34" s="159" t="s">
        <v>130</v>
      </c>
      <c r="C34" s="37">
        <v>1</v>
      </c>
      <c r="D34" s="33" t="s">
        <v>138</v>
      </c>
      <c r="E34" s="33"/>
      <c r="F34" s="35"/>
      <c r="G34" s="103"/>
      <c r="H34" s="77"/>
      <c r="I34" s="169">
        <v>300</v>
      </c>
      <c r="J34" s="86" t="e">
        <f>I34/'통장내역(환율표)'!#REF!</f>
        <v>#REF!</v>
      </c>
      <c r="K34" s="207">
        <v>1218.3</v>
      </c>
    </row>
    <row r="35" spans="1:12">
      <c r="A35" s="36">
        <v>44705</v>
      </c>
      <c r="B35" s="159" t="s">
        <v>131</v>
      </c>
      <c r="C35" s="37">
        <v>2</v>
      </c>
      <c r="D35" s="33" t="s">
        <v>138</v>
      </c>
      <c r="E35" s="33"/>
      <c r="F35" s="35"/>
      <c r="G35" s="103"/>
      <c r="H35" s="77"/>
      <c r="I35" s="169">
        <v>7703.4</v>
      </c>
      <c r="J35" s="86" t="e">
        <f>I35/'통장내역(환율표)'!#REF!</f>
        <v>#REF!</v>
      </c>
      <c r="K35" s="207">
        <v>1218.3</v>
      </c>
    </row>
    <row r="36" spans="1:12">
      <c r="A36" s="36">
        <v>44705</v>
      </c>
      <c r="B36" s="159" t="s">
        <v>132</v>
      </c>
      <c r="C36" s="37">
        <v>2</v>
      </c>
      <c r="D36" s="33" t="s">
        <v>138</v>
      </c>
      <c r="E36" s="33"/>
      <c r="F36" s="35"/>
      <c r="G36" s="103"/>
      <c r="H36" s="77"/>
      <c r="I36" s="169">
        <v>13500</v>
      </c>
      <c r="J36" s="86" t="e">
        <f>I36/'통장내역(환율표)'!#REF!</f>
        <v>#REF!</v>
      </c>
      <c r="K36" s="207">
        <v>1218.3</v>
      </c>
    </row>
    <row r="37" spans="1:12">
      <c r="A37" s="36">
        <v>44705</v>
      </c>
      <c r="B37" s="159" t="s">
        <v>133</v>
      </c>
      <c r="C37" s="37">
        <v>2</v>
      </c>
      <c r="D37" s="33" t="s">
        <v>138</v>
      </c>
      <c r="E37" s="33"/>
      <c r="F37" s="35"/>
      <c r="G37" s="103"/>
      <c r="H37" s="77"/>
      <c r="I37" s="169">
        <v>2552.2899999999991</v>
      </c>
      <c r="J37" s="86" t="e">
        <f>I37/'통장내역(환율표)'!#REF!</f>
        <v>#REF!</v>
      </c>
      <c r="K37" s="207">
        <v>1218.3</v>
      </c>
    </row>
    <row r="38" spans="1:12">
      <c r="A38" s="36">
        <v>44705</v>
      </c>
      <c r="B38" s="159" t="s">
        <v>134</v>
      </c>
      <c r="C38" s="37">
        <v>2</v>
      </c>
      <c r="D38" s="33" t="s">
        <v>138</v>
      </c>
      <c r="E38" s="33"/>
      <c r="F38" s="35"/>
      <c r="G38" s="103"/>
      <c r="H38" s="77"/>
      <c r="I38" s="169">
        <v>20000</v>
      </c>
      <c r="J38" s="86" t="e">
        <f>I38/'통장내역(환율표)'!#REF!</f>
        <v>#REF!</v>
      </c>
      <c r="K38" s="207">
        <v>1218.3</v>
      </c>
    </row>
    <row r="39" spans="1:12">
      <c r="A39" s="36">
        <v>44706</v>
      </c>
      <c r="B39" s="159" t="s">
        <v>115</v>
      </c>
      <c r="C39" s="37"/>
      <c r="D39" s="33" t="s">
        <v>138</v>
      </c>
      <c r="E39" s="33"/>
      <c r="F39" s="35"/>
      <c r="G39" s="103"/>
      <c r="H39" s="77"/>
      <c r="I39" s="169">
        <v>7.2</v>
      </c>
      <c r="J39" s="86" t="e">
        <f>I39/'통장내역(환율표)'!#REF!</f>
        <v>#REF!</v>
      </c>
      <c r="K39" s="207">
        <v>1218.3</v>
      </c>
    </row>
    <row r="40" spans="1:12">
      <c r="A40" s="36">
        <v>44706</v>
      </c>
      <c r="B40" s="159" t="s">
        <v>116</v>
      </c>
      <c r="C40" s="37">
        <v>3</v>
      </c>
      <c r="D40" s="33" t="s">
        <v>116</v>
      </c>
      <c r="E40" s="33"/>
      <c r="F40" s="35" t="s">
        <v>140</v>
      </c>
      <c r="G40" s="103"/>
      <c r="H40" s="77"/>
      <c r="I40" s="169">
        <v>500</v>
      </c>
      <c r="J40" s="86" t="e">
        <f>I40/'통장내역(환율표)'!#REF!</f>
        <v>#REF!</v>
      </c>
      <c r="K40" s="207">
        <v>1218.3</v>
      </c>
    </row>
    <row r="41" spans="1:12">
      <c r="A41" s="36">
        <v>44706</v>
      </c>
      <c r="B41" s="159" t="s">
        <v>115</v>
      </c>
      <c r="C41" s="37"/>
      <c r="D41" s="33" t="s">
        <v>138</v>
      </c>
      <c r="E41" s="33"/>
      <c r="F41" s="35"/>
      <c r="G41" s="103"/>
      <c r="H41" s="77"/>
      <c r="I41" s="169">
        <v>3.6</v>
      </c>
      <c r="J41" s="86" t="e">
        <f>I41/'통장내역(환율표)'!#REF!</f>
        <v>#REF!</v>
      </c>
      <c r="K41" s="207">
        <v>1218.3</v>
      </c>
    </row>
    <row r="42" spans="1:12">
      <c r="A42" s="36">
        <v>44706</v>
      </c>
      <c r="B42" s="159" t="s">
        <v>117</v>
      </c>
      <c r="C42" s="37">
        <v>4</v>
      </c>
      <c r="D42" s="33" t="s">
        <v>116</v>
      </c>
      <c r="E42" s="33"/>
      <c r="F42" s="35" t="s">
        <v>140</v>
      </c>
      <c r="G42" s="103"/>
      <c r="H42" s="77"/>
      <c r="I42" s="169">
        <v>115.56</v>
      </c>
      <c r="J42" s="86" t="e">
        <f>I42/'통장내역(환율표)'!#REF!</f>
        <v>#REF!</v>
      </c>
      <c r="K42" s="207">
        <v>1218.3</v>
      </c>
    </row>
    <row r="43" spans="1:12">
      <c r="A43" s="36">
        <v>44706</v>
      </c>
      <c r="B43" s="159" t="s">
        <v>115</v>
      </c>
      <c r="C43" s="37"/>
      <c r="D43" s="33" t="s">
        <v>138</v>
      </c>
      <c r="E43" s="33"/>
      <c r="F43" s="35"/>
      <c r="G43" s="103"/>
      <c r="H43" s="77"/>
      <c r="I43" s="169">
        <v>3.6</v>
      </c>
      <c r="J43" s="86" t="e">
        <f>I43/'통장내역(환율표)'!#REF!</f>
        <v>#REF!</v>
      </c>
      <c r="K43" s="207">
        <v>1218.3</v>
      </c>
    </row>
    <row r="44" spans="1:12">
      <c r="A44" s="36">
        <v>44706</v>
      </c>
      <c r="B44" s="159" t="s">
        <v>118</v>
      </c>
      <c r="C44" s="37">
        <v>5</v>
      </c>
      <c r="D44" s="33" t="s">
        <v>116</v>
      </c>
      <c r="E44" s="33"/>
      <c r="F44" s="35" t="s">
        <v>140</v>
      </c>
      <c r="G44" s="103"/>
      <c r="H44" s="77"/>
      <c r="I44" s="169">
        <v>399</v>
      </c>
      <c r="J44" s="86" t="e">
        <f>I44/'통장내역(환율표)'!#REF!</f>
        <v>#REF!</v>
      </c>
      <c r="K44" s="207">
        <v>1218.3</v>
      </c>
    </row>
    <row r="45" spans="1:12">
      <c r="A45" s="36">
        <v>44706</v>
      </c>
      <c r="B45" s="159" t="s">
        <v>115</v>
      </c>
      <c r="C45" s="37"/>
      <c r="D45" s="33" t="s">
        <v>138</v>
      </c>
      <c r="E45" s="33"/>
      <c r="F45" s="35"/>
      <c r="G45" s="103"/>
      <c r="H45" s="77"/>
      <c r="I45" s="169">
        <v>3.6</v>
      </c>
      <c r="J45" s="86" t="e">
        <f>I45/'통장내역(환율표)'!#REF!</f>
        <v>#REF!</v>
      </c>
      <c r="K45" s="207">
        <v>1218.3</v>
      </c>
    </row>
    <row r="46" spans="1:12">
      <c r="A46" s="36">
        <v>44706</v>
      </c>
      <c r="B46" s="159" t="s">
        <v>119</v>
      </c>
      <c r="C46" s="37">
        <v>6</v>
      </c>
      <c r="D46" s="33" t="s">
        <v>138</v>
      </c>
      <c r="E46" s="33"/>
      <c r="F46" s="35"/>
      <c r="G46" s="103"/>
      <c r="H46" s="77"/>
      <c r="I46" s="169">
        <v>368.47</v>
      </c>
      <c r="J46" s="86" t="e">
        <f>I46/'통장내역(환율표)'!#REF!</f>
        <v>#REF!</v>
      </c>
      <c r="K46" s="207">
        <v>1218.3</v>
      </c>
    </row>
    <row r="47" spans="1:12">
      <c r="A47" s="36">
        <v>44706</v>
      </c>
      <c r="B47" s="159" t="s">
        <v>115</v>
      </c>
      <c r="C47" s="37"/>
      <c r="D47" s="33" t="s">
        <v>138</v>
      </c>
      <c r="E47" s="33"/>
      <c r="F47" s="35"/>
      <c r="G47" s="103"/>
      <c r="H47" s="77"/>
      <c r="I47" s="169">
        <v>3.6</v>
      </c>
      <c r="J47" s="86" t="e">
        <f>I47/'통장내역(환율표)'!#REF!</f>
        <v>#REF!</v>
      </c>
      <c r="K47" s="207">
        <v>1218.3</v>
      </c>
    </row>
    <row r="48" spans="1:12">
      <c r="A48" s="57">
        <v>44706</v>
      </c>
      <c r="B48" s="173" t="s">
        <v>136</v>
      </c>
      <c r="C48" s="60">
        <v>7</v>
      </c>
      <c r="D48" s="59" t="s">
        <v>21</v>
      </c>
      <c r="E48" s="59"/>
      <c r="F48" s="61"/>
      <c r="G48" s="175"/>
      <c r="H48" s="78"/>
      <c r="I48" s="176" t="e">
        <f>J48*'통장내역(환율표)'!#REF!</f>
        <v>#REF!</v>
      </c>
      <c r="J48" s="86">
        <v>2.1762562777695726</v>
      </c>
      <c r="K48" s="207">
        <v>1218.3</v>
      </c>
    </row>
    <row r="49" spans="1:11">
      <c r="A49" s="57">
        <v>44706</v>
      </c>
      <c r="B49" s="173" t="s">
        <v>137</v>
      </c>
      <c r="C49" s="60">
        <v>7</v>
      </c>
      <c r="D49" s="59" t="s">
        <v>21</v>
      </c>
      <c r="E49" s="59"/>
      <c r="F49" s="61"/>
      <c r="G49" s="175"/>
      <c r="H49" s="78"/>
      <c r="I49" s="176" t="e">
        <f>300-I48</f>
        <v>#REF!</v>
      </c>
      <c r="J49" s="170" t="e">
        <f>I49/'통장내역(환율표)'!#REF!</f>
        <v>#REF!</v>
      </c>
      <c r="K49" s="208">
        <v>1274.5999999999999</v>
      </c>
    </row>
    <row r="50" spans="1:11">
      <c r="A50" s="36">
        <v>44706</v>
      </c>
      <c r="B50" s="159" t="s">
        <v>115</v>
      </c>
      <c r="C50" s="37"/>
      <c r="D50" s="33" t="s">
        <v>138</v>
      </c>
      <c r="E50" s="33"/>
      <c r="F50" s="35"/>
      <c r="G50" s="103"/>
      <c r="H50" s="77"/>
      <c r="I50" s="169">
        <v>3.6</v>
      </c>
      <c r="J50" s="170" t="e">
        <f>I50/'통장내역(환율표)'!#REF!</f>
        <v>#REF!</v>
      </c>
      <c r="K50" s="208">
        <v>1274.5999999999999</v>
      </c>
    </row>
    <row r="51" spans="1:11">
      <c r="A51" s="36">
        <v>44706</v>
      </c>
      <c r="B51" s="159" t="s">
        <v>120</v>
      </c>
      <c r="C51" s="37">
        <v>8</v>
      </c>
      <c r="D51" s="33" t="s">
        <v>138</v>
      </c>
      <c r="E51" s="33"/>
      <c r="F51" s="35"/>
      <c r="G51" s="103"/>
      <c r="H51" s="77"/>
      <c r="I51" s="169">
        <v>1674</v>
      </c>
      <c r="J51" s="170" t="e">
        <f>I51/'통장내역(환율표)'!#REF!</f>
        <v>#REF!</v>
      </c>
      <c r="K51" s="208">
        <v>1274.5999999999999</v>
      </c>
    </row>
    <row r="52" spans="1:11">
      <c r="A52" s="36">
        <v>44706</v>
      </c>
      <c r="B52" s="159" t="s">
        <v>115</v>
      </c>
      <c r="C52" s="37"/>
      <c r="D52" s="33" t="s">
        <v>138</v>
      </c>
      <c r="E52" s="33"/>
      <c r="F52" s="35"/>
      <c r="G52" s="103"/>
      <c r="H52" s="77"/>
      <c r="I52" s="169">
        <v>3.6</v>
      </c>
      <c r="J52" s="170" t="e">
        <f>I52/'통장내역(환율표)'!#REF!</f>
        <v>#REF!</v>
      </c>
      <c r="K52" s="208">
        <v>1274.5999999999999</v>
      </c>
    </row>
    <row r="53" spans="1:11">
      <c r="A53" s="36">
        <v>44706</v>
      </c>
      <c r="B53" s="159" t="s">
        <v>121</v>
      </c>
      <c r="C53" s="37">
        <v>9</v>
      </c>
      <c r="D53" s="33" t="s">
        <v>138</v>
      </c>
      <c r="E53" s="33"/>
      <c r="F53" s="35"/>
      <c r="G53" s="103"/>
      <c r="H53" s="77"/>
      <c r="I53" s="169">
        <v>550</v>
      </c>
      <c r="J53" s="170" t="e">
        <f>I53/'통장내역(환율표)'!#REF!</f>
        <v>#REF!</v>
      </c>
      <c r="K53" s="208">
        <v>1274.5999999999999</v>
      </c>
    </row>
    <row r="54" spans="1:11">
      <c r="A54" s="36">
        <v>44706</v>
      </c>
      <c r="B54" s="159" t="s">
        <v>115</v>
      </c>
      <c r="C54" s="37"/>
      <c r="D54" s="33" t="s">
        <v>138</v>
      </c>
      <c r="E54" s="33"/>
      <c r="F54" s="35"/>
      <c r="G54" s="103"/>
      <c r="H54" s="77"/>
      <c r="I54" s="169">
        <v>3.6</v>
      </c>
      <c r="J54" s="170" t="e">
        <f>I54/'통장내역(환율표)'!#REF!</f>
        <v>#REF!</v>
      </c>
      <c r="K54" s="208">
        <v>1274.5999999999999</v>
      </c>
    </row>
    <row r="55" spans="1:11">
      <c r="A55" s="36">
        <v>44706</v>
      </c>
      <c r="B55" s="159" t="s">
        <v>122</v>
      </c>
      <c r="C55" s="37">
        <v>10</v>
      </c>
      <c r="D55" s="33" t="s">
        <v>138</v>
      </c>
      <c r="E55" s="33"/>
      <c r="F55" s="35"/>
      <c r="G55" s="103"/>
      <c r="H55" s="77"/>
      <c r="I55" s="169">
        <v>180</v>
      </c>
      <c r="J55" s="170" t="e">
        <f>I55/'통장내역(환율표)'!#REF!</f>
        <v>#REF!</v>
      </c>
      <c r="K55" s="208">
        <v>1274.5999999999999</v>
      </c>
    </row>
    <row r="56" spans="1:11">
      <c r="A56" s="36">
        <v>44706</v>
      </c>
      <c r="B56" s="159" t="s">
        <v>115</v>
      </c>
      <c r="C56" s="37"/>
      <c r="D56" s="33" t="s">
        <v>138</v>
      </c>
      <c r="E56" s="33"/>
      <c r="F56" s="35"/>
      <c r="G56" s="103"/>
      <c r="H56" s="77"/>
      <c r="I56" s="169">
        <v>3.6</v>
      </c>
      <c r="J56" s="170" t="e">
        <f>I56/'통장내역(환율표)'!#REF!</f>
        <v>#REF!</v>
      </c>
      <c r="K56" s="208">
        <v>1274.5999999999999</v>
      </c>
    </row>
    <row r="57" spans="1:11">
      <c r="A57" s="36">
        <v>44706</v>
      </c>
      <c r="B57" s="159" t="s">
        <v>123</v>
      </c>
      <c r="C57" s="37">
        <v>11</v>
      </c>
      <c r="D57" s="33" t="s">
        <v>138</v>
      </c>
      <c r="E57" s="33"/>
      <c r="F57" s="35"/>
      <c r="G57" s="103"/>
      <c r="H57" s="77"/>
      <c r="I57" s="169">
        <v>270</v>
      </c>
      <c r="J57" s="170" t="e">
        <f>I57/'통장내역(환율표)'!#REF!</f>
        <v>#REF!</v>
      </c>
      <c r="K57" s="208">
        <v>1274.5999999999999</v>
      </c>
    </row>
    <row r="58" spans="1:11">
      <c r="A58" s="36">
        <v>44706</v>
      </c>
      <c r="B58" s="159" t="s">
        <v>115</v>
      </c>
      <c r="C58" s="37"/>
      <c r="D58" s="33" t="s">
        <v>138</v>
      </c>
      <c r="E58" s="33"/>
      <c r="F58" s="35"/>
      <c r="G58" s="103"/>
      <c r="H58" s="77"/>
      <c r="I58" s="169">
        <v>3.6</v>
      </c>
      <c r="J58" s="170" t="e">
        <f>I58/'통장내역(환율표)'!#REF!</f>
        <v>#REF!</v>
      </c>
      <c r="K58" s="208">
        <v>1274.5999999999999</v>
      </c>
    </row>
    <row r="59" spans="1:11">
      <c r="A59" s="36">
        <v>44706</v>
      </c>
      <c r="B59" s="159" t="s">
        <v>124</v>
      </c>
      <c r="C59" s="37">
        <v>12</v>
      </c>
      <c r="D59" s="33" t="s">
        <v>138</v>
      </c>
      <c r="E59" s="33"/>
      <c r="F59" s="35"/>
      <c r="G59" s="103"/>
      <c r="H59" s="77"/>
      <c r="I59" s="169">
        <v>632.9</v>
      </c>
      <c r="J59" s="170" t="e">
        <f>I59/'통장내역(환율표)'!#REF!</f>
        <v>#REF!</v>
      </c>
      <c r="K59" s="208">
        <v>1274.5999999999999</v>
      </c>
    </row>
    <row r="60" spans="1:11">
      <c r="A60" s="36">
        <v>44706</v>
      </c>
      <c r="B60" s="159" t="s">
        <v>115</v>
      </c>
      <c r="C60" s="37"/>
      <c r="D60" s="33" t="s">
        <v>138</v>
      </c>
      <c r="E60" s="33"/>
      <c r="F60" s="35"/>
      <c r="G60" s="103"/>
      <c r="H60" s="77"/>
      <c r="I60" s="169">
        <v>3.6</v>
      </c>
      <c r="J60" s="170" t="e">
        <f>I60/'통장내역(환율표)'!#REF!</f>
        <v>#REF!</v>
      </c>
      <c r="K60" s="208">
        <v>1274.5999999999999</v>
      </c>
    </row>
    <row r="61" spans="1:11">
      <c r="A61" s="36">
        <v>44706</v>
      </c>
      <c r="B61" s="159" t="s">
        <v>125</v>
      </c>
      <c r="C61" s="37">
        <v>13</v>
      </c>
      <c r="D61" s="33" t="s">
        <v>144</v>
      </c>
      <c r="E61" s="33"/>
      <c r="F61" s="35" t="s">
        <v>145</v>
      </c>
      <c r="G61" s="103"/>
      <c r="H61" s="77"/>
      <c r="I61" s="169">
        <v>1270</v>
      </c>
      <c r="J61" s="170" t="e">
        <f>I61/'통장내역(환율표)'!#REF!</f>
        <v>#REF!</v>
      </c>
      <c r="K61" s="208">
        <v>1274.5999999999999</v>
      </c>
    </row>
    <row r="62" spans="1:11">
      <c r="A62" s="36">
        <v>44706</v>
      </c>
      <c r="B62" s="159" t="s">
        <v>126</v>
      </c>
      <c r="C62" s="37"/>
      <c r="D62" s="33" t="s">
        <v>138</v>
      </c>
      <c r="E62" s="33"/>
      <c r="F62" s="35"/>
      <c r="G62" s="103"/>
      <c r="H62" s="77"/>
      <c r="I62" s="169">
        <v>3.6</v>
      </c>
      <c r="J62" s="170" t="e">
        <f>I62/'통장내역(환율표)'!#REF!</f>
        <v>#REF!</v>
      </c>
      <c r="K62" s="208">
        <v>1274.5999999999999</v>
      </c>
    </row>
    <row r="63" spans="1:11">
      <c r="A63" s="36">
        <v>44706</v>
      </c>
      <c r="B63" s="159" t="s">
        <v>127</v>
      </c>
      <c r="C63" s="37">
        <v>14</v>
      </c>
      <c r="D63" s="33" t="s">
        <v>146</v>
      </c>
      <c r="E63" s="33"/>
      <c r="F63" s="35" t="s">
        <v>147</v>
      </c>
      <c r="G63" s="103"/>
      <c r="H63" s="77"/>
      <c r="I63" s="169">
        <v>7166</v>
      </c>
      <c r="J63" s="170" t="e">
        <f>I63/'통장내역(환율표)'!#REF!</f>
        <v>#REF!</v>
      </c>
      <c r="K63" s="208">
        <v>1274.5999999999999</v>
      </c>
    </row>
    <row r="64" spans="1:11">
      <c r="A64" s="36">
        <v>44706</v>
      </c>
      <c r="B64" s="159" t="s">
        <v>126</v>
      </c>
      <c r="C64" s="37"/>
      <c r="D64" s="33" t="s">
        <v>138</v>
      </c>
      <c r="E64" s="33"/>
      <c r="F64" s="35"/>
      <c r="G64" s="103"/>
      <c r="H64" s="77"/>
      <c r="I64" s="169">
        <v>3.6</v>
      </c>
      <c r="J64" s="170" t="e">
        <f>I64/'통장내역(환율표)'!#REF!</f>
        <v>#REF!</v>
      </c>
      <c r="K64" s="208">
        <v>1274.5999999999999</v>
      </c>
    </row>
    <row r="65" spans="1:12">
      <c r="A65" s="36">
        <v>44706</v>
      </c>
      <c r="B65" s="159" t="s">
        <v>128</v>
      </c>
      <c r="C65" s="37">
        <v>15</v>
      </c>
      <c r="D65" s="33" t="s">
        <v>144</v>
      </c>
      <c r="E65" s="33"/>
      <c r="F65" s="35" t="s">
        <v>145</v>
      </c>
      <c r="G65" s="103"/>
      <c r="H65" s="77"/>
      <c r="I65" s="169">
        <v>179</v>
      </c>
      <c r="J65" s="170" t="e">
        <f>I65/'통장내역(환율표)'!#REF!</f>
        <v>#REF!</v>
      </c>
      <c r="K65" s="208">
        <v>1274.5999999999999</v>
      </c>
    </row>
    <row r="66" spans="1:12">
      <c r="A66" s="36">
        <v>44706</v>
      </c>
      <c r="B66" s="159" t="s">
        <v>126</v>
      </c>
      <c r="C66" s="37"/>
      <c r="D66" s="33" t="s">
        <v>138</v>
      </c>
      <c r="E66" s="33"/>
      <c r="F66" s="35"/>
      <c r="G66" s="103"/>
      <c r="H66" s="77"/>
      <c r="I66" s="169">
        <v>3.6</v>
      </c>
      <c r="J66" s="170" t="e">
        <f>I66/'통장내역(환율표)'!#REF!</f>
        <v>#REF!</v>
      </c>
      <c r="K66" s="208">
        <v>1274.5999999999999</v>
      </c>
    </row>
    <row r="67" spans="1:12">
      <c r="L67" t="e">
        <f>SUBTOTAL(9,L14:L66)</f>
        <v>#REF!</v>
      </c>
    </row>
  </sheetData>
  <autoFilter ref="A2:O66" xr:uid="{00000000-0009-0000-0000-000016000000}"/>
  <mergeCells count="7">
    <mergeCell ref="I1:J1"/>
    <mergeCell ref="A1:A2"/>
    <mergeCell ref="C1:C2"/>
    <mergeCell ref="D1:D2"/>
    <mergeCell ref="F1:F2"/>
    <mergeCell ref="G1:H1"/>
    <mergeCell ref="B1:B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64</vt:i4>
      </vt:variant>
      <vt:variant>
        <vt:lpstr>이름 지정된 범위</vt:lpstr>
      </vt:variant>
      <vt:variant>
        <vt:i4>2</vt:i4>
      </vt:variant>
    </vt:vector>
  </HeadingPairs>
  <TitlesOfParts>
    <vt:vector size="66" baseType="lpstr">
      <vt:lpstr>통장내역(환율표)</vt:lpstr>
      <vt:lpstr>내역_22.03</vt:lpstr>
      <vt:lpstr>내역_22.04</vt:lpstr>
      <vt:lpstr>내역_22.05</vt:lpstr>
      <vt:lpstr>내역_22.06</vt:lpstr>
      <vt:lpstr>내역_22.07</vt:lpstr>
      <vt:lpstr>내역_22.07 (수정)</vt:lpstr>
      <vt:lpstr>내역_22.08</vt:lpstr>
      <vt:lpstr>내역_22.09</vt:lpstr>
      <vt:lpstr>내역_22.10</vt:lpstr>
      <vt:lpstr>내역_22.11</vt:lpstr>
      <vt:lpstr>내역_22.12</vt:lpstr>
      <vt:lpstr>내역_23.01</vt:lpstr>
      <vt:lpstr>내역_23.02</vt:lpstr>
      <vt:lpstr>내역_23.03</vt:lpstr>
      <vt:lpstr>내역_23.04</vt:lpstr>
      <vt:lpstr>내역_23.05</vt:lpstr>
      <vt:lpstr>6월 업무추진비</vt:lpstr>
      <vt:lpstr>내역_23.06</vt:lpstr>
      <vt:lpstr>내역_23.07</vt:lpstr>
      <vt:lpstr>내역_23.08</vt:lpstr>
      <vt:lpstr>8월 기사 야근</vt:lpstr>
      <vt:lpstr>내역_23.09</vt:lpstr>
      <vt:lpstr>내역_23.10</vt:lpstr>
      <vt:lpstr>내역_23.11</vt:lpstr>
      <vt:lpstr>내역_23.12</vt:lpstr>
      <vt:lpstr>내역_24.01</vt:lpstr>
      <vt:lpstr>내역_24.02</vt:lpstr>
      <vt:lpstr>내역_24.03</vt:lpstr>
      <vt:lpstr>내역_24.04</vt:lpstr>
      <vt:lpstr>내역_24.05</vt:lpstr>
      <vt:lpstr>내역_24.06</vt:lpstr>
      <vt:lpstr>내역_24.07</vt:lpstr>
      <vt:lpstr>내역_24.08</vt:lpstr>
      <vt:lpstr>내역_24.09</vt:lpstr>
      <vt:lpstr>내역_24.10</vt:lpstr>
      <vt:lpstr>내역_24.11</vt:lpstr>
      <vt:lpstr>내역_24.12</vt:lpstr>
      <vt:lpstr>내역_25.01</vt:lpstr>
      <vt:lpstr>내역_25.02</vt:lpstr>
      <vt:lpstr>내역_25.03</vt:lpstr>
      <vt:lpstr>내역_25.04</vt:lpstr>
      <vt:lpstr>내역_25.05</vt:lpstr>
      <vt:lpstr>25.07</vt:lpstr>
      <vt:lpstr>25.08</vt:lpstr>
      <vt:lpstr>25.09</vt:lpstr>
      <vt:lpstr>25.10</vt:lpstr>
      <vt:lpstr>25.11</vt:lpstr>
      <vt:lpstr>25.12</vt:lpstr>
      <vt:lpstr>26.01</vt:lpstr>
      <vt:lpstr>26.02</vt:lpstr>
      <vt:lpstr>26.03</vt:lpstr>
      <vt:lpstr>26.04</vt:lpstr>
      <vt:lpstr>26.05</vt:lpstr>
      <vt:lpstr>통장지급내역</vt:lpstr>
      <vt:lpstr>당월 업무추진비</vt:lpstr>
      <vt:lpstr>기사 야근 일지</vt:lpstr>
      <vt:lpstr>업무추진비</vt:lpstr>
      <vt:lpstr>12월 업무추진비</vt:lpstr>
      <vt:lpstr>기사 야근일지</vt:lpstr>
      <vt:lpstr>9월 10월 기사 야근</vt:lpstr>
      <vt:lpstr>10월 업무추진비</vt:lpstr>
      <vt:lpstr>9월 업무추진비</vt:lpstr>
      <vt:lpstr>세부내역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이현주_SCM팀 (LEE HYUN JU)</cp:lastModifiedBy>
  <cp:lastPrinted>2025-06-30T00:12:53Z</cp:lastPrinted>
  <dcterms:created xsi:type="dcterms:W3CDTF">2022-03-30T06:37:23Z</dcterms:created>
  <dcterms:modified xsi:type="dcterms:W3CDTF">2026-06-26T06:16:28Z</dcterms:modified>
</cp:coreProperties>
</file>