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борудование" sheetId="1" state="visible" r:id="rId3"/>
    <sheet name="Кружка" sheetId="2" state="visible" r:id="rId4"/>
    <sheet name="Кувшин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<sst xmlns="http://schemas.openxmlformats.org/spreadsheetml/2006/main" count="208" uniqueCount="39">
  <si>
    <t xml:space="preserve">Радиус капли</t>
  </si>
  <si>
    <t xml:space="preserve">Vшпр, мл</t>
  </si>
  <si>
    <t xml:space="preserve">N</t>
  </si>
  <si>
    <t xml:space="preserve">V1, мл</t>
  </si>
  <si>
    <t xml:space="preserve">r1, см</t>
  </si>
  <si>
    <t xml:space="preserve">rср, мм</t>
  </si>
  <si>
    <t xml:space="preserve">Линейка</t>
  </si>
  <si>
    <r>
      <rPr>
        <sz val="10"/>
        <color theme="1"/>
        <rFont val="Calibri"/>
        <family val="2"/>
        <charset val="1"/>
      </rPr>
      <t xml:space="preserve">σ</t>
    </r>
    <r>
      <rPr>
        <sz val="10"/>
        <color theme="1"/>
        <rFont val="Arial"/>
        <family val="0"/>
        <charset val="1"/>
      </rPr>
      <t xml:space="preserve">h, см</t>
    </r>
  </si>
  <si>
    <t xml:space="preserve">Фотошоп</t>
  </si>
  <si>
    <r>
      <rPr>
        <sz val="10"/>
        <color theme="1"/>
        <rFont val="Calibri"/>
        <family val="2"/>
        <charset val="1"/>
      </rPr>
      <t xml:space="preserve">σ</t>
    </r>
    <r>
      <rPr>
        <sz val="10"/>
        <color theme="1"/>
        <rFont val="Arial"/>
        <family val="0"/>
        <charset val="1"/>
      </rPr>
      <t xml:space="preserve">h, мм</t>
    </r>
  </si>
  <si>
    <t xml:space="preserve">σ, Н/м</t>
  </si>
  <si>
    <t xml:space="preserve">ρ, кг/м^3</t>
  </si>
  <si>
    <t xml:space="preserve">g, Н/м</t>
  </si>
  <si>
    <t xml:space="preserve">2σ/ρg</t>
  </si>
  <si>
    <t xml:space="preserve">.</t>
  </si>
  <si>
    <t xml:space="preserve">h1, см</t>
  </si>
  <si>
    <t xml:space="preserve">h2, см</t>
  </si>
  <si>
    <t xml:space="preserve">h, см</t>
  </si>
  <si>
    <t xml:space="preserve">R, мм</t>
  </si>
  <si>
    <t xml:space="preserve">l, мм</t>
  </si>
  <si>
    <t xml:space="preserve">dc, мм</t>
  </si>
  <si>
    <t xml:space="preserve">rc, мм</t>
  </si>
  <si>
    <t xml:space="preserve">lrc, мм^2</t>
  </si>
  <si>
    <t xml:space="preserve">Rтеор, мм</t>
  </si>
  <si>
    <t xml:space="preserve">lrcтеор, мм^2</t>
  </si>
  <si>
    <t xml:space="preserve">(R^2+2s/rg)^2, мм^4</t>
  </si>
  <si>
    <t xml:space="preserve">(Rтеор^2+2s/rg)^2, мм^4</t>
  </si>
  <si>
    <t xml:space="preserve">(lrc^2+2s/rg)^2, мм^4</t>
  </si>
  <si>
    <t xml:space="preserve">(lrcтеор^2+2s/rg)^2, мм^4</t>
  </si>
  <si>
    <t xml:space="preserve">R(h)</t>
  </si>
  <si>
    <t xml:space="preserve">k</t>
  </si>
  <si>
    <t xml:space="preserve">b</t>
  </si>
  <si>
    <t xml:space="preserve">lrc(h)</t>
  </si>
  <si>
    <t xml:space="preserve">Быстро</t>
  </si>
  <si>
    <t xml:space="preserve">val</t>
  </si>
  <si>
    <t xml:space="preserve">stderr</t>
  </si>
  <si>
    <t xml:space="preserve">Average</t>
  </si>
  <si>
    <t xml:space="preserve">Stdev</t>
  </si>
  <si>
    <t xml:space="preserve">Relative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</si>
</sst>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0"/>
    <numFmt numFmtId="166" formatCode="0.000"/>
    <numFmt numFmtId="167" formatCode="0"/>
    <numFmt numFmtId="168" formatCode="0.0"/>
    <numFmt numFmtId="169" formatCode="0.00"/>
    <numFmt numFmtId="170" formatCode="0%"/>
    <numFmt numFmtId="171" formatCode="0.0%"/>
    <numFmt numFmtId="172" formatCode="0.00%"/>
  </numFmts>
  <fonts count="1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595959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AFD095"/>
        <bgColor rgb="FFA9D18E"/>
      </patternFill>
    </fill>
    <fill>
      <patternFill patternType="solid">
        <fgColor rgb="FFFF6D6D"/>
        <bgColor rgb="FFED7D31"/>
      </patternFill>
    </fill>
    <fill>
      <patternFill patternType="solid">
        <fgColor theme="9" tint="0.3999"/>
        <bgColor rgb="FFAFD095"/>
      </patternFill>
    </fill>
    <fill>
      <patternFill patternType="solid">
        <fgColor theme="5" tint="0.3999"/>
        <bgColor rgb="FFF8CBAD"/>
      </patternFill>
    </fill>
    <fill>
      <patternFill patternType="solid">
        <fgColor theme="5" tint="0.5999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1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FD095"/>
      <rgbColor rgb="FFF4B183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59595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R(h) стакан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Кружка!$M$2:$M$6</c:f>
              <c:numCache>
                <c:formatCode>General</c:formatCode>
                <c:ptCount val="5"/>
                <c:pt idx="0">
                  <c:v>9.666</c:v>
                </c:pt>
                <c:pt idx="1">
                  <c:v>8.84666666666667</c:v>
                </c:pt>
                <c:pt idx="2">
                  <c:v>8.82375</c:v>
                </c:pt>
                <c:pt idx="3">
                  <c:v>8.515</c:v>
                </c:pt>
                <c:pt idx="4">
                  <c:v>8.27125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Кружка!$N$2:$N$6</c:f>
              <c:numCache>
                <c:formatCode>General</c:formatCode>
                <c:ptCount val="5"/>
                <c:pt idx="0">
                  <c:v>11.4478823815108</c:v>
                </c:pt>
                <c:pt idx="1">
                  <c:v>11.0385771011781</c:v>
                </c:pt>
                <c:pt idx="2">
                  <c:v>10.582072007057</c:v>
                </c:pt>
                <c:pt idx="3">
                  <c:v>10.063522805223</c:v>
                </c:pt>
                <c:pt idx="4">
                  <c:v>9.45917228536767</c:v>
                </c:pt>
              </c:numCache>
            </c:numRef>
          </c:yVal>
          <c:smooth val="0"/>
        </c:ser>
        <c:axId val="8953176"/>
        <c:axId val="4756746"/>
      </c:scatterChart>
      <c:valAx>
        <c:axId val="8953176"/>
        <c:scaling>
          <c:orientation val="minMax"/>
          <c:max val="42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56746"/>
        <c:crosses val="autoZero"/>
        <c:crossBetween val="midCat"/>
      </c:valAx>
      <c:valAx>
        <c:axId val="4756746"/>
        <c:scaling>
          <c:orientation val="minMax"/>
          <c:max val="11.6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R, мм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5317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lrc(h) стакан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Кружка!$P$2:$P$6</c:f>
              <c:numCache>
                <c:formatCode>General</c:formatCode>
                <c:ptCount val="5"/>
                <c:pt idx="0">
                  <c:v>81.22631</c:v>
                </c:pt>
                <c:pt idx="1">
                  <c:v>70.2978666666667</c:v>
                </c:pt>
                <c:pt idx="2">
                  <c:v>48.54745</c:v>
                </c:pt>
                <c:pt idx="3">
                  <c:v>47.103375</c:v>
                </c:pt>
                <c:pt idx="4">
                  <c:v>35.37345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Кружка!$Q$2:$Q$6</c:f>
              <c:numCache>
                <c:formatCode>General</c:formatCode>
                <c:ptCount val="5"/>
                <c:pt idx="0">
                  <c:v>88.8507842050253</c:v>
                </c:pt>
                <c:pt idx="1">
                  <c:v>82.3784146860345</c:v>
                </c:pt>
                <c:pt idx="2">
                  <c:v>75.4433248484876</c:v>
                </c:pt>
                <c:pt idx="3">
                  <c:v>67.9293108285628</c:v>
                </c:pt>
                <c:pt idx="4">
                  <c:v>59.6614553642688</c:v>
                </c:pt>
              </c:numCache>
            </c:numRef>
          </c:yVal>
          <c:smooth val="0"/>
        </c:ser>
        <c:axId val="97052762"/>
        <c:axId val="95473118"/>
      </c:scatterChart>
      <c:valAx>
        <c:axId val="97052762"/>
        <c:scaling>
          <c:orientation val="minMax"/>
          <c:max val="42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473118"/>
        <c:crosses val="autoZero"/>
        <c:crossBetween val="midCat"/>
      </c:valAx>
      <c:valAx>
        <c:axId val="95473118"/>
        <c:scaling>
          <c:orientation val="minMax"/>
          <c:max val="95"/>
          <c:min val="3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lrc, мм^2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0527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(R^2+2σ/ρg)^2(h) стакан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Кружка!$R$2:$R$6</c:f>
              <c:numCache>
                <c:formatCode>General</c:formatCode>
                <c:ptCount val="5"/>
                <c:pt idx="0">
                  <c:v>11726.7469861828</c:v>
                </c:pt>
                <c:pt idx="1">
                  <c:v>8671.71820426118</c:v>
                </c:pt>
                <c:pt idx="2">
                  <c:v>8596.46317902496</c:v>
                </c:pt>
                <c:pt idx="3">
                  <c:v>7632.42912472209</c:v>
                </c:pt>
                <c:pt idx="4">
                  <c:v>6934.24700740681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Кружка!$S$2:$S$6</c:f>
              <c:numCache>
                <c:formatCode>General</c:formatCode>
                <c:ptCount val="5"/>
                <c:pt idx="0">
                  <c:v>21290.4753675971</c:v>
                </c:pt>
                <c:pt idx="1">
                  <c:v>18689.2779763281</c:v>
                </c:pt>
                <c:pt idx="2">
                  <c:v>16088.0805850591</c:v>
                </c:pt>
                <c:pt idx="3">
                  <c:v>13486.8831937901</c:v>
                </c:pt>
                <c:pt idx="4">
                  <c:v>10885.6858025211</c:v>
                </c:pt>
              </c:numCache>
            </c:numRef>
          </c:yVal>
          <c:smooth val="0"/>
        </c:ser>
        <c:axId val="42047561"/>
        <c:axId val="4395140"/>
      </c:scatterChart>
      <c:valAx>
        <c:axId val="42047561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95140"/>
        <c:crosses val="autoZero"/>
        <c:crossBetween val="midCat"/>
      </c:valAx>
      <c:valAx>
        <c:axId val="4395140"/>
        <c:scaling>
          <c:orientation val="minMax"/>
          <c:min val="65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(R^2+2σ/ρg)^2, мм^4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04756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(lrc+2σ/ρg)^2(h) стакан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Кружка!$T$2:$T$6</c:f>
              <c:numCache>
                <c:formatCode>General</c:formatCode>
                <c:ptCount val="5"/>
                <c:pt idx="0">
                  <c:v>9232.30025794828</c:v>
                </c:pt>
                <c:pt idx="1">
                  <c:v>7251.61524343194</c:v>
                </c:pt>
                <c:pt idx="2">
                  <c:v>4020.32079424752</c:v>
                </c:pt>
                <c:pt idx="3">
                  <c:v>3839.28010890406</c:v>
                </c:pt>
                <c:pt idx="4">
                  <c:v>2523.25379092252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Кружка!$L$2:$L$6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Кружка!$U$2:$U$6</c:f>
              <c:numCache>
                <c:formatCode>General</c:formatCode>
                <c:ptCount val="5"/>
                <c:pt idx="0">
                  <c:v>10755.6259329576</c:v>
                </c:pt>
                <c:pt idx="1">
                  <c:v>9455.02723732315</c:v>
                </c:pt>
                <c:pt idx="2">
                  <c:v>8154.42854168865</c:v>
                </c:pt>
                <c:pt idx="3">
                  <c:v>6853.82984605416</c:v>
                </c:pt>
                <c:pt idx="4">
                  <c:v>5553.23115041966</c:v>
                </c:pt>
              </c:numCache>
            </c:numRef>
          </c:yVal>
          <c:smooth val="0"/>
        </c:ser>
        <c:axId val="32637619"/>
        <c:axId val="90661849"/>
      </c:scatterChart>
      <c:valAx>
        <c:axId val="32637619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661849"/>
        <c:crosses val="autoZero"/>
        <c:crossBetween val="midCat"/>
      </c:valAx>
      <c:valAx>
        <c:axId val="90661849"/>
        <c:scaling>
          <c:orientation val="minMax"/>
          <c:min val="22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(lrc+2σ/ρg)^2, мм^4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63761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R(h) кувшин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Кувшин!$M$2:$M$6</c:f>
              <c:numCache>
                <c:formatCode>General</c:formatCode>
                <c:ptCount val="5"/>
                <c:pt idx="0">
                  <c:v>12.18125</c:v>
                </c:pt>
                <c:pt idx="1">
                  <c:v>11.789</c:v>
                </c:pt>
                <c:pt idx="2">
                  <c:v>11.24</c:v>
                </c:pt>
                <c:pt idx="3">
                  <c:v>10.4625</c:v>
                </c:pt>
                <c:pt idx="4">
                  <c:v>10.445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Кувшин!$N$2:$N$6</c:f>
              <c:numCache>
                <c:formatCode>General</c:formatCode>
                <c:ptCount val="5"/>
                <c:pt idx="0">
                  <c:v>11.3930124137296</c:v>
                </c:pt>
                <c:pt idx="1">
                  <c:v>10.9777830909186</c:v>
                </c:pt>
                <c:pt idx="2">
                  <c:v>10.5136329564575</c:v>
                </c:pt>
                <c:pt idx="3">
                  <c:v>9.98478202823779</c:v>
                </c:pt>
                <c:pt idx="4">
                  <c:v>9.36567681253735</c:v>
                </c:pt>
              </c:numCache>
            </c:numRef>
          </c:yVal>
          <c:smooth val="0"/>
        </c:ser>
        <c:axId val="24120270"/>
        <c:axId val="68448561"/>
      </c:scatterChart>
      <c:valAx>
        <c:axId val="24120270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448561"/>
        <c:crosses val="autoZero"/>
        <c:crossBetween val="midCat"/>
      </c:valAx>
      <c:valAx>
        <c:axId val="68448561"/>
        <c:scaling>
          <c:orientation val="minMax"/>
          <c:max val="12.5"/>
          <c:min val="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R, мм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12027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lrc(h) кувшин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Кувшин!$O$2:$O$6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Кувшин!$P$2:$P$6</c:f>
              <c:numCache>
                <c:formatCode>General</c:formatCode>
                <c:ptCount val="5"/>
                <c:pt idx="0">
                  <c:v>58.4803125</c:v>
                </c:pt>
                <c:pt idx="1">
                  <c:v>55.30303</c:v>
                </c:pt>
                <c:pt idx="2">
                  <c:v>46.6213357142857</c:v>
                </c:pt>
                <c:pt idx="3">
                  <c:v>35.38071875</c:v>
                </c:pt>
                <c:pt idx="4">
                  <c:v>27.8266416666667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Кувшин!$Q$2:$Q$6</c:f>
              <c:numCache>
                <c:formatCode>General</c:formatCode>
                <c:ptCount val="5"/>
                <c:pt idx="0">
                  <c:v>87.969180614267</c:v>
                </c:pt>
                <c:pt idx="1">
                  <c:v>81.4375739268993</c:v>
                </c:pt>
                <c:pt idx="2">
                  <c:v>74.4294378992434</c:v>
                </c:pt>
                <c:pt idx="3">
                  <c:v>66.8222071123801</c:v>
                </c:pt>
                <c:pt idx="4">
                  <c:v>58.4295621416743</c:v>
                </c:pt>
              </c:numCache>
            </c:numRef>
          </c:yVal>
          <c:smooth val="0"/>
        </c:ser>
        <c:axId val="8628226"/>
        <c:axId val="24032096"/>
      </c:scatterChart>
      <c:valAx>
        <c:axId val="8628226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32096"/>
        <c:crosses val="autoZero"/>
        <c:crossBetween val="midCat"/>
      </c:valAx>
      <c:valAx>
        <c:axId val="24032096"/>
        <c:scaling>
          <c:orientation val="minMax"/>
          <c:max val="95"/>
          <c:min val="2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lrc, мм^2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2822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(R^2+2σ/ρg)^2(h) кувшин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Кувшин!$R$2:$R$6</c:f>
              <c:numCache>
                <c:formatCode>General</c:formatCode>
                <c:ptCount val="5"/>
                <c:pt idx="0">
                  <c:v>26647.7550765959</c:v>
                </c:pt>
                <c:pt idx="1">
                  <c:v>23666.4596648409</c:v>
                </c:pt>
                <c:pt idx="2">
                  <c:v>19936.3526818457</c:v>
                </c:pt>
                <c:pt idx="3">
                  <c:v>15456.0730461675</c:v>
                </c:pt>
                <c:pt idx="4">
                  <c:v>15365.2324041059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Кувшин!$S$2:$S$6</c:f>
              <c:numCache>
                <c:formatCode>General</c:formatCode>
                <c:ptCount val="5"/>
                <c:pt idx="0">
                  <c:v>20926.3077328194</c:v>
                </c:pt>
                <c:pt idx="1">
                  <c:v>18325.1103415504</c:v>
                </c:pt>
                <c:pt idx="2">
                  <c:v>15723.9129502814</c:v>
                </c:pt>
                <c:pt idx="3">
                  <c:v>13122.7155590124</c:v>
                </c:pt>
                <c:pt idx="4">
                  <c:v>10521.5181677434</c:v>
                </c:pt>
              </c:numCache>
            </c:numRef>
          </c:yVal>
          <c:smooth val="0"/>
        </c:ser>
        <c:axId val="90146479"/>
        <c:axId val="64224065"/>
      </c:scatterChart>
      <c:valAx>
        <c:axId val="90146479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224065"/>
        <c:crosses val="autoZero"/>
        <c:crossBetween val="midCat"/>
      </c:valAx>
      <c:valAx>
        <c:axId val="64224065"/>
        <c:scaling>
          <c:orientation val="minMax"/>
          <c:min val="1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(R^2+2σ/ρg)^2, мм^4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4647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(lrc+2σ/ρg)^2(h) кувшин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Кувшин!$T$2:$T$6</c:f>
              <c:numCache>
                <c:formatCode>General</c:formatCode>
                <c:ptCount val="5"/>
                <c:pt idx="0">
                  <c:v>5378.58870450069</c:v>
                </c:pt>
                <c:pt idx="1">
                  <c:v>4922.64726189541</c:v>
                </c:pt>
                <c:pt idx="2">
                  <c:v>3779.77630695749</c:v>
                </c:pt>
                <c:pt idx="3">
                  <c:v>2523.98409145246</c:v>
                </c:pt>
                <c:pt idx="4">
                  <c:v>1822.02555951212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"Theoretical"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Кувшин!$L$2:$L$6</c:f>
              <c:numCache>
                <c:formatCode>General</c:formatCode>
                <c:ptCount val="5"/>
                <c:pt idx="0">
                  <c:v>39.8</c:v>
                </c:pt>
                <c:pt idx="1">
                  <c:v>34.8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Кувшин!$U$2:$U$6</c:f>
              <c:numCache>
                <c:formatCode>General</c:formatCode>
                <c:ptCount val="5"/>
                <c:pt idx="0">
                  <c:v>10573.5421155688</c:v>
                </c:pt>
                <c:pt idx="1">
                  <c:v>9272.94341993432</c:v>
                </c:pt>
                <c:pt idx="2">
                  <c:v>7972.34472429982</c:v>
                </c:pt>
                <c:pt idx="3">
                  <c:v>6671.74602866533</c:v>
                </c:pt>
                <c:pt idx="4">
                  <c:v>5371.14733303083</c:v>
                </c:pt>
              </c:numCache>
            </c:numRef>
          </c:yVal>
          <c:smooth val="0"/>
        </c:ser>
        <c:axId val="67257401"/>
        <c:axId val="3799466"/>
      </c:scatterChart>
      <c:valAx>
        <c:axId val="67257401"/>
        <c:scaling>
          <c:orientation val="minMax"/>
          <c:max val="42"/>
          <c:min val="1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h, см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99466"/>
        <c:crosses val="autoZero"/>
        <c:crossBetween val="midCat"/>
      </c:valAx>
      <c:valAx>
        <c:axId val="3799466"/>
        <c:scaling>
          <c:orientation val="minMax"/>
          <c:min val="17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(lrc+2σ/ρg)^2, мм^4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25740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589680</xdr:colOff>
      <xdr:row>6</xdr:row>
      <xdr:rowOff>145800</xdr:rowOff>
    </xdr:from>
    <xdr:to>
      <xdr:col>19</xdr:col>
      <xdr:colOff>578160</xdr:colOff>
      <xdr:row>41</xdr:row>
      <xdr:rowOff>54720</xdr:rowOff>
    </xdr:to>
    <xdr:graphicFrame>
      <xdr:nvGraphicFramePr>
        <xdr:cNvPr id="0" name="Chart 1"/>
        <xdr:cNvGraphicFramePr/>
      </xdr:nvGraphicFramePr>
      <xdr:xfrm>
        <a:off x="6845040" y="1126800"/>
        <a:ext cx="7353360" cy="56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210960</xdr:colOff>
      <xdr:row>20</xdr:row>
      <xdr:rowOff>158400</xdr:rowOff>
    </xdr:from>
    <xdr:to>
      <xdr:col>33</xdr:col>
      <xdr:colOff>265320</xdr:colOff>
      <xdr:row>55</xdr:row>
      <xdr:rowOff>87120</xdr:rowOff>
    </xdr:to>
    <xdr:graphicFrame>
      <xdr:nvGraphicFramePr>
        <xdr:cNvPr id="1" name="Chart 2"/>
        <xdr:cNvGraphicFramePr/>
      </xdr:nvGraphicFramePr>
      <xdr:xfrm>
        <a:off x="17348400" y="3455280"/>
        <a:ext cx="7302960" cy="565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43</xdr:row>
      <xdr:rowOff>9000</xdr:rowOff>
    </xdr:from>
    <xdr:to>
      <xdr:col>19</xdr:col>
      <xdr:colOff>1275120</xdr:colOff>
      <xdr:row>77</xdr:row>
      <xdr:rowOff>145440</xdr:rowOff>
    </xdr:to>
    <xdr:graphicFrame>
      <xdr:nvGraphicFramePr>
        <xdr:cNvPr id="2" name="Chart 3"/>
        <xdr:cNvGraphicFramePr/>
      </xdr:nvGraphicFramePr>
      <xdr:xfrm>
        <a:off x="6859440" y="7068240"/>
        <a:ext cx="8035920" cy="567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340560</xdr:colOff>
      <xdr:row>42</xdr:row>
      <xdr:rowOff>134640</xdr:rowOff>
    </xdr:from>
    <xdr:to>
      <xdr:col>32</xdr:col>
      <xdr:colOff>28800</xdr:colOff>
      <xdr:row>77</xdr:row>
      <xdr:rowOff>100800</xdr:rowOff>
    </xdr:to>
    <xdr:graphicFrame>
      <xdr:nvGraphicFramePr>
        <xdr:cNvPr id="3" name="Chart 5"/>
        <xdr:cNvGraphicFramePr/>
      </xdr:nvGraphicFramePr>
      <xdr:xfrm>
        <a:off x="15276240" y="7031880"/>
        <a:ext cx="8534520" cy="56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8</xdr:row>
      <xdr:rowOff>0</xdr:rowOff>
    </xdr:from>
    <xdr:to>
      <xdr:col>20</xdr:col>
      <xdr:colOff>44640</xdr:colOff>
      <xdr:row>42</xdr:row>
      <xdr:rowOff>14040</xdr:rowOff>
    </xdr:to>
    <xdr:graphicFrame>
      <xdr:nvGraphicFramePr>
        <xdr:cNvPr id="4" name="Chart 1"/>
        <xdr:cNvGraphicFramePr/>
      </xdr:nvGraphicFramePr>
      <xdr:xfrm>
        <a:off x="6642720" y="1306080"/>
        <a:ext cx="8043840" cy="556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255240</xdr:colOff>
      <xdr:row>22</xdr:row>
      <xdr:rowOff>124560</xdr:rowOff>
    </xdr:from>
    <xdr:to>
      <xdr:col>29</xdr:col>
      <xdr:colOff>528480</xdr:colOff>
      <xdr:row>56</xdr:row>
      <xdr:rowOff>131400</xdr:rowOff>
    </xdr:to>
    <xdr:graphicFrame>
      <xdr:nvGraphicFramePr>
        <xdr:cNvPr id="5" name="Chart 2"/>
        <xdr:cNvGraphicFramePr/>
      </xdr:nvGraphicFramePr>
      <xdr:xfrm>
        <a:off x="14897160" y="3709800"/>
        <a:ext cx="7538760" cy="556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43</xdr:row>
      <xdr:rowOff>0</xdr:rowOff>
    </xdr:from>
    <xdr:to>
      <xdr:col>20</xdr:col>
      <xdr:colOff>44640</xdr:colOff>
      <xdr:row>77</xdr:row>
      <xdr:rowOff>41040</xdr:rowOff>
    </xdr:to>
    <xdr:graphicFrame>
      <xdr:nvGraphicFramePr>
        <xdr:cNvPr id="6" name="Chart 3"/>
        <xdr:cNvGraphicFramePr/>
      </xdr:nvGraphicFramePr>
      <xdr:xfrm>
        <a:off x="6642720" y="7023600"/>
        <a:ext cx="8043840" cy="55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268920</xdr:colOff>
      <xdr:row>43</xdr:row>
      <xdr:rowOff>-720</xdr:rowOff>
    </xdr:from>
    <xdr:to>
      <xdr:col>31</xdr:col>
      <xdr:colOff>564480</xdr:colOff>
      <xdr:row>77</xdr:row>
      <xdr:rowOff>32040</xdr:rowOff>
    </xdr:to>
    <xdr:graphicFrame>
      <xdr:nvGraphicFramePr>
        <xdr:cNvPr id="7" name="Chart 4"/>
        <xdr:cNvGraphicFramePr/>
      </xdr:nvGraphicFramePr>
      <xdr:xfrm>
        <a:off x="14910840" y="7022880"/>
        <a:ext cx="8768880" cy="556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2" activeCellId="0" sqref="Q2"/>
    </sheetView>
  </sheetViews>
  <sheetFormatPr defaultColWidth="8.5703125" defaultRowHeight="12.75" zeroHeight="false" outlineLevelRow="0" outlineLevelCol="0"/>
  <cols>
    <col collapsed="false" customWidth="true" hidden="false" outlineLevel="0" max="1" min="1" style="0" width="14"/>
    <col collapsed="false" customWidth="true" hidden="false" outlineLevel="0" max="6" min="2" style="0" width="11.89"/>
    <col collapsed="false" customWidth="true" hidden="false" outlineLevel="0" max="17" min="17" style="0" width="12.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  <c r="I1" s="2" t="s">
        <v>7</v>
      </c>
      <c r="K1" s="0" t="s">
        <v>8</v>
      </c>
      <c r="L1" s="2" t="s">
        <v>9</v>
      </c>
      <c r="N1" s="0" t="s">
        <v>10</v>
      </c>
      <c r="O1" s="0" t="s">
        <v>11</v>
      </c>
      <c r="P1" s="0" t="s">
        <v>12</v>
      </c>
      <c r="Q1" s="0" t="s">
        <v>13</v>
      </c>
    </row>
    <row r="2" customFormat="false" ht="12.75" hidden="false" customHeight="false" outlineLevel="0" collapsed="false">
      <c r="A2" s="1"/>
      <c r="B2" s="1" t="n">
        <v>2.5</v>
      </c>
      <c r="C2" s="1" t="n">
        <v>63</v>
      </c>
      <c r="D2" s="3" t="n">
        <f aca="false">$B$2/C2</f>
        <v>0.0396825396825397</v>
      </c>
      <c r="E2" s="3" t="n">
        <f aca="false">(0.75*D2/PI())^(1/3)</f>
        <v>0.211594130591911</v>
      </c>
      <c r="F2" s="4" t="n">
        <f aca="false">AVERAGE(E2:E6)*10</f>
        <v>2.13665724206877</v>
      </c>
      <c r="I2" s="5" t="n">
        <v>1</v>
      </c>
      <c r="L2" s="5" t="n">
        <v>3</v>
      </c>
      <c r="N2" s="0" t="n">
        <f aca="false">72.75*10^-3</f>
        <v>0.07275</v>
      </c>
      <c r="O2" s="0" t="n">
        <v>998.2</v>
      </c>
      <c r="P2" s="0" t="n">
        <f aca="false">9.81</f>
        <v>9.81</v>
      </c>
      <c r="Q2" s="0" t="n">
        <f aca="false">2*N2/(O2*P2)</f>
        <v>1.48585496707529E-005</v>
      </c>
    </row>
    <row r="3" customFormat="false" ht="12.75" hidden="false" customHeight="false" outlineLevel="0" collapsed="false">
      <c r="A3" s="1"/>
      <c r="B3" s="1"/>
      <c r="C3" s="1" t="n">
        <v>60</v>
      </c>
      <c r="D3" s="3" t="n">
        <f aca="false">$B$2/C3</f>
        <v>0.0416666666666667</v>
      </c>
      <c r="E3" s="3" t="n">
        <f aca="false">(0.75*D3/PI())^(1/3)</f>
        <v>0.215063503457025</v>
      </c>
      <c r="F3" s="6" t="n">
        <f aca="false">_xlfn.STDEV.S(E2:E6)*10</f>
        <v>0.0151075037294815</v>
      </c>
    </row>
    <row r="4" customFormat="false" ht="12.75" hidden="false" customHeight="false" outlineLevel="0" collapsed="false">
      <c r="A4" s="1"/>
      <c r="B4" s="1"/>
      <c r="C4" s="1" t="n">
        <v>61</v>
      </c>
      <c r="D4" s="3" t="n">
        <f aca="false">$B$2/C4</f>
        <v>0.040983606557377</v>
      </c>
      <c r="E4" s="3" t="n">
        <f aca="false">(0.75*D4/PI())^(1/3)</f>
        <v>0.213881812006485</v>
      </c>
      <c r="F4" s="1"/>
    </row>
    <row r="5" customFormat="false" ht="12.75" hidden="false" customHeight="false" outlineLevel="0" collapsed="false">
      <c r="A5" s="1"/>
      <c r="B5" s="1"/>
      <c r="C5" s="1" t="n">
        <v>62</v>
      </c>
      <c r="D5" s="3" t="n">
        <f aca="false">$B$2/C5</f>
        <v>0.0403225806451613</v>
      </c>
      <c r="E5" s="3" t="n">
        <f aca="false">(0.75*D5/PI())^(1/3)</f>
        <v>0.21272567152194</v>
      </c>
      <c r="F5" s="1"/>
    </row>
    <row r="6" customFormat="false" ht="12.75" hidden="false" customHeight="false" outlineLevel="0" collapsed="false">
      <c r="A6" s="1"/>
      <c r="B6" s="1"/>
      <c r="C6" s="1" t="n">
        <v>60</v>
      </c>
      <c r="D6" s="3" t="n">
        <f aca="false">$B$2/C6</f>
        <v>0.0416666666666667</v>
      </c>
      <c r="E6" s="3" t="n">
        <f aca="false">(0.75*D6/PI())^(1/3)</f>
        <v>0.215063503457025</v>
      </c>
      <c r="F6" s="1"/>
    </row>
    <row r="8" customFormat="false" ht="12.75" hidden="false" customHeight="false" outlineLevel="0" collapsed="false">
      <c r="N8" s="0" t="s">
        <v>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7"/>
  <sheetViews>
    <sheetView showFormulas="false" showGridLines="true" showRowColHeaders="true" showZeros="true" rightToLeft="false" tabSelected="false" showOutlineSymbols="true" defaultGridColor="true" view="normal" topLeftCell="S1" colorId="64" zoomScale="115" zoomScaleNormal="115" zoomScalePageLayoutView="100" workbookViewId="0">
      <selection pane="topLeft" activeCell="AA13" activeCellId="0" sqref="AA13"/>
    </sheetView>
  </sheetViews>
  <sheetFormatPr defaultColWidth="8.5703125" defaultRowHeight="12.75" zeroHeight="false" outlineLevelRow="0" outlineLevelCol="0"/>
  <cols>
    <col collapsed="false" customWidth="true" hidden="false" outlineLevel="0" max="6" min="6" style="0" width="10"/>
    <col collapsed="false" customWidth="true" hidden="false" outlineLevel="0" max="7" min="7" style="0" width="8.34"/>
    <col collapsed="false" customWidth="true" hidden="false" outlineLevel="0" max="9" min="9" style="0" width="10.44"/>
    <col collapsed="false" customWidth="true" hidden="false" outlineLevel="0" max="14" min="14" style="0" width="9.67"/>
    <col collapsed="false" customWidth="true" hidden="false" outlineLevel="0" max="17" min="17" style="0" width="12.22"/>
    <col collapsed="false" customWidth="true" hidden="false" outlineLevel="0" max="18" min="18" style="0" width="17.88"/>
    <col collapsed="false" customWidth="true" hidden="false" outlineLevel="0" max="19" min="19" style="0" width="21.88"/>
    <col collapsed="false" customWidth="true" hidden="false" outlineLevel="0" max="20" min="20" style="0" width="18.67"/>
    <col collapsed="false" customWidth="true" hidden="false" outlineLevel="0" max="21" min="21" style="0" width="22.67"/>
    <col collapsed="false" customWidth="true" hidden="false" outlineLevel="0" max="24" min="24" style="0" width="12"/>
    <col collapsed="false" customWidth="true" hidden="false" outlineLevel="0" max="25" min="25" style="0" width="10.88"/>
    <col collapsed="false" customWidth="true" hidden="false" outlineLevel="0" max="26" min="26" style="0" width="5.66"/>
    <col collapsed="false" customWidth="true" hidden="false" outlineLevel="0" max="27" min="27" style="0" width="12"/>
    <col collapsed="false" customWidth="true" hidden="false" outlineLevel="0" max="28" min="28" style="0" width="10.88"/>
  </cols>
  <sheetData>
    <row r="1" customFormat="false" ht="13.5" hidden="false" customHeight="false" outlineLevel="0" collapsed="false">
      <c r="B1" s="7" t="s">
        <v>15</v>
      </c>
      <c r="C1" s="7" t="s">
        <v>16</v>
      </c>
      <c r="D1" s="7" t="s">
        <v>17</v>
      </c>
      <c r="E1" s="8" t="s">
        <v>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L1" s="9" t="s">
        <v>17</v>
      </c>
      <c r="M1" s="9" t="s">
        <v>18</v>
      </c>
      <c r="N1" s="9" t="s">
        <v>23</v>
      </c>
      <c r="O1" s="9" t="s">
        <v>17</v>
      </c>
      <c r="P1" s="9" t="s">
        <v>22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W1" s="9" t="s">
        <v>29</v>
      </c>
      <c r="X1" s="9" t="s">
        <v>30</v>
      </c>
      <c r="Y1" s="9" t="s">
        <v>31</v>
      </c>
      <c r="Z1" s="9" t="s">
        <v>32</v>
      </c>
      <c r="AA1" s="9" t="s">
        <v>30</v>
      </c>
      <c r="AB1" s="9" t="s">
        <v>31</v>
      </c>
    </row>
    <row r="2" customFormat="false" ht="12.75" hidden="false" customHeight="false" outlineLevel="0" collapsed="false">
      <c r="A2" s="0" t="s">
        <v>33</v>
      </c>
      <c r="B2" s="10" t="n">
        <v>45</v>
      </c>
      <c r="C2" s="10" t="n">
        <v>4.5</v>
      </c>
      <c r="D2" s="10" t="n">
        <f aca="false">B2-C2</f>
        <v>40.5</v>
      </c>
      <c r="E2" s="10" t="n">
        <f aca="false">Оборудование!$I$2</f>
        <v>1</v>
      </c>
      <c r="F2" s="11" t="n">
        <v>10.54</v>
      </c>
      <c r="G2" s="11" t="n">
        <v>34.3</v>
      </c>
      <c r="H2" s="11" t="n">
        <v>5.32</v>
      </c>
      <c r="I2" s="11" t="n">
        <f aca="false">H2/2</f>
        <v>2.66</v>
      </c>
      <c r="J2" s="11" t="n">
        <f aca="false">I2*G2</f>
        <v>91.238</v>
      </c>
      <c r="L2" s="11" t="n">
        <f aca="false">$D$10</f>
        <v>40.5</v>
      </c>
      <c r="M2" s="11" t="n">
        <f aca="false">$F$15</f>
        <v>9.666</v>
      </c>
      <c r="N2" s="11" t="n">
        <f aca="false">SQRT(SQRT(Оборудование!$Q$2^2+16/3*(Оборудование!$F$2/1000)^3*Кружка!L2/100)-Оборудование!$Q$2)*1000</f>
        <v>11.4478823815108</v>
      </c>
      <c r="O2" s="11" t="n">
        <f aca="false">$D$10</f>
        <v>40.5</v>
      </c>
      <c r="P2" s="11" t="n">
        <f aca="false">$J$15</f>
        <v>81.22631</v>
      </c>
      <c r="Q2" s="11" t="n">
        <f aca="false">(SQRT(Оборудование!$Q$2^2+8/3*(Оборудование!$F$2/1000)^3*Кружка!O2/100)-Оборудование!$Q$2)*1000000</f>
        <v>88.8507842050253</v>
      </c>
      <c r="R2" s="11" t="n">
        <f aca="false">((M2/1000)^2+Оборудование!$Q$2)^2 * 10^(3*4)</f>
        <v>11726.7469861828</v>
      </c>
      <c r="S2" s="11" t="n">
        <f aca="false">((N2/1000)^2+Оборудование!$Q$2)^2 * 10^(3*4)</f>
        <v>21290.4753675971</v>
      </c>
      <c r="T2" s="11" t="n">
        <f aca="false">((P2/1000000)+Оборудование!$Q$2)^2*10^12</f>
        <v>9232.30025794828</v>
      </c>
      <c r="U2" s="11" t="n">
        <f aca="false">((Q2/1000000)+Оборудование!$Q$2)^2*10^12</f>
        <v>10755.6259329576</v>
      </c>
      <c r="W2" s="12" t="s">
        <v>34</v>
      </c>
      <c r="X2" s="11" t="n">
        <f aca="false" t="array" ref="X2:Y6">LINEST(R2:R6,O2:O6,1,1)</f>
        <v>212.485780741823</v>
      </c>
      <c r="Y2" s="11" t="n">
        <v>2231.50458769398</v>
      </c>
      <c r="Z2" s="13" t="s">
        <v>34</v>
      </c>
      <c r="AA2" s="11" t="n">
        <f aca="false" t="array" ref="AA2:AB6">LINEST(T2:T6,O2:O6,1,1)</f>
        <v>336.608561371588</v>
      </c>
      <c r="AB2" s="11" t="n">
        <v>-4893.20708274257</v>
      </c>
    </row>
    <row r="3" customFormat="false" ht="12.75" hidden="false" customHeight="false" outlineLevel="0" collapsed="false">
      <c r="B3" s="10"/>
      <c r="C3" s="10"/>
      <c r="D3" s="10"/>
      <c r="E3" s="10"/>
      <c r="F3" s="11" t="n">
        <v>8.77</v>
      </c>
      <c r="G3" s="11" t="n">
        <v>26.19</v>
      </c>
      <c r="H3" s="11" t="n">
        <v>5.57</v>
      </c>
      <c r="I3" s="11" t="n">
        <f aca="false">H3/2</f>
        <v>2.785</v>
      </c>
      <c r="J3" s="11" t="n">
        <f aca="false">I3*G3</f>
        <v>72.93915</v>
      </c>
      <c r="L3" s="11" t="n">
        <f aca="false">$D$19</f>
        <v>35.5</v>
      </c>
      <c r="M3" s="11" t="n">
        <f aca="false">$F$25</f>
        <v>8.84666666666667</v>
      </c>
      <c r="N3" s="11" t="n">
        <f aca="false">SQRT(SQRT(Оборудование!$Q$2^2+16/3*(Оборудование!$F$2/1000)^3*Кружка!L3/100)-Оборудование!$Q$2)*1000</f>
        <v>11.0385771011781</v>
      </c>
      <c r="O3" s="11" t="n">
        <f aca="false">$D$19</f>
        <v>35.5</v>
      </c>
      <c r="P3" s="11" t="n">
        <f aca="false">$J$25</f>
        <v>70.2978666666667</v>
      </c>
      <c r="Q3" s="11" t="n">
        <f aca="false">(SQRT(Оборудование!$Q$2^2+8/3*(Оборудование!$F$2/1000)^3*Кружка!O3/100)-Оборудование!$Q$2)*1000000</f>
        <v>82.3784146860345</v>
      </c>
      <c r="R3" s="11" t="n">
        <f aca="false">((M3/1000)^2+Оборудование!$Q$2)^2 * 10^(3*4)</f>
        <v>8671.71820426118</v>
      </c>
      <c r="S3" s="11" t="n">
        <f aca="false">((N3/1000)^2+Оборудование!$Q$2)^2 * 10^(3*4)</f>
        <v>18689.2779763281</v>
      </c>
      <c r="T3" s="11" t="n">
        <f aca="false">((P3/1000000)+Оборудование!$Q$2)^2*10^12</f>
        <v>7251.61524343194</v>
      </c>
      <c r="U3" s="11" t="n">
        <f aca="false">((Q3/1000000)+Оборудование!$Q$2)^2*10^12</f>
        <v>9455.02723732315</v>
      </c>
      <c r="W3" s="12" t="s">
        <v>35</v>
      </c>
      <c r="X3" s="11" t="n">
        <v>53.4415254140978</v>
      </c>
      <c r="Y3" s="11" t="n">
        <v>1673.19774831716</v>
      </c>
      <c r="Z3" s="13" t="s">
        <v>35</v>
      </c>
      <c r="AA3" s="11" t="n">
        <v>56.5703501155103</v>
      </c>
      <c r="AB3" s="11" t="n">
        <v>1771.15794695889</v>
      </c>
    </row>
    <row r="4" customFormat="false" ht="12.75" hidden="false" customHeight="false" outlineLevel="0" collapsed="false">
      <c r="B4" s="10"/>
      <c r="C4" s="10"/>
      <c r="D4" s="10"/>
      <c r="E4" s="10"/>
      <c r="F4" s="11" t="n">
        <v>8.01</v>
      </c>
      <c r="G4" s="11" t="n">
        <v>29.74</v>
      </c>
      <c r="H4" s="11" t="n">
        <v>5.32</v>
      </c>
      <c r="I4" s="11" t="n">
        <f aca="false">H4/2</f>
        <v>2.66</v>
      </c>
      <c r="J4" s="11" t="n">
        <f aca="false">I4*G4</f>
        <v>79.1084</v>
      </c>
      <c r="L4" s="11" t="n">
        <f aca="false">$D$29</f>
        <v>30.5</v>
      </c>
      <c r="M4" s="11" t="n">
        <f aca="false">$F$37</f>
        <v>8.82375</v>
      </c>
      <c r="N4" s="11" t="n">
        <f aca="false">SQRT(SQRT(Оборудование!$Q$2^2+16/3*(Оборудование!$F$2/1000)^3*Кружка!L4/100)-Оборудование!$Q$2)*1000</f>
        <v>10.582072007057</v>
      </c>
      <c r="O4" s="11" t="n">
        <f aca="false">$D$29</f>
        <v>30.5</v>
      </c>
      <c r="P4" s="11" t="n">
        <f aca="false">$J$37</f>
        <v>48.54745</v>
      </c>
      <c r="Q4" s="11" t="n">
        <f aca="false">(SQRT(Оборудование!$Q$2^2+8/3*(Оборудование!$F$2/1000)^3*Кружка!O4/100)-Оборудование!$Q$2)*1000000</f>
        <v>75.4433248484876</v>
      </c>
      <c r="R4" s="11" t="n">
        <f aca="false">((M4/1000)^2+Оборудование!$Q$2)^2 * 10^(3*4)</f>
        <v>8596.46317902496</v>
      </c>
      <c r="S4" s="11" t="n">
        <f aca="false">((N4/1000)^2+Оборудование!$Q$2)^2 * 10^(3*4)</f>
        <v>16088.0805850591</v>
      </c>
      <c r="T4" s="11" t="n">
        <f aca="false">((P4/1000000)+Оборудование!$Q$2)^2*10^12</f>
        <v>4020.32079424752</v>
      </c>
      <c r="U4" s="11" t="n">
        <f aca="false">((Q4/1000000)+Оборудование!$Q$2)^2*10^12</f>
        <v>8154.42854168865</v>
      </c>
      <c r="X4" s="11" t="n">
        <v>0.840501163387735</v>
      </c>
      <c r="Y4" s="11" t="n">
        <v>844.984709711611</v>
      </c>
      <c r="Z4" s="11"/>
      <c r="AA4" s="11" t="n">
        <v>0.921886494980365</v>
      </c>
      <c r="AB4" s="11" t="n">
        <v>894.455771990909</v>
      </c>
    </row>
    <row r="5" customFormat="false" ht="12.75" hidden="false" customHeight="false" outlineLevel="0" collapsed="false">
      <c r="B5" s="10"/>
      <c r="C5" s="10"/>
      <c r="D5" s="10"/>
      <c r="E5" s="10"/>
      <c r="F5" s="11" t="n">
        <v>9.53</v>
      </c>
      <c r="G5" s="11" t="n">
        <v>26.95</v>
      </c>
      <c r="H5" s="11" t="n">
        <v>5.57</v>
      </c>
      <c r="I5" s="11" t="n">
        <f aca="false">H5/2</f>
        <v>2.785</v>
      </c>
      <c r="J5" s="11" t="n">
        <f aca="false">I5*G5</f>
        <v>75.05575</v>
      </c>
      <c r="L5" s="11" t="n">
        <f aca="false">$D$41</f>
        <v>25.5</v>
      </c>
      <c r="M5" s="11" t="n">
        <f aca="false">$F$43</f>
        <v>8.515</v>
      </c>
      <c r="N5" s="11" t="n">
        <f aca="false">SQRT(SQRT(Оборудование!$Q$2^2+16/3*(Оборудование!$F$2/1000)^3*Кружка!L5/100)-Оборудование!$Q$2)*1000</f>
        <v>10.063522805223</v>
      </c>
      <c r="O5" s="11" t="n">
        <f aca="false">$D$41</f>
        <v>25.5</v>
      </c>
      <c r="P5" s="11" t="n">
        <f aca="false">$J$43</f>
        <v>47.103375</v>
      </c>
      <c r="Q5" s="11" t="n">
        <f aca="false">(SQRT(Оборудование!$Q$2^2+8/3*(Оборудование!$F$2/1000)^3*Кружка!O5/100)-Оборудование!$Q$2)*1000000</f>
        <v>67.9293108285628</v>
      </c>
      <c r="R5" s="11" t="n">
        <f aca="false">((M5/1000)^2+Оборудование!$Q$2)^2 * 10^(3*4)</f>
        <v>7632.42912472209</v>
      </c>
      <c r="S5" s="11" t="n">
        <f aca="false">((N5/1000)^2+Оборудование!$Q$2)^2 * 10^(3*4)</f>
        <v>13486.8831937901</v>
      </c>
      <c r="T5" s="11" t="n">
        <f aca="false">((P5/1000000)+Оборудование!$Q$2)^2*10^12</f>
        <v>3839.28010890406</v>
      </c>
      <c r="U5" s="11" t="n">
        <f aca="false">((Q5/1000000)+Оборудование!$Q$2)^2*10^12</f>
        <v>6853.82984605416</v>
      </c>
      <c r="X5" s="11" t="n">
        <v>15.8089146210694</v>
      </c>
      <c r="Y5" s="11" t="n">
        <v>3</v>
      </c>
      <c r="Z5" s="11"/>
      <c r="AA5" s="11" t="n">
        <v>35.4056508441899</v>
      </c>
      <c r="AB5" s="11" t="n">
        <v>3</v>
      </c>
    </row>
    <row r="6" customFormat="false" ht="12.75" hidden="false" customHeight="false" outlineLevel="0" collapsed="false">
      <c r="B6" s="10"/>
      <c r="C6" s="10"/>
      <c r="D6" s="10"/>
      <c r="E6" s="14" t="s">
        <v>36</v>
      </c>
      <c r="F6" s="14" t="n">
        <f aca="false">AVERAGE(F2:F5)</f>
        <v>9.2125</v>
      </c>
      <c r="G6" s="14" t="n">
        <f aca="false">AVERAGE(G2:G5)</f>
        <v>29.295</v>
      </c>
      <c r="H6" s="14" t="n">
        <f aca="false">AVERAGE(H2:H5)</f>
        <v>5.445</v>
      </c>
      <c r="I6" s="14" t="n">
        <f aca="false">AVERAGE(I2:I5)</f>
        <v>2.7225</v>
      </c>
      <c r="J6" s="14" t="n">
        <f aca="false">AVERAGE(J2:J5)</f>
        <v>79.585325</v>
      </c>
      <c r="L6" s="11" t="n">
        <f aca="false">$D$47</f>
        <v>20.5</v>
      </c>
      <c r="M6" s="11" t="n">
        <f aca="false">$F$55</f>
        <v>8.27125</v>
      </c>
      <c r="N6" s="11" t="n">
        <f aca="false">SQRT(SQRT(Оборудование!$Q$2^2+16/3*(Оборудование!$F$2/1000)^3*Кружка!L6/100)-Оборудование!$Q$2)*1000</f>
        <v>9.45917228536767</v>
      </c>
      <c r="O6" s="11" t="n">
        <f aca="false">$D$47</f>
        <v>20.5</v>
      </c>
      <c r="P6" s="11" t="n">
        <f aca="false">$J$55</f>
        <v>35.37345</v>
      </c>
      <c r="Q6" s="11" t="n">
        <f aca="false">(SQRT(Оборудование!$Q$2^2+8/3*(Оборудование!$F$2/1000)^3*Кружка!O6/100)-Оборудование!$Q$2)*1000000</f>
        <v>59.6614553642688</v>
      </c>
      <c r="R6" s="11" t="n">
        <f aca="false">((M6/1000)^2+Оборудование!$Q$2)^2 * 10^(3*4)</f>
        <v>6934.24700740681</v>
      </c>
      <c r="S6" s="11" t="n">
        <f aca="false">((N6/1000)^2+Оборудование!$Q$2)^2 * 10^(3*4)</f>
        <v>10885.6858025211</v>
      </c>
      <c r="T6" s="11" t="n">
        <f aca="false">((P6/1000000)+Оборудование!$Q$2)^2*10^12</f>
        <v>2523.25379092252</v>
      </c>
      <c r="U6" s="11" t="n">
        <f aca="false">((Q6/1000000)+Оборудование!$Q$2)^2*10^12</f>
        <v>5553.23115041966</v>
      </c>
      <c r="X6" s="11" t="n">
        <v>11287551.7543655</v>
      </c>
      <c r="Y6" s="11" t="n">
        <v>2141997.47893925</v>
      </c>
      <c r="Z6" s="11"/>
      <c r="AA6" s="11" t="n">
        <v>28326330.8971625</v>
      </c>
      <c r="AB6" s="11" t="n">
        <v>2400153.38414356</v>
      </c>
    </row>
    <row r="7" customFormat="false" ht="12.8" hidden="false" customHeight="false" outlineLevel="0" collapsed="false">
      <c r="E7" s="15" t="s">
        <v>37</v>
      </c>
      <c r="F7" s="16" t="n">
        <f aca="false">STDEV(F2:F5)</f>
        <v>1.08087541681114</v>
      </c>
      <c r="G7" s="16" t="n">
        <f aca="false">STDEV(G2:G5)</f>
        <v>3.66915521612264</v>
      </c>
      <c r="H7" s="16" t="n">
        <f aca="false">STDEV(H2:H5)</f>
        <v>0.144337567297406</v>
      </c>
      <c r="I7" s="16" t="n">
        <f aca="false">STDEV(I2:I5)</f>
        <v>0.0721687836487032</v>
      </c>
      <c r="J7" s="16" t="n">
        <f aca="false">STDEV(J2:J5)</f>
        <v>8.17926206782535</v>
      </c>
      <c r="W7" s="9" t="s">
        <v>29</v>
      </c>
      <c r="X7" s="9" t="s">
        <v>30</v>
      </c>
      <c r="Y7" s="9" t="s">
        <v>31</v>
      </c>
      <c r="Z7" s="9" t="s">
        <v>32</v>
      </c>
      <c r="AA7" s="9" t="s">
        <v>30</v>
      </c>
      <c r="AB7" s="9" t="s">
        <v>31</v>
      </c>
    </row>
    <row r="8" customFormat="false" ht="12.8" hidden="false" customHeight="false" outlineLevel="0" collapsed="false">
      <c r="E8" s="17" t="s">
        <v>38</v>
      </c>
      <c r="F8" s="18" t="n">
        <f aca="false">F7/F6</f>
        <v>0.117327046600938</v>
      </c>
      <c r="G8" s="18" t="n">
        <f aca="false">G7/G6</f>
        <v>0.125248513948546</v>
      </c>
      <c r="H8" s="18" t="n">
        <f aca="false">H7/H6</f>
        <v>0.0265082768222969</v>
      </c>
      <c r="I8" s="18" t="n">
        <f aca="false">I7/I6</f>
        <v>0.0265082768222969</v>
      </c>
      <c r="J8" s="18" t="n">
        <f aca="false">J7/J6</f>
        <v>0.102773495840161</v>
      </c>
      <c r="W8" s="12" t="s">
        <v>34</v>
      </c>
      <c r="X8" s="11" t="n">
        <f aca="false" t="array" ref="X8:Y12">LINEST(S2:S6,O2:O6,1,1)</f>
        <v>520.239478253798</v>
      </c>
      <c r="Y8" s="11" t="n">
        <v>220.776498318224</v>
      </c>
      <c r="Z8" s="13" t="s">
        <v>34</v>
      </c>
      <c r="AA8" s="11" t="n">
        <f aca="false" t="array" ref="AA8:AB12">LINEST(U2:U6,O2:O6,1,1)</f>
        <v>260.119739126899</v>
      </c>
      <c r="AB8" s="11" t="n">
        <v>220.77649831823</v>
      </c>
    </row>
    <row r="9" customFormat="false" ht="15" hidden="false" customHeight="false" outlineLevel="0" collapsed="false">
      <c r="B9" s="7" t="s">
        <v>15</v>
      </c>
      <c r="C9" s="7" t="s">
        <v>16</v>
      </c>
      <c r="D9" s="7" t="s">
        <v>17</v>
      </c>
      <c r="E9" s="8" t="s">
        <v>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W9" s="12" t="s">
        <v>35</v>
      </c>
      <c r="X9" s="11" t="n">
        <v>1.92575346629471E-013</v>
      </c>
      <c r="Y9" s="11" t="n">
        <v>6.029330822148E-012</v>
      </c>
      <c r="Z9" s="13" t="s">
        <v>35</v>
      </c>
      <c r="AA9" s="11" t="n">
        <v>5.38064321799504E-014</v>
      </c>
      <c r="AB9" s="11" t="n">
        <v>1.68462259396367E-012</v>
      </c>
    </row>
    <row r="10" customFormat="false" ht="12.75" hidden="false" customHeight="false" outlineLevel="0" collapsed="false">
      <c r="B10" s="11" t="n">
        <v>45</v>
      </c>
      <c r="C10" s="11" t="n">
        <v>4.5</v>
      </c>
      <c r="D10" s="11" t="n">
        <f aca="false">B10-C10</f>
        <v>40.5</v>
      </c>
      <c r="E10" s="11" t="n">
        <f aca="false">Оборудование!$I$2</f>
        <v>1</v>
      </c>
      <c r="F10" s="11" t="n">
        <v>9.36</v>
      </c>
      <c r="G10" s="11" t="n">
        <v>33.17</v>
      </c>
      <c r="H10" s="11" t="n">
        <v>5.32</v>
      </c>
      <c r="I10" s="11" t="n">
        <f aca="false">H10/2</f>
        <v>2.66</v>
      </c>
      <c r="J10" s="11" t="n">
        <f aca="false">I10*G10</f>
        <v>88.2322</v>
      </c>
      <c r="X10" s="11" t="n">
        <v>1</v>
      </c>
      <c r="Y10" s="11" t="n">
        <v>3.04488358272778E-012</v>
      </c>
      <c r="Z10" s="11"/>
      <c r="AA10" s="11" t="n">
        <v>1</v>
      </c>
      <c r="AB10" s="11" t="n">
        <v>8.5075439228011E-013</v>
      </c>
    </row>
    <row r="11" customFormat="false" ht="12.75" hidden="false" customHeight="false" outlineLevel="0" collapsed="false">
      <c r="B11" s="11"/>
      <c r="C11" s="11"/>
      <c r="D11" s="11"/>
      <c r="E11" s="11"/>
      <c r="F11" s="11" t="n">
        <v>9.36</v>
      </c>
      <c r="G11" s="11" t="n">
        <v>29.62</v>
      </c>
      <c r="H11" s="11" t="n">
        <v>5.06</v>
      </c>
      <c r="I11" s="11" t="n">
        <f aca="false">H11/2</f>
        <v>2.53</v>
      </c>
      <c r="J11" s="11" t="n">
        <f aca="false">I11*G11</f>
        <v>74.9386</v>
      </c>
      <c r="X11" s="11" t="n">
        <v>7.29802311206351E+030</v>
      </c>
      <c r="Y11" s="11" t="n">
        <v>3</v>
      </c>
      <c r="Z11" s="11"/>
      <c r="AA11" s="11" t="n">
        <v>2.33710502041081E+031</v>
      </c>
      <c r="AB11" s="11" t="n">
        <v>3</v>
      </c>
    </row>
    <row r="12" customFormat="false" ht="12.75" hidden="false" customHeight="false" outlineLevel="0" collapsed="false">
      <c r="B12" s="11"/>
      <c r="C12" s="11"/>
      <c r="D12" s="11"/>
      <c r="E12" s="11"/>
      <c r="F12" s="11" t="n">
        <v>8.86</v>
      </c>
      <c r="G12" s="11" t="n">
        <v>28.11</v>
      </c>
      <c r="H12" s="11" t="n">
        <v>5.82</v>
      </c>
      <c r="I12" s="11" t="n">
        <f aca="false">H12/2</f>
        <v>2.91</v>
      </c>
      <c r="J12" s="11" t="n">
        <f aca="false">I12*G12</f>
        <v>81.8001</v>
      </c>
      <c r="X12" s="11" t="n">
        <v>67662278.6834461</v>
      </c>
      <c r="Y12" s="11" t="n">
        <v>2.78139480970956E-023</v>
      </c>
      <c r="Z12" s="11"/>
      <c r="AA12" s="11" t="n">
        <v>16915569.6708615</v>
      </c>
      <c r="AB12" s="11" t="n">
        <v>2.1713491079517E-024</v>
      </c>
    </row>
    <row r="13" customFormat="false" ht="12.75" hidden="false" customHeight="false" outlineLevel="0" collapsed="false">
      <c r="B13" s="11"/>
      <c r="C13" s="11"/>
      <c r="D13" s="11"/>
      <c r="E13" s="11"/>
      <c r="F13" s="11" t="n">
        <v>10.63</v>
      </c>
      <c r="G13" s="11" t="n">
        <v>32.12</v>
      </c>
      <c r="H13" s="11" t="n">
        <v>4.81</v>
      </c>
      <c r="I13" s="11" t="n">
        <f aca="false">H13/2</f>
        <v>2.405</v>
      </c>
      <c r="J13" s="11" t="n">
        <f aca="false">I13*G13</f>
        <v>77.2486</v>
      </c>
      <c r="X13" s="19" t="n">
        <f aca="false">(X8-X2)/X8</f>
        <v>0.591561598794773</v>
      </c>
      <c r="AA13" s="19" t="n">
        <f aca="false">(-AA8+AA2)/AA8</f>
        <v>0.294052356431797</v>
      </c>
    </row>
    <row r="14" customFormat="false" ht="12.75" hidden="false" customHeight="false" outlineLevel="0" collapsed="false">
      <c r="B14" s="11"/>
      <c r="C14" s="11"/>
      <c r="D14" s="11"/>
      <c r="E14" s="11"/>
      <c r="F14" s="11" t="n">
        <v>10.12</v>
      </c>
      <c r="G14" s="11" t="n">
        <v>30.13</v>
      </c>
      <c r="H14" s="11" t="n">
        <v>5.57</v>
      </c>
      <c r="I14" s="11" t="n">
        <f aca="false">H14/2</f>
        <v>2.785</v>
      </c>
      <c r="J14" s="11" t="n">
        <f aca="false">I14*G14</f>
        <v>83.91205</v>
      </c>
    </row>
    <row r="15" customFormat="false" ht="12.75" hidden="false" customHeight="false" outlineLevel="0" collapsed="false">
      <c r="B15" s="11"/>
      <c r="C15" s="11"/>
      <c r="D15" s="11"/>
      <c r="E15" s="14" t="s">
        <v>36</v>
      </c>
      <c r="F15" s="14" t="n">
        <f aca="false">AVERAGE(F10:F14)</f>
        <v>9.666</v>
      </c>
      <c r="G15" s="14" t="n">
        <f aca="false">AVERAGE(G10:G14)</f>
        <v>30.63</v>
      </c>
      <c r="H15" s="14" t="n">
        <f aca="false">AVERAGE(H10:H14)</f>
        <v>5.316</v>
      </c>
      <c r="I15" s="14" t="n">
        <f aca="false">AVERAGE(I10:I14)</f>
        <v>2.658</v>
      </c>
      <c r="J15" s="14" t="n">
        <f aca="false">AVERAGE(J10:J14)</f>
        <v>81.22631</v>
      </c>
    </row>
    <row r="16" customFormat="false" ht="13.5" hidden="false" customHeight="false" outlineLevel="0" collapsed="false">
      <c r="B16" s="11"/>
      <c r="C16" s="11"/>
      <c r="D16" s="11"/>
      <c r="E16" s="15" t="s">
        <v>37</v>
      </c>
      <c r="F16" s="16" t="n">
        <f aca="false">STDEV(F10:F14)</f>
        <v>0.702196553679951</v>
      </c>
      <c r="G16" s="16" t="n">
        <f aca="false">STDEV(G10:G14)</f>
        <v>2.01817987305394</v>
      </c>
      <c r="H16" s="16" t="n">
        <f aca="false">STDEV(H10:H14)</f>
        <v>0.400037498242353</v>
      </c>
      <c r="I16" s="16" t="n">
        <f aca="false">STDEV(I10:I14)</f>
        <v>0.200018749121176</v>
      </c>
      <c r="J16" s="16" t="n">
        <f aca="false">STDEV(J10:J14)</f>
        <v>5.29108691319658</v>
      </c>
    </row>
    <row r="17" customFormat="false" ht="12.75" hidden="false" customHeight="false" outlineLevel="0" collapsed="false">
      <c r="E17" s="17" t="s">
        <v>38</v>
      </c>
      <c r="F17" s="18" t="n">
        <f aca="false">F16/F15</f>
        <v>0.0726460328657098</v>
      </c>
      <c r="G17" s="18" t="n">
        <f aca="false">G16/G15</f>
        <v>0.0658889935701579</v>
      </c>
      <c r="H17" s="18" t="n">
        <f aca="false">H16/H15</f>
        <v>0.0752515986159429</v>
      </c>
      <c r="I17" s="18" t="n">
        <f aca="false">I16/I15</f>
        <v>0.0752515986159429</v>
      </c>
      <c r="J17" s="18" t="n">
        <f aca="false">J16/J15</f>
        <v>0.0651400625388077</v>
      </c>
    </row>
    <row r="18" customFormat="false" ht="13.5" hidden="false" customHeight="false" outlineLevel="0" collapsed="false">
      <c r="B18" s="7" t="s">
        <v>15</v>
      </c>
      <c r="C18" s="7" t="s">
        <v>16</v>
      </c>
      <c r="D18" s="7" t="s">
        <v>17</v>
      </c>
      <c r="E18" s="8" t="s">
        <v>7</v>
      </c>
      <c r="F18" s="9" t="s">
        <v>18</v>
      </c>
      <c r="G18" s="9" t="s">
        <v>19</v>
      </c>
      <c r="H18" s="9" t="s">
        <v>20</v>
      </c>
      <c r="I18" s="9" t="s">
        <v>21</v>
      </c>
      <c r="J18" s="9" t="s">
        <v>22</v>
      </c>
    </row>
    <row r="19" customFormat="false" ht="12.75" hidden="false" customHeight="false" outlineLevel="0" collapsed="false">
      <c r="B19" s="11" t="n">
        <v>40</v>
      </c>
      <c r="C19" s="11" t="n">
        <v>4.5</v>
      </c>
      <c r="D19" s="11" t="n">
        <f aca="false">B19-C19</f>
        <v>35.5</v>
      </c>
      <c r="E19" s="11" t="n">
        <f aca="false">Оборудование!$I$2</f>
        <v>1</v>
      </c>
      <c r="F19" s="11" t="n">
        <v>8.5</v>
      </c>
      <c r="G19" s="11" t="n">
        <v>30.23</v>
      </c>
      <c r="H19" s="11" t="n">
        <v>4.78</v>
      </c>
      <c r="I19" s="11" t="n">
        <f aca="false">H19/2</f>
        <v>2.39</v>
      </c>
      <c r="J19" s="11" t="n">
        <f aca="false">I19*G19</f>
        <v>72.2497</v>
      </c>
    </row>
    <row r="20" customFormat="false" ht="12.75" hidden="false" customHeight="false" outlineLevel="0" collapsed="false">
      <c r="B20" s="11"/>
      <c r="C20" s="11"/>
      <c r="D20" s="11"/>
      <c r="E20" s="11"/>
      <c r="F20" s="11" t="n">
        <v>9.28</v>
      </c>
      <c r="G20" s="11" t="n">
        <v>27.78</v>
      </c>
      <c r="H20" s="11" t="n">
        <v>4.91</v>
      </c>
      <c r="I20" s="11" t="n">
        <f aca="false">H20/2</f>
        <v>2.455</v>
      </c>
      <c r="J20" s="11" t="n">
        <f aca="false">I20*G20</f>
        <v>68.1999</v>
      </c>
    </row>
    <row r="21" customFormat="false" ht="12.75" hidden="false" customHeight="false" outlineLevel="0" collapsed="false">
      <c r="B21" s="11"/>
      <c r="C21" s="11"/>
      <c r="D21" s="11"/>
      <c r="E21" s="11"/>
      <c r="F21" s="11" t="n">
        <v>8.63</v>
      </c>
      <c r="G21" s="0" t="n">
        <v>27.52</v>
      </c>
      <c r="H21" s="11" t="n">
        <v>4.39</v>
      </c>
      <c r="I21" s="11" t="n">
        <f aca="false">H21/2</f>
        <v>2.195</v>
      </c>
      <c r="J21" s="11" t="n">
        <f aca="false">I21*G21</f>
        <v>60.4064</v>
      </c>
    </row>
    <row r="22" customFormat="false" ht="12.75" hidden="false" customHeight="false" outlineLevel="0" collapsed="false">
      <c r="B22" s="11"/>
      <c r="C22" s="11"/>
      <c r="D22" s="11"/>
      <c r="E22" s="11"/>
      <c r="F22" s="11" t="n">
        <v>8.76</v>
      </c>
      <c r="G22" s="11" t="n">
        <v>30.88</v>
      </c>
      <c r="H22" s="11" t="n">
        <v>4.91</v>
      </c>
      <c r="I22" s="11" t="n">
        <f aca="false">H22/2</f>
        <v>2.455</v>
      </c>
      <c r="J22" s="11" t="n">
        <f aca="false">I22*G22</f>
        <v>75.8104</v>
      </c>
    </row>
    <row r="23" customFormat="false" ht="12.75" hidden="false" customHeight="false" outlineLevel="0" collapsed="false">
      <c r="B23" s="11"/>
      <c r="C23" s="11"/>
      <c r="D23" s="11"/>
      <c r="E23" s="11"/>
      <c r="F23" s="11" t="n">
        <v>8.76</v>
      </c>
      <c r="G23" s="11" t="n">
        <v>29.2</v>
      </c>
      <c r="H23" s="11" t="n">
        <v>4.78</v>
      </c>
      <c r="I23" s="11" t="n">
        <f aca="false">H23/2</f>
        <v>2.39</v>
      </c>
      <c r="J23" s="11" t="n">
        <f aca="false">I23*G23</f>
        <v>69.788</v>
      </c>
    </row>
    <row r="24" customFormat="false" ht="12.75" hidden="false" customHeight="false" outlineLevel="0" collapsed="false">
      <c r="B24" s="11"/>
      <c r="C24" s="11"/>
      <c r="D24" s="11"/>
      <c r="E24" s="11"/>
      <c r="F24" s="11" t="n">
        <v>9.15</v>
      </c>
      <c r="G24" s="11" t="n">
        <v>31.52</v>
      </c>
      <c r="H24" s="11" t="n">
        <v>4.78</v>
      </c>
      <c r="I24" s="11" t="n">
        <f aca="false">H24/2</f>
        <v>2.39</v>
      </c>
      <c r="J24" s="11" t="n">
        <f aca="false">I24*G24</f>
        <v>75.3328</v>
      </c>
    </row>
    <row r="25" customFormat="false" ht="12.75" hidden="false" customHeight="false" outlineLevel="0" collapsed="false">
      <c r="B25" s="11"/>
      <c r="C25" s="11"/>
      <c r="D25" s="11"/>
      <c r="E25" s="14" t="s">
        <v>36</v>
      </c>
      <c r="F25" s="14" t="n">
        <f aca="false">AVERAGE(F19:F24)</f>
        <v>8.84666666666667</v>
      </c>
      <c r="G25" s="14" t="n">
        <f aca="false">AVERAGE(G19:G24)</f>
        <v>29.5216666666667</v>
      </c>
      <c r="H25" s="14" t="n">
        <f aca="false">AVERAGE(H19:H24)</f>
        <v>4.75833333333333</v>
      </c>
      <c r="I25" s="14" t="n">
        <f aca="false">AVERAGE(I19:I24)</f>
        <v>2.37916666666667</v>
      </c>
      <c r="J25" s="14" t="n">
        <f aca="false">AVERAGE(J19:J24)</f>
        <v>70.2978666666667</v>
      </c>
    </row>
    <row r="26" customFormat="false" ht="13.5" hidden="false" customHeight="false" outlineLevel="0" collapsed="false">
      <c r="B26" s="11"/>
      <c r="C26" s="11"/>
      <c r="D26" s="11"/>
      <c r="E26" s="15" t="s">
        <v>37</v>
      </c>
      <c r="F26" s="16" t="n">
        <f aca="false">STDEV(F19:F24)</f>
        <v>0.303951750557003</v>
      </c>
      <c r="G26" s="16" t="n">
        <f aca="false">STDEV(G19:G24)</f>
        <v>1.64217437157772</v>
      </c>
      <c r="H26" s="16" t="n">
        <f aca="false">STDEV(H19:H24)</f>
        <v>0.191354818770437</v>
      </c>
      <c r="I26" s="16" t="n">
        <f aca="false">STDEV(I19:I24)</f>
        <v>0.0956774093852185</v>
      </c>
      <c r="J26" s="16" t="n">
        <f aca="false">STDEV(J19:J24)</f>
        <v>5.69299168721216</v>
      </c>
    </row>
    <row r="27" customFormat="false" ht="12.75" hidden="false" customHeight="false" outlineLevel="0" collapsed="false">
      <c r="B27" s="11"/>
      <c r="C27" s="11"/>
      <c r="D27" s="11"/>
      <c r="E27" s="20" t="s">
        <v>38</v>
      </c>
      <c r="F27" s="18" t="n">
        <f aca="false">F26/F25</f>
        <v>0.0343577713515829</v>
      </c>
      <c r="G27" s="18" t="n">
        <f aca="false">G26/G25</f>
        <v>0.0556260725425749</v>
      </c>
      <c r="H27" s="18" t="n">
        <f aca="false">H26/H25</f>
        <v>0.0402146729465016</v>
      </c>
      <c r="I27" s="18" t="n">
        <f aca="false">I26/I25</f>
        <v>0.0402146729465016</v>
      </c>
      <c r="J27" s="18" t="n">
        <f aca="false">J26/J25</f>
        <v>0.0809838471230823</v>
      </c>
    </row>
    <row r="28" customFormat="false" ht="13.5" hidden="false" customHeight="false" outlineLevel="0" collapsed="false">
      <c r="B28" s="14" t="s">
        <v>15</v>
      </c>
      <c r="C28" s="14" t="s">
        <v>16</v>
      </c>
      <c r="D28" s="14" t="s">
        <v>17</v>
      </c>
      <c r="E28" s="21" t="s">
        <v>7</v>
      </c>
      <c r="F28" s="22" t="s">
        <v>18</v>
      </c>
      <c r="G28" s="22" t="s">
        <v>19</v>
      </c>
      <c r="H28" s="22" t="s">
        <v>20</v>
      </c>
      <c r="I28" s="22" t="s">
        <v>21</v>
      </c>
      <c r="J28" s="22" t="s">
        <v>22</v>
      </c>
    </row>
    <row r="29" customFormat="false" ht="12.75" hidden="false" customHeight="false" outlineLevel="0" collapsed="false">
      <c r="B29" s="11" t="n">
        <v>35</v>
      </c>
      <c r="C29" s="11" t="n">
        <v>4.5</v>
      </c>
      <c r="D29" s="11" t="n">
        <f aca="false">B29-C29</f>
        <v>30.5</v>
      </c>
      <c r="E29" s="11" t="n">
        <f aca="false">Оборудование!$I$2</f>
        <v>1</v>
      </c>
      <c r="F29" s="11" t="n">
        <v>9.79</v>
      </c>
      <c r="G29" s="11" t="n">
        <v>25.71</v>
      </c>
      <c r="H29" s="11" t="n">
        <v>3.74</v>
      </c>
      <c r="I29" s="11" t="n">
        <f aca="false">H29/2</f>
        <v>1.87</v>
      </c>
      <c r="J29" s="11" t="n">
        <f aca="false">I29*G29</f>
        <v>48.0777</v>
      </c>
    </row>
    <row r="30" customFormat="false" ht="12.75" hidden="false" customHeight="false" outlineLevel="0" collapsed="false">
      <c r="B30" s="11"/>
      <c r="C30" s="11"/>
      <c r="D30" s="11"/>
      <c r="E30" s="11"/>
      <c r="F30" s="11" t="n">
        <v>8.89</v>
      </c>
      <c r="G30" s="11" t="n">
        <v>26.36</v>
      </c>
      <c r="H30" s="11" t="n">
        <v>4</v>
      </c>
      <c r="I30" s="11" t="n">
        <f aca="false">H30/2</f>
        <v>2</v>
      </c>
      <c r="J30" s="11" t="n">
        <f aca="false">I30*G30</f>
        <v>52.72</v>
      </c>
    </row>
    <row r="31" customFormat="false" ht="12.75" hidden="false" customHeight="false" outlineLevel="0" collapsed="false">
      <c r="B31" s="11"/>
      <c r="C31" s="11"/>
      <c r="D31" s="11"/>
      <c r="E31" s="11"/>
      <c r="F31" s="11" t="n">
        <v>9.15</v>
      </c>
      <c r="G31" s="11" t="n">
        <v>25.97</v>
      </c>
      <c r="H31" s="11" t="n">
        <v>4</v>
      </c>
      <c r="I31" s="11" t="n">
        <f aca="false">H31/2</f>
        <v>2</v>
      </c>
      <c r="J31" s="11" t="n">
        <f aca="false">I31*G31</f>
        <v>51.94</v>
      </c>
    </row>
    <row r="32" customFormat="false" ht="12.75" hidden="false" customHeight="false" outlineLevel="0" collapsed="false">
      <c r="B32" s="11"/>
      <c r="C32" s="11"/>
      <c r="D32" s="11"/>
      <c r="E32" s="11"/>
      <c r="F32" s="11" t="n">
        <v>8.76</v>
      </c>
      <c r="G32" s="11" t="n">
        <v>28.04</v>
      </c>
      <c r="H32" s="11" t="n">
        <v>3.74</v>
      </c>
      <c r="I32" s="11" t="n">
        <f aca="false">H32/2</f>
        <v>1.87</v>
      </c>
      <c r="J32" s="11" t="n">
        <f aca="false">I32*G32</f>
        <v>52.4348</v>
      </c>
    </row>
    <row r="33" customFormat="false" ht="12.75" hidden="false" customHeight="false" outlineLevel="0" collapsed="false">
      <c r="B33" s="11"/>
      <c r="C33" s="11"/>
      <c r="D33" s="11"/>
      <c r="E33" s="11"/>
      <c r="F33" s="11" t="n">
        <v>9.66</v>
      </c>
      <c r="G33" s="11" t="n">
        <v>24.94</v>
      </c>
      <c r="H33" s="11" t="n">
        <v>4.13</v>
      </c>
      <c r="I33" s="11" t="n">
        <f aca="false">H33/2</f>
        <v>2.065</v>
      </c>
      <c r="J33" s="11" t="n">
        <f aca="false">I33*G33</f>
        <v>51.5011</v>
      </c>
    </row>
    <row r="34" customFormat="false" ht="12.75" hidden="false" customHeight="false" outlineLevel="0" collapsed="false">
      <c r="B34" s="11"/>
      <c r="C34" s="11"/>
      <c r="D34" s="11"/>
      <c r="E34" s="11"/>
      <c r="F34" s="11" t="n">
        <v>7.98</v>
      </c>
      <c r="G34" s="11" t="n">
        <v>23.26</v>
      </c>
      <c r="H34" s="11" t="n">
        <v>3.62</v>
      </c>
      <c r="I34" s="11" t="n">
        <f aca="false">H34/2</f>
        <v>1.81</v>
      </c>
      <c r="J34" s="11" t="n">
        <f aca="false">I34*G34</f>
        <v>42.1006</v>
      </c>
    </row>
    <row r="35" customFormat="false" ht="12.75" hidden="false" customHeight="false" outlineLevel="0" collapsed="false">
      <c r="B35" s="11"/>
      <c r="C35" s="11"/>
      <c r="D35" s="11"/>
      <c r="E35" s="11"/>
      <c r="F35" s="11" t="n">
        <v>7.86</v>
      </c>
      <c r="G35" s="11" t="n">
        <v>21.97</v>
      </c>
      <c r="H35" s="11" t="n">
        <v>4</v>
      </c>
      <c r="I35" s="11" t="n">
        <f aca="false">H35/2</f>
        <v>2</v>
      </c>
      <c r="J35" s="11" t="n">
        <f aca="false">I35*G35</f>
        <v>43.94</v>
      </c>
    </row>
    <row r="36" customFormat="false" ht="12.75" hidden="false" customHeight="false" outlineLevel="0" collapsed="false">
      <c r="B36" s="11"/>
      <c r="C36" s="11"/>
      <c r="D36" s="11"/>
      <c r="E36" s="11"/>
      <c r="F36" s="11" t="n">
        <v>8.5</v>
      </c>
      <c r="G36" s="11" t="n">
        <v>24.42</v>
      </c>
      <c r="H36" s="11" t="n">
        <v>3.74</v>
      </c>
      <c r="I36" s="11" t="n">
        <f aca="false">H36/2</f>
        <v>1.87</v>
      </c>
      <c r="J36" s="11" t="n">
        <f aca="false">I36*G36</f>
        <v>45.6654</v>
      </c>
    </row>
    <row r="37" customFormat="false" ht="12.75" hidden="false" customHeight="false" outlineLevel="0" collapsed="false">
      <c r="B37" s="11"/>
      <c r="C37" s="11"/>
      <c r="D37" s="11"/>
      <c r="E37" s="14" t="s">
        <v>36</v>
      </c>
      <c r="F37" s="14" t="n">
        <f aca="false">AVERAGE(F29:F36)</f>
        <v>8.82375</v>
      </c>
      <c r="G37" s="14" t="n">
        <f aca="false">AVERAGE(G29:G36)</f>
        <v>25.08375</v>
      </c>
      <c r="H37" s="14" t="n">
        <f aca="false">AVERAGE(H29:H36)</f>
        <v>3.87125</v>
      </c>
      <c r="I37" s="14" t="n">
        <f aca="false">AVERAGE(I29:I36)</f>
        <v>1.935625</v>
      </c>
      <c r="J37" s="14" t="n">
        <f aca="false">AVERAGE(J29:J36)</f>
        <v>48.54745</v>
      </c>
    </row>
    <row r="38" customFormat="false" ht="13.5" hidden="false" customHeight="false" outlineLevel="0" collapsed="false">
      <c r="B38" s="11"/>
      <c r="C38" s="11"/>
      <c r="D38" s="11"/>
      <c r="E38" s="15" t="s">
        <v>37</v>
      </c>
      <c r="F38" s="16" t="n">
        <f aca="false">STDEV(F29:F36)</f>
        <v>0.706438502024668</v>
      </c>
      <c r="G38" s="16" t="n">
        <f aca="false">STDEV(G29:G36)</f>
        <v>1.8909025622702</v>
      </c>
      <c r="H38" s="16" t="n">
        <f aca="false">STDEV(H29:H36)</f>
        <v>0.181850605875105</v>
      </c>
      <c r="I38" s="16" t="n">
        <f aca="false">STDEV(I29:I36)</f>
        <v>0.0909253029375526</v>
      </c>
      <c r="J38" s="16" t="n">
        <f aca="false">STDEV(J29:J36)</f>
        <v>4.21006370905307</v>
      </c>
    </row>
    <row r="39" customFormat="false" ht="12.75" hidden="false" customHeight="false" outlineLevel="0" collapsed="false">
      <c r="E39" s="17" t="s">
        <v>38</v>
      </c>
      <c r="F39" s="23" t="n">
        <f aca="false">F38/F37</f>
        <v>0.0800610287037448</v>
      </c>
      <c r="G39" s="23" t="n">
        <f aca="false">G38/G37</f>
        <v>0.0753835675395504</v>
      </c>
      <c r="H39" s="23" t="n">
        <f aca="false">H38/H37</f>
        <v>0.0469746479496558</v>
      </c>
      <c r="I39" s="23" t="n">
        <f aca="false">I38/I37</f>
        <v>0.0469746479496558</v>
      </c>
      <c r="J39" s="23" t="n">
        <f aca="false">J38/J37</f>
        <v>0.0867205941620635</v>
      </c>
    </row>
    <row r="40" customFormat="false" ht="13.5" hidden="false" customHeight="false" outlineLevel="0" collapsed="false">
      <c r="B40" s="14" t="s">
        <v>15</v>
      </c>
      <c r="C40" s="14" t="s">
        <v>16</v>
      </c>
      <c r="D40" s="14" t="s">
        <v>17</v>
      </c>
      <c r="E40" s="21" t="s">
        <v>7</v>
      </c>
      <c r="F40" s="22" t="s">
        <v>18</v>
      </c>
      <c r="G40" s="22" t="s">
        <v>19</v>
      </c>
      <c r="H40" s="22" t="s">
        <v>20</v>
      </c>
      <c r="I40" s="22" t="s">
        <v>21</v>
      </c>
      <c r="J40" s="22" t="s">
        <v>22</v>
      </c>
    </row>
    <row r="41" customFormat="false" ht="12.75" hidden="false" customHeight="false" outlineLevel="0" collapsed="false">
      <c r="B41" s="11" t="n">
        <v>30</v>
      </c>
      <c r="C41" s="11" t="n">
        <v>4.5</v>
      </c>
      <c r="D41" s="11" t="n">
        <f aca="false">B41-C41</f>
        <v>25.5</v>
      </c>
      <c r="E41" s="11" t="n">
        <f aca="false">Оборудование!$I$2</f>
        <v>1</v>
      </c>
      <c r="F41" s="11" t="n">
        <v>8.45</v>
      </c>
      <c r="G41" s="11" t="n">
        <v>30</v>
      </c>
      <c r="H41" s="11" t="n">
        <v>3.26</v>
      </c>
      <c r="I41" s="11" t="n">
        <f aca="false">H41/2</f>
        <v>1.63</v>
      </c>
      <c r="J41" s="11" t="n">
        <f aca="false">I41*G41</f>
        <v>48.9</v>
      </c>
    </row>
    <row r="42" customFormat="false" ht="12.75" hidden="false" customHeight="false" outlineLevel="0" collapsed="false">
      <c r="B42" s="11"/>
      <c r="C42" s="11"/>
      <c r="D42" s="11"/>
      <c r="E42" s="11"/>
      <c r="F42" s="11" t="n">
        <v>8.58</v>
      </c>
      <c r="G42" s="11" t="n">
        <v>28.95</v>
      </c>
      <c r="H42" s="11" t="n">
        <v>3.13</v>
      </c>
      <c r="I42" s="11" t="n">
        <f aca="false">H42/2</f>
        <v>1.565</v>
      </c>
      <c r="J42" s="11" t="n">
        <f aca="false">I42*G42</f>
        <v>45.30675</v>
      </c>
    </row>
    <row r="43" customFormat="false" ht="12.75" hidden="false" customHeight="false" outlineLevel="0" collapsed="false">
      <c r="B43" s="11"/>
      <c r="C43" s="11"/>
      <c r="D43" s="11"/>
      <c r="E43" s="14" t="s">
        <v>36</v>
      </c>
      <c r="F43" s="14" t="n">
        <f aca="false">AVERAGE(F41:F42)</f>
        <v>8.515</v>
      </c>
      <c r="G43" s="14" t="n">
        <f aca="false">AVERAGE(G41:G42)</f>
        <v>29.475</v>
      </c>
      <c r="H43" s="14" t="n">
        <f aca="false">AVERAGE(H41:H42)</f>
        <v>3.195</v>
      </c>
      <c r="I43" s="14" t="n">
        <f aca="false">AVERAGE(I41:I42)</f>
        <v>1.5975</v>
      </c>
      <c r="J43" s="14" t="n">
        <f aca="false">AVERAGE(J41:J42)</f>
        <v>47.103375</v>
      </c>
    </row>
    <row r="44" customFormat="false" ht="13.5" hidden="false" customHeight="false" outlineLevel="0" collapsed="false">
      <c r="B44" s="11"/>
      <c r="C44" s="11"/>
      <c r="D44" s="11"/>
      <c r="E44" s="15" t="s">
        <v>37</v>
      </c>
      <c r="F44" s="16" t="n">
        <f aca="false">STDEV(F41:F42)</f>
        <v>0.0919238815542517</v>
      </c>
      <c r="G44" s="16" t="n">
        <f aca="false">STDEV(G41:G42)</f>
        <v>0.742462120245875</v>
      </c>
      <c r="H44" s="16" t="n">
        <f aca="false">STDEV(H41:H42)</f>
        <v>0.0919238815542511</v>
      </c>
      <c r="I44" s="16" t="n">
        <f aca="false">STDEV(I41:I42)</f>
        <v>0.0459619407771256</v>
      </c>
      <c r="J44" s="16" t="n">
        <f aca="false">STDEV(J41:J42)</f>
        <v>2.54081144149857</v>
      </c>
    </row>
    <row r="45" customFormat="false" ht="12.75" hidden="false" customHeight="false" outlineLevel="0" collapsed="false">
      <c r="B45" s="11"/>
      <c r="C45" s="11"/>
      <c r="D45" s="11"/>
      <c r="E45" s="17" t="s">
        <v>38</v>
      </c>
      <c r="F45" s="23" t="n">
        <f aca="false">F44/F43</f>
        <v>0.0107955233768939</v>
      </c>
      <c r="G45" s="23" t="n">
        <f aca="false">G44/G43</f>
        <v>0.0251895545460857</v>
      </c>
      <c r="H45" s="23" t="n">
        <f aca="false">H44/H43</f>
        <v>0.0287711679356029</v>
      </c>
      <c r="I45" s="23" t="n">
        <f aca="false">I44/I43</f>
        <v>0.0287711679356029</v>
      </c>
      <c r="J45" s="23" t="n">
        <f aca="false">J44/J43</f>
        <v>0.0539411760091196</v>
      </c>
    </row>
    <row r="46" customFormat="false" ht="13.5" hidden="false" customHeight="false" outlineLevel="0" collapsed="false">
      <c r="B46" s="14" t="s">
        <v>15</v>
      </c>
      <c r="C46" s="14" t="s">
        <v>16</v>
      </c>
      <c r="D46" s="14" t="s">
        <v>17</v>
      </c>
      <c r="E46" s="21" t="s">
        <v>7</v>
      </c>
      <c r="F46" s="22" t="s">
        <v>18</v>
      </c>
      <c r="G46" s="22" t="s">
        <v>19</v>
      </c>
      <c r="H46" s="22" t="s">
        <v>20</v>
      </c>
      <c r="I46" s="22" t="s">
        <v>21</v>
      </c>
      <c r="J46" s="22" t="s">
        <v>22</v>
      </c>
    </row>
    <row r="47" customFormat="false" ht="12.75" hidden="false" customHeight="false" outlineLevel="0" collapsed="false">
      <c r="B47" s="11" t="n">
        <v>25</v>
      </c>
      <c r="C47" s="11" t="n">
        <v>4.5</v>
      </c>
      <c r="D47" s="11" t="n">
        <f aca="false">B47-C47</f>
        <v>20.5</v>
      </c>
      <c r="E47" s="11" t="n">
        <f aca="false">Оборудование!$I$2</f>
        <v>1</v>
      </c>
      <c r="F47" s="11" t="n">
        <v>8.58</v>
      </c>
      <c r="G47" s="11" t="n">
        <v>21.79</v>
      </c>
      <c r="H47" s="11" t="n">
        <v>3.39</v>
      </c>
      <c r="I47" s="11" t="n">
        <f aca="false">H47/2</f>
        <v>1.695</v>
      </c>
      <c r="J47" s="11" t="n">
        <f aca="false">I47*G47</f>
        <v>36.93405</v>
      </c>
    </row>
    <row r="48" customFormat="false" ht="12.75" hidden="false" customHeight="false" outlineLevel="0" collapsed="false">
      <c r="B48" s="11"/>
      <c r="C48" s="11"/>
      <c r="D48" s="11"/>
      <c r="E48" s="11"/>
      <c r="F48" s="11" t="n">
        <v>8.84</v>
      </c>
      <c r="G48" s="11" t="n">
        <v>21</v>
      </c>
      <c r="H48" s="11" t="n">
        <v>3.26</v>
      </c>
      <c r="I48" s="11" t="n">
        <f aca="false">H48/2</f>
        <v>1.63</v>
      </c>
      <c r="J48" s="11" t="n">
        <f aca="false">I48*G48</f>
        <v>34.23</v>
      </c>
    </row>
    <row r="49" customFormat="false" ht="12.75" hidden="false" customHeight="false" outlineLevel="0" collapsed="false">
      <c r="B49" s="11"/>
      <c r="C49" s="11"/>
      <c r="D49" s="11"/>
      <c r="E49" s="11"/>
      <c r="F49" s="11" t="n">
        <v>8.32</v>
      </c>
      <c r="G49" s="11" t="n">
        <v>22.31</v>
      </c>
      <c r="H49" s="11" t="n">
        <v>3.78</v>
      </c>
      <c r="I49" s="11" t="n">
        <f aca="false">H49/2</f>
        <v>1.89</v>
      </c>
      <c r="J49" s="11" t="n">
        <f aca="false">I49*G49</f>
        <v>42.1659</v>
      </c>
    </row>
    <row r="50" customFormat="false" ht="12.75" hidden="false" customHeight="false" outlineLevel="0" collapsed="false">
      <c r="B50" s="11"/>
      <c r="C50" s="11"/>
      <c r="D50" s="11"/>
      <c r="F50" s="11" t="n">
        <v>7.93</v>
      </c>
      <c r="G50" s="11" t="n">
        <v>19.57</v>
      </c>
      <c r="H50" s="11" t="n">
        <v>3.13</v>
      </c>
      <c r="I50" s="11" t="n">
        <f aca="false">H50/2</f>
        <v>1.565</v>
      </c>
      <c r="J50" s="11" t="n">
        <f aca="false">I50*G50</f>
        <v>30.62705</v>
      </c>
    </row>
    <row r="51" customFormat="false" ht="12.75" hidden="false" customHeight="false" outlineLevel="0" collapsed="false">
      <c r="B51" s="11"/>
      <c r="C51" s="11"/>
      <c r="D51" s="11"/>
      <c r="F51" s="11" t="n">
        <v>8.45</v>
      </c>
      <c r="G51" s="11" t="n">
        <v>21.13</v>
      </c>
      <c r="H51" s="11" t="n">
        <v>3.26</v>
      </c>
      <c r="I51" s="11" t="n">
        <f aca="false">H51/2</f>
        <v>1.63</v>
      </c>
      <c r="J51" s="11" t="n">
        <f aca="false">I51*G51</f>
        <v>34.4419</v>
      </c>
    </row>
    <row r="52" customFormat="false" ht="12.75" hidden="false" customHeight="false" outlineLevel="0" collapsed="false">
      <c r="B52" s="11"/>
      <c r="C52" s="11"/>
      <c r="D52" s="11"/>
      <c r="F52" s="11" t="n">
        <v>8.45</v>
      </c>
      <c r="G52" s="11" t="n">
        <v>24</v>
      </c>
      <c r="H52" s="11" t="n">
        <v>3.52</v>
      </c>
      <c r="I52" s="11" t="n">
        <f aca="false">H52/2</f>
        <v>1.76</v>
      </c>
      <c r="J52" s="11" t="n">
        <f aca="false">I52*G52</f>
        <v>42.24</v>
      </c>
    </row>
    <row r="53" customFormat="false" ht="12.75" hidden="false" customHeight="false" outlineLevel="0" collapsed="false">
      <c r="B53" s="11"/>
      <c r="C53" s="11"/>
      <c r="D53" s="11"/>
      <c r="F53" s="11" t="n">
        <v>7.8</v>
      </c>
      <c r="G53" s="11" t="n">
        <v>18.66</v>
      </c>
      <c r="H53" s="11" t="n">
        <v>3.39</v>
      </c>
      <c r="I53" s="11" t="n">
        <f aca="false">H53/2</f>
        <v>1.695</v>
      </c>
      <c r="J53" s="11" t="n">
        <f aca="false">I53*G53</f>
        <v>31.6287</v>
      </c>
    </row>
    <row r="54" customFormat="false" ht="12.75" hidden="false" customHeight="false" outlineLevel="0" collapsed="false">
      <c r="B54" s="11"/>
      <c r="C54" s="11"/>
      <c r="D54" s="11"/>
      <c r="F54" s="11" t="n">
        <v>7.8</v>
      </c>
      <c r="G54" s="11" t="n">
        <v>20.48</v>
      </c>
      <c r="H54" s="11" t="n">
        <v>3</v>
      </c>
      <c r="I54" s="11" t="n">
        <f aca="false">H54/2</f>
        <v>1.5</v>
      </c>
      <c r="J54" s="11" t="n">
        <f aca="false">I54*G54</f>
        <v>30.72</v>
      </c>
    </row>
    <row r="55" customFormat="false" ht="12.75" hidden="false" customHeight="false" outlineLevel="0" collapsed="false">
      <c r="E55" s="14" t="s">
        <v>36</v>
      </c>
      <c r="F55" s="14" t="n">
        <f aca="false">AVERAGE(F47:F54)</f>
        <v>8.27125</v>
      </c>
      <c r="G55" s="14" t="n">
        <f aca="false">AVERAGE(G47:G54)</f>
        <v>21.1175</v>
      </c>
      <c r="H55" s="14" t="n">
        <f aca="false">AVERAGE(H47:H54)</f>
        <v>3.34125</v>
      </c>
      <c r="I55" s="14" t="n">
        <f aca="false">AVERAGE(I47:I54)</f>
        <v>1.670625</v>
      </c>
      <c r="J55" s="14" t="n">
        <f aca="false">AVERAGE(J47:J54)</f>
        <v>35.37345</v>
      </c>
    </row>
    <row r="56" customFormat="false" ht="13.5" hidden="false" customHeight="false" outlineLevel="0" collapsed="false">
      <c r="E56" s="15" t="s">
        <v>37</v>
      </c>
      <c r="F56" s="16" t="n">
        <f aca="false">STDEV(F47:F54)</f>
        <v>0.386502171496395</v>
      </c>
      <c r="G56" s="16" t="n">
        <f aca="false">STDEV(G47:G54)</f>
        <v>1.64913613749745</v>
      </c>
      <c r="H56" s="16" t="n">
        <f aca="false">STDEV(H47:H54)</f>
        <v>0.240085550228604</v>
      </c>
      <c r="I56" s="16" t="n">
        <f aca="false">STDEV(I47:I54)</f>
        <v>0.120042775114302</v>
      </c>
      <c r="J56" s="16" t="n">
        <f aca="false">STDEV(J47:J54)</f>
        <v>4.72234330444113</v>
      </c>
    </row>
    <row r="57" customFormat="false" ht="12.75" hidden="false" customHeight="false" outlineLevel="0" collapsed="false">
      <c r="E57" s="17" t="s">
        <v>38</v>
      </c>
      <c r="F57" s="23" t="n">
        <f aca="false">F56/F55</f>
        <v>0.0467283870631881</v>
      </c>
      <c r="G57" s="23" t="n">
        <f aca="false">G56/G55</f>
        <v>0.0780933414228695</v>
      </c>
      <c r="H57" s="23" t="n">
        <f aca="false">H56/H55</f>
        <v>0.0718550094212058</v>
      </c>
      <c r="I57" s="23" t="n">
        <f aca="false">I56/I55</f>
        <v>0.0718550094212058</v>
      </c>
      <c r="J57" s="23" t="n">
        <f aca="false">J56/J55</f>
        <v>0.133499653113879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B59"/>
  <sheetViews>
    <sheetView showFormulas="false" showGridLines="true" showRowColHeaders="true" showZeros="true" rightToLeft="false" tabSelected="true" showOutlineSymbols="true" defaultGridColor="true" view="normal" topLeftCell="Q1" colorId="64" zoomScale="115" zoomScaleNormal="115" zoomScalePageLayoutView="100" workbookViewId="0">
      <selection pane="topLeft" activeCell="Z15" activeCellId="0" sqref="Z15"/>
    </sheetView>
  </sheetViews>
  <sheetFormatPr defaultColWidth="8.5703125" defaultRowHeight="12.75" zeroHeight="false" outlineLevelRow="0" outlineLevelCol="0"/>
  <cols>
    <col collapsed="false" customWidth="true" hidden="false" outlineLevel="0" max="17" min="17" style="0" width="12.22"/>
    <col collapsed="false" customWidth="true" hidden="false" outlineLevel="0" max="18" min="18" style="0" width="17.88"/>
    <col collapsed="false" customWidth="true" hidden="false" outlineLevel="0" max="19" min="19" style="0" width="21.88"/>
    <col collapsed="false" customWidth="true" hidden="false" outlineLevel="0" max="20" min="20" style="0" width="18.67"/>
    <col collapsed="false" customWidth="true" hidden="false" outlineLevel="0" max="21" min="21" style="0" width="22.67"/>
    <col collapsed="false" customWidth="true" hidden="false" outlineLevel="0" max="24" min="24" style="0" width="11.53"/>
    <col collapsed="false" customWidth="true" hidden="false" outlineLevel="0" max="25" min="25" style="0" width="10.88"/>
    <col collapsed="false" customWidth="true" hidden="false" outlineLevel="0" max="26" min="26" style="0" width="11.53"/>
    <col collapsed="false" customWidth="true" hidden="false" outlineLevel="0" max="27" min="27" style="0" width="10.88"/>
    <col collapsed="false" customWidth="true" hidden="false" outlineLevel="0" max="28" min="28" style="0" width="9.88"/>
  </cols>
  <sheetData>
    <row r="1" customFormat="false" ht="13.5" hidden="false" customHeight="false" outlineLevel="0" collapsed="false">
      <c r="B1" s="7" t="s">
        <v>15</v>
      </c>
      <c r="C1" s="7" t="s">
        <v>16</v>
      </c>
      <c r="D1" s="7" t="s">
        <v>17</v>
      </c>
      <c r="E1" s="8" t="s">
        <v>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L1" s="9" t="s">
        <v>17</v>
      </c>
      <c r="M1" s="9" t="s">
        <v>18</v>
      </c>
      <c r="N1" s="9" t="s">
        <v>23</v>
      </c>
      <c r="O1" s="9" t="s">
        <v>17</v>
      </c>
      <c r="P1" s="9" t="s">
        <v>22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W1" s="9" t="s">
        <v>29</v>
      </c>
      <c r="X1" s="9" t="s">
        <v>30</v>
      </c>
      <c r="Y1" s="9" t="s">
        <v>31</v>
      </c>
      <c r="Z1" s="9" t="s">
        <v>32</v>
      </c>
      <c r="AA1" s="9" t="s">
        <v>30</v>
      </c>
      <c r="AB1" s="9" t="s">
        <v>31</v>
      </c>
    </row>
    <row r="2" customFormat="false" ht="12.75" hidden="false" customHeight="false" outlineLevel="0" collapsed="false">
      <c r="B2" s="10" t="n">
        <v>50</v>
      </c>
      <c r="C2" s="10" t="n">
        <v>10.2</v>
      </c>
      <c r="D2" s="10" t="n">
        <f aca="false">B2-C2</f>
        <v>39.8</v>
      </c>
      <c r="E2" s="10" t="n">
        <f aca="false">Оборудование!$I$2</f>
        <v>1</v>
      </c>
      <c r="F2" s="11" t="n">
        <v>11.37</v>
      </c>
      <c r="G2" s="11" t="n">
        <v>24.92</v>
      </c>
      <c r="H2" s="11" t="n">
        <v>3.4</v>
      </c>
      <c r="I2" s="11" t="n">
        <f aca="false">H2/2</f>
        <v>1.7</v>
      </c>
      <c r="J2" s="11" t="n">
        <f aca="false">I2*G2</f>
        <v>42.364</v>
      </c>
      <c r="L2" s="11" t="n">
        <f aca="false">$D$2</f>
        <v>39.8</v>
      </c>
      <c r="M2" s="11" t="n">
        <f aca="false">$F$10</f>
        <v>12.18125</v>
      </c>
      <c r="N2" s="11" t="n">
        <f aca="false">SQRT(SQRT(Оборудование!$Q$2^2+16/3*(Оборудование!$F$2/1000)^3*L2/100)-Оборудование!$Q$2)*1000</f>
        <v>11.3930124137296</v>
      </c>
      <c r="O2" s="11" t="n">
        <f aca="false">$D$2</f>
        <v>39.8</v>
      </c>
      <c r="P2" s="11" t="n">
        <f aca="false">$J$10</f>
        <v>58.4803125</v>
      </c>
      <c r="Q2" s="11" t="n">
        <f aca="false">(SQRT(Оборудование!$Q$2^2+8/3*(Оборудование!$F$2/1000)^3*O2/100)-Оборудование!$Q$2)*1000000</f>
        <v>87.969180614267</v>
      </c>
      <c r="R2" s="11" t="n">
        <f aca="false">((M2/1000)^2+Оборудование!$Q$2)^2 * 10^(3*4)</f>
        <v>26647.7550765959</v>
      </c>
      <c r="S2" s="11" t="n">
        <f aca="false">((N2/1000)^2+Оборудование!$Q$2)^2 * 10^(3*4)</f>
        <v>20926.3077328194</v>
      </c>
      <c r="T2" s="11" t="n">
        <f aca="false">((P2/1000000)+Оборудование!$Q$2)^2*10^12</f>
        <v>5378.58870450069</v>
      </c>
      <c r="U2" s="11" t="n">
        <f aca="false">((Q2/1000000)+Оборудование!$Q$2)^2*10^12</f>
        <v>10573.5421155688</v>
      </c>
      <c r="W2" s="12" t="s">
        <v>34</v>
      </c>
      <c r="X2" s="11" t="n">
        <f aca="false" t="array" ref="X2:Y6">LINEST(R2:R6,L2:L6,1,1)</f>
        <v>615.508639273065</v>
      </c>
      <c r="Y2" s="11" t="n">
        <v>1872.21712437385</v>
      </c>
      <c r="Z2" s="13" t="s">
        <v>34</v>
      </c>
      <c r="AA2" s="11" t="n">
        <f aca="false" t="array" ref="AA2:AB6">LINEST(T2:T6,O2:O6,1,1)</f>
        <v>190.235789208402</v>
      </c>
      <c r="AB2" s="11" t="n">
        <v>-1983.62213354674</v>
      </c>
    </row>
    <row r="3" customFormat="false" ht="12.75" hidden="false" customHeight="false" outlineLevel="0" collapsed="false">
      <c r="B3" s="10"/>
      <c r="C3" s="10"/>
      <c r="D3" s="10"/>
      <c r="E3" s="10"/>
      <c r="F3" s="11" t="n">
        <v>11.99</v>
      </c>
      <c r="G3" s="11" t="n">
        <v>27.39</v>
      </c>
      <c r="H3" s="11" t="n">
        <v>4.63</v>
      </c>
      <c r="I3" s="11" t="n">
        <f aca="false">H3/2</f>
        <v>2.315</v>
      </c>
      <c r="J3" s="11" t="n">
        <f aca="false">I3*G3</f>
        <v>63.40785</v>
      </c>
      <c r="L3" s="11" t="n">
        <f aca="false">$D$14</f>
        <v>34.8</v>
      </c>
      <c r="M3" s="11" t="n">
        <f aca="false">$F$24</f>
        <v>11.789</v>
      </c>
      <c r="N3" s="11" t="n">
        <f aca="false">SQRT(SQRT(Оборудование!$Q$2^2+16/3*(Оборудование!$F$2/1000)^3*L3/100)-Оборудование!$Q$2)*1000</f>
        <v>10.9777830909186</v>
      </c>
      <c r="O3" s="11" t="n">
        <f aca="false">$D$14</f>
        <v>34.8</v>
      </c>
      <c r="P3" s="11" t="n">
        <f aca="false">$J$24</f>
        <v>55.30303</v>
      </c>
      <c r="Q3" s="11" t="n">
        <f aca="false">(SQRT(Оборудование!$Q$2^2+8/3*(Оборудование!$F$2/1000)^3*O3/100)-Оборудование!$Q$2)*1000000</f>
        <v>81.4375739268993</v>
      </c>
      <c r="R3" s="11" t="n">
        <f aca="false">((M3/1000)^2+Оборудование!$Q$2)^2 * 10^(3*4)</f>
        <v>23666.4596648409</v>
      </c>
      <c r="S3" s="11" t="n">
        <f aca="false">((N3/1000)^2+Оборудование!$Q$2)^2 * 10^(3*4)</f>
        <v>18325.1103415504</v>
      </c>
      <c r="T3" s="11" t="n">
        <f aca="false">((P3/1000000)+Оборудование!$Q$2)^2*10^12</f>
        <v>4922.64726189541</v>
      </c>
      <c r="U3" s="11" t="n">
        <f aca="false">((Q3/1000000)+Оборудование!$Q$2)^2*10^12</f>
        <v>9272.94341993432</v>
      </c>
      <c r="W3" s="12" t="s">
        <v>35</v>
      </c>
      <c r="X3" s="11" t="n">
        <v>80.2119217803817</v>
      </c>
      <c r="Y3" s="11" t="n">
        <v>2456.68571560637</v>
      </c>
      <c r="Z3" s="13" t="s">
        <v>35</v>
      </c>
      <c r="AA3" s="11" t="n">
        <v>15.5010970575276</v>
      </c>
      <c r="AB3" s="11" t="n">
        <v>474.758899577568</v>
      </c>
    </row>
    <row r="4" customFormat="false" ht="12.75" hidden="false" customHeight="false" outlineLevel="0" collapsed="false">
      <c r="B4" s="10"/>
      <c r="C4" s="10"/>
      <c r="D4" s="10"/>
      <c r="E4" s="10"/>
      <c r="F4" s="11" t="n">
        <v>12.45</v>
      </c>
      <c r="G4" s="11" t="n">
        <v>29.4</v>
      </c>
      <c r="H4" s="11" t="n">
        <v>4.17</v>
      </c>
      <c r="I4" s="11" t="n">
        <f aca="false">H4/2</f>
        <v>2.085</v>
      </c>
      <c r="J4" s="11" t="n">
        <f aca="false">I4*G4</f>
        <v>61.299</v>
      </c>
      <c r="L4" s="11" t="n">
        <f aca="false">$D$28</f>
        <v>29.8</v>
      </c>
      <c r="M4" s="11" t="n">
        <f aca="false">$F$35</f>
        <v>11.24</v>
      </c>
      <c r="N4" s="11" t="n">
        <f aca="false">SQRT(SQRT(Оборудование!$Q$2^2+16/3*(Оборудование!$F$2/1000)^3*L4/100)-Оборудование!$Q$2)*1000</f>
        <v>10.5136329564575</v>
      </c>
      <c r="O4" s="11" t="n">
        <f aca="false">$D$28</f>
        <v>29.8</v>
      </c>
      <c r="P4" s="11" t="n">
        <f aca="false">$J$35</f>
        <v>46.6213357142857</v>
      </c>
      <c r="Q4" s="11" t="n">
        <f aca="false">(SQRT(Оборудование!$Q$2^2+8/3*(Оборудование!$F$2/1000)^3*O4/100)-Оборудование!$Q$2)*1000000</f>
        <v>74.4294378992434</v>
      </c>
      <c r="R4" s="11" t="n">
        <f aca="false">((M4/1000)^2+Оборудование!$Q$2)^2 * 10^(3*4)</f>
        <v>19936.3526818457</v>
      </c>
      <c r="S4" s="11" t="n">
        <f aca="false">((N4/1000)^2+Оборудование!$Q$2)^2 * 10^(3*4)</f>
        <v>15723.9129502814</v>
      </c>
      <c r="T4" s="11" t="n">
        <f aca="false">((P4/1000000)+Оборудование!$Q$2)^2*10^12</f>
        <v>3779.77630695749</v>
      </c>
      <c r="U4" s="11" t="n">
        <f aca="false">((Q4/1000000)+Оборудование!$Q$2)^2*10^12</f>
        <v>7972.34472429982</v>
      </c>
      <c r="X4" s="11" t="n">
        <v>0.951521476205037</v>
      </c>
      <c r="Y4" s="11" t="n">
        <v>1268.26184162637</v>
      </c>
      <c r="Z4" s="11"/>
      <c r="AA4" s="11" t="n">
        <v>0.98047027585685</v>
      </c>
      <c r="AB4" s="11" t="n">
        <v>245.093864665607</v>
      </c>
    </row>
    <row r="5" customFormat="false" ht="12.75" hidden="false" customHeight="false" outlineLevel="0" collapsed="false">
      <c r="B5" s="10"/>
      <c r="C5" s="10"/>
      <c r="D5" s="10"/>
      <c r="E5" s="10"/>
      <c r="F5" s="11" t="n">
        <v>11.83</v>
      </c>
      <c r="G5" s="11" t="n">
        <v>27.39</v>
      </c>
      <c r="H5" s="11" t="n">
        <v>4.32</v>
      </c>
      <c r="I5" s="11" t="n">
        <f aca="false">H5/2</f>
        <v>2.16</v>
      </c>
      <c r="J5" s="11" t="n">
        <f aca="false">I5*G5</f>
        <v>59.1624</v>
      </c>
      <c r="L5" s="11" t="n">
        <f aca="false">$D$39</f>
        <v>24.8</v>
      </c>
      <c r="M5" s="11" t="n">
        <f aca="false">$F$47</f>
        <v>10.4625</v>
      </c>
      <c r="N5" s="11" t="n">
        <f aca="false">SQRT(SQRT(Оборудование!$Q$2^2+16/3*(Оборудование!$F$2/1000)^3*L5/100)-Оборудование!$Q$2)*1000</f>
        <v>9.98478202823779</v>
      </c>
      <c r="O5" s="11" t="n">
        <f aca="false">$D$39</f>
        <v>24.8</v>
      </c>
      <c r="P5" s="11" t="n">
        <f aca="false">$J$47</f>
        <v>35.38071875</v>
      </c>
      <c r="Q5" s="11" t="n">
        <f aca="false">(SQRT(Оборудование!$Q$2^2+8/3*(Оборудование!$F$2/1000)^3*O5/100)-Оборудование!$Q$2)*1000000</f>
        <v>66.8222071123801</v>
      </c>
      <c r="R5" s="11" t="n">
        <f aca="false">((M5/1000)^2+Оборудование!$Q$2)^2 * 10^(3*4)</f>
        <v>15456.0730461675</v>
      </c>
      <c r="S5" s="11" t="n">
        <f aca="false">((N5/1000)^2+Оборудование!$Q$2)^2 * 10^(3*4)</f>
        <v>13122.7155590124</v>
      </c>
      <c r="T5" s="11" t="n">
        <f aca="false">((P5/1000000)+Оборудование!$Q$2)^2*10^12</f>
        <v>2523.98409145246</v>
      </c>
      <c r="U5" s="11" t="n">
        <f aca="false">((Q5/1000000)+Оборудование!$Q$2)^2*10^12</f>
        <v>6671.74602866533</v>
      </c>
      <c r="X5" s="11" t="n">
        <v>58.8830724443743</v>
      </c>
      <c r="Y5" s="11" t="n">
        <v>3</v>
      </c>
      <c r="Z5" s="11"/>
      <c r="AA5" s="11" t="n">
        <v>150.612000764087</v>
      </c>
      <c r="AB5" s="11" t="n">
        <v>3</v>
      </c>
    </row>
    <row r="6" customFormat="false" ht="12.75" hidden="false" customHeight="false" outlineLevel="0" collapsed="false">
      <c r="B6" s="10"/>
      <c r="C6" s="10"/>
      <c r="D6" s="10"/>
      <c r="F6" s="11" t="n">
        <v>12.92</v>
      </c>
      <c r="G6" s="11" t="n">
        <v>33.57</v>
      </c>
      <c r="H6" s="11" t="n">
        <v>4.32</v>
      </c>
      <c r="I6" s="11" t="n">
        <f aca="false">H6/2</f>
        <v>2.16</v>
      </c>
      <c r="J6" s="11" t="n">
        <f aca="false">I6*G6</f>
        <v>72.5112</v>
      </c>
      <c r="L6" s="11" t="n">
        <f aca="false">$D$51</f>
        <v>19.8</v>
      </c>
      <c r="M6" s="11" t="n">
        <f aca="false">$F$57</f>
        <v>10.445</v>
      </c>
      <c r="N6" s="11" t="n">
        <f aca="false">SQRT(SQRT(Оборудование!$Q$2^2+16/3*(Оборудование!$F$2/1000)^3*L6/100)-Оборудование!$Q$2)*1000</f>
        <v>9.36567681253735</v>
      </c>
      <c r="O6" s="11" t="n">
        <f aca="false">$D$51</f>
        <v>19.8</v>
      </c>
      <c r="P6" s="11" t="n">
        <f aca="false">$J$57</f>
        <v>27.8266416666667</v>
      </c>
      <c r="Q6" s="11" t="n">
        <f aca="false">(SQRT(Оборудование!$Q$2^2+8/3*(Оборудование!$F$2/1000)^3*O6/100)-Оборудование!$Q$2)*1000000</f>
        <v>58.4295621416743</v>
      </c>
      <c r="R6" s="11" t="n">
        <f aca="false">((M6/1000)^2+Оборудование!$Q$2)^2 * 10^(3*4)</f>
        <v>15365.2324041059</v>
      </c>
      <c r="S6" s="11" t="n">
        <f aca="false">((N6/1000)^2+Оборудование!$Q$2)^2 * 10^(3*4)</f>
        <v>10521.5181677434</v>
      </c>
      <c r="T6" s="11" t="n">
        <f aca="false">((P6/1000000)+Оборудование!$Q$2)^2*10^12</f>
        <v>1822.02555951212</v>
      </c>
      <c r="U6" s="11" t="n">
        <f aca="false">((Q6/1000000)+Оборудование!$Q$2)^2*10^12</f>
        <v>5371.14733303083</v>
      </c>
      <c r="X6" s="11" t="n">
        <v>94712721.254945</v>
      </c>
      <c r="Y6" s="11" t="n">
        <v>4825464.29677655</v>
      </c>
      <c r="Z6" s="11"/>
      <c r="AA6" s="11" t="n">
        <v>9047413.87393588</v>
      </c>
      <c r="AB6" s="11" t="n">
        <v>180213.007490168</v>
      </c>
    </row>
    <row r="7" customFormat="false" ht="12.8" hidden="false" customHeight="false" outlineLevel="0" collapsed="false">
      <c r="F7" s="11" t="n">
        <v>12.76</v>
      </c>
      <c r="G7" s="11" t="n">
        <v>32.8</v>
      </c>
      <c r="H7" s="11" t="n">
        <v>4.02</v>
      </c>
      <c r="I7" s="11" t="n">
        <f aca="false">H7/2</f>
        <v>2.01</v>
      </c>
      <c r="J7" s="11" t="n">
        <f aca="false">I7*G7</f>
        <v>65.928</v>
      </c>
      <c r="W7" s="9" t="s">
        <v>29</v>
      </c>
      <c r="X7" s="9" t="s">
        <v>30</v>
      </c>
      <c r="Y7" s="9" t="s">
        <v>31</v>
      </c>
      <c r="Z7" s="9" t="s">
        <v>32</v>
      </c>
      <c r="AA7" s="9" t="s">
        <v>30</v>
      </c>
      <c r="AB7" s="9" t="s">
        <v>31</v>
      </c>
    </row>
    <row r="8" customFormat="false" ht="12.8" hidden="false" customHeight="false" outlineLevel="0" collapsed="false">
      <c r="F8" s="11" t="n">
        <v>12.45</v>
      </c>
      <c r="G8" s="11" t="n">
        <v>32.03</v>
      </c>
      <c r="H8" s="11" t="n">
        <v>3.71</v>
      </c>
      <c r="I8" s="11" t="n">
        <f aca="false">H8/2</f>
        <v>1.855</v>
      </c>
      <c r="J8" s="11" t="n">
        <f aca="false">I8*G8</f>
        <v>59.41565</v>
      </c>
      <c r="W8" s="12" t="s">
        <v>34</v>
      </c>
      <c r="X8" s="11" t="n">
        <f aca="false" t="array" ref="X8:Y12">LINEST(S2:S6,O2:O6,1,1)</f>
        <v>520.239478253798</v>
      </c>
      <c r="Y8" s="11" t="n">
        <v>220.776498318228</v>
      </c>
      <c r="Z8" s="13" t="s">
        <v>34</v>
      </c>
      <c r="AA8" s="11" t="n">
        <f aca="false" t="array" ref="AA8:AB12">LINEST(U2:U6,O2:O6,1,1)</f>
        <v>260.119739126899</v>
      </c>
      <c r="AB8" s="11" t="n">
        <v>220.776498318231</v>
      </c>
    </row>
    <row r="9" customFormat="false" ht="12.8" hidden="false" customHeight="false" outlineLevel="0" collapsed="false">
      <c r="F9" s="11" t="n">
        <v>11.68</v>
      </c>
      <c r="G9" s="11" t="n">
        <v>28.32</v>
      </c>
      <c r="H9" s="11" t="n">
        <v>3.09</v>
      </c>
      <c r="I9" s="11" t="n">
        <f aca="false">H9/2</f>
        <v>1.545</v>
      </c>
      <c r="J9" s="11" t="n">
        <f aca="false">I9*G9</f>
        <v>43.7544</v>
      </c>
      <c r="W9" s="12" t="s">
        <v>35</v>
      </c>
      <c r="X9" s="11" t="n">
        <v>2.41635802541989E-013</v>
      </c>
      <c r="Y9" s="11" t="n">
        <v>7.4006857248641E-012</v>
      </c>
      <c r="Z9" s="13" t="s">
        <v>35</v>
      </c>
      <c r="AA9" s="11" t="n">
        <v>8.77712566632869E-014</v>
      </c>
      <c r="AB9" s="11" t="n">
        <v>2.68820878118214E-012</v>
      </c>
    </row>
    <row r="10" customFormat="false" ht="12.8" hidden="false" customHeight="false" outlineLevel="0" collapsed="false">
      <c r="E10" s="14" t="s">
        <v>36</v>
      </c>
      <c r="F10" s="14" t="n">
        <f aca="false">AVERAGE(F2:F9)</f>
        <v>12.18125</v>
      </c>
      <c r="G10" s="14" t="n">
        <f aca="false">AVERAGE(G2:G9)</f>
        <v>29.4775</v>
      </c>
      <c r="H10" s="14" t="n">
        <f aca="false">AVERAGE(H2:H9)</f>
        <v>3.9575</v>
      </c>
      <c r="I10" s="14" t="n">
        <f aca="false">AVERAGE(I2:I9)</f>
        <v>1.97875</v>
      </c>
      <c r="J10" s="14" t="n">
        <f aca="false">AVERAGE(J2:J9)</f>
        <v>58.4803125</v>
      </c>
      <c r="X10" s="11" t="n">
        <v>1</v>
      </c>
      <c r="Y10" s="11" t="n">
        <v>3.82059750137695E-012</v>
      </c>
      <c r="Z10" s="11"/>
      <c r="AA10" s="11" t="n">
        <v>1</v>
      </c>
      <c r="AB10" s="11" t="n">
        <v>1.38778542075609E-012</v>
      </c>
    </row>
    <row r="11" customFormat="false" ht="12.8" hidden="false" customHeight="false" outlineLevel="0" collapsed="false">
      <c r="E11" s="15" t="s">
        <v>37</v>
      </c>
      <c r="F11" s="16" t="n">
        <f aca="false">STDEV(F2:F9)</f>
        <v>0.547003199259383</v>
      </c>
      <c r="G11" s="16" t="n">
        <f aca="false">STDEV(G2:G9)</f>
        <v>3.05040395451394</v>
      </c>
      <c r="H11" s="16" t="n">
        <f aca="false">STDEV(H2:H9)</f>
        <v>0.519443383412888</v>
      </c>
      <c r="I11" s="16" t="n">
        <f aca="false">STDEV(I2:I9)</f>
        <v>0.259721691706444</v>
      </c>
      <c r="J11" s="16" t="n">
        <f aca="false">STDEV(J2:J9)</f>
        <v>10.4368003123819</v>
      </c>
      <c r="X11" s="11" t="n">
        <v>4.63536614928902E+030</v>
      </c>
      <c r="Y11" s="11" t="n">
        <v>3</v>
      </c>
      <c r="Z11" s="11"/>
      <c r="AA11" s="11" t="n">
        <v>8.78298187981797E+030</v>
      </c>
      <c r="AB11" s="11" t="n">
        <v>3</v>
      </c>
    </row>
    <row r="12" customFormat="false" ht="12.8" hidden="false" customHeight="false" outlineLevel="0" collapsed="false">
      <c r="E12" s="17" t="s">
        <v>38</v>
      </c>
      <c r="F12" s="18" t="n">
        <f aca="false">F11/F10</f>
        <v>0.0449053421659832</v>
      </c>
      <c r="G12" s="18" t="n">
        <f aca="false">G11/G10</f>
        <v>0.103482451175098</v>
      </c>
      <c r="H12" s="18" t="n">
        <f aca="false">H11/H10</f>
        <v>0.131255434848487</v>
      </c>
      <c r="I12" s="18" t="n">
        <f aca="false">I11/I10</f>
        <v>0.131255434848487</v>
      </c>
      <c r="J12" s="18" t="n">
        <f aca="false">J11/J10</f>
        <v>0.178466903923982</v>
      </c>
      <c r="X12" s="11" t="n">
        <v>67662278.683446</v>
      </c>
      <c r="Y12" s="11" t="n">
        <v>4.37908958025834E-023</v>
      </c>
      <c r="Z12" s="11"/>
      <c r="AA12" s="11" t="n">
        <v>16915569.6708615</v>
      </c>
      <c r="AB12" s="11" t="n">
        <v>5.77784512218944E-024</v>
      </c>
    </row>
    <row r="13" customFormat="false" ht="13.5" hidden="false" customHeight="false" outlineLevel="0" collapsed="false">
      <c r="B13" s="7" t="s">
        <v>15</v>
      </c>
      <c r="C13" s="7" t="s">
        <v>16</v>
      </c>
      <c r="D13" s="7" t="s">
        <v>17</v>
      </c>
      <c r="E13" s="8" t="s">
        <v>7</v>
      </c>
      <c r="F13" s="9" t="s">
        <v>18</v>
      </c>
      <c r="G13" s="9" t="s">
        <v>19</v>
      </c>
      <c r="H13" s="9" t="s">
        <v>20</v>
      </c>
      <c r="I13" s="9" t="s">
        <v>21</v>
      </c>
      <c r="J13" s="9" t="s">
        <v>22</v>
      </c>
    </row>
    <row r="14" customFormat="false" ht="12.75" hidden="false" customHeight="false" outlineLevel="0" collapsed="false">
      <c r="B14" s="10" t="n">
        <v>45</v>
      </c>
      <c r="C14" s="10" t="n">
        <v>10.2</v>
      </c>
      <c r="D14" s="10" t="n">
        <f aca="false">B14-C14</f>
        <v>34.8</v>
      </c>
      <c r="E14" s="10" t="n">
        <f aca="false">Оборудование!$I$2</f>
        <v>1</v>
      </c>
      <c r="F14" s="11" t="n">
        <v>11.37</v>
      </c>
      <c r="G14" s="11" t="n">
        <v>29.71</v>
      </c>
      <c r="H14" s="11" t="n">
        <v>3.71</v>
      </c>
      <c r="I14" s="11" t="n">
        <f aca="false">H14/2</f>
        <v>1.855</v>
      </c>
      <c r="J14" s="11" t="n">
        <f aca="false">I14*G14</f>
        <v>55.11205</v>
      </c>
      <c r="W14" s="19" t="n">
        <f aca="false">(X2-X8)/X8</f>
        <v>0.18312558927485</v>
      </c>
      <c r="Z14" s="19" t="n">
        <f aca="false">(-AA2+AA8)/AA8</f>
        <v>0.268660695082446</v>
      </c>
    </row>
    <row r="15" customFormat="false" ht="12.75" hidden="false" customHeight="false" outlineLevel="0" collapsed="false">
      <c r="B15" s="10"/>
      <c r="C15" s="10"/>
      <c r="D15" s="10"/>
      <c r="E15" s="10"/>
      <c r="F15" s="11" t="n">
        <v>10.75</v>
      </c>
      <c r="G15" s="11" t="n">
        <v>26</v>
      </c>
      <c r="H15" s="11" t="n">
        <v>4.17</v>
      </c>
      <c r="I15" s="11" t="n">
        <f aca="false">H15/2</f>
        <v>2.085</v>
      </c>
      <c r="J15" s="11" t="n">
        <f aca="false">I15*G15</f>
        <v>54.21</v>
      </c>
    </row>
    <row r="16" customFormat="false" ht="12.75" hidden="false" customHeight="false" outlineLevel="0" collapsed="false">
      <c r="B16" s="10"/>
      <c r="C16" s="10"/>
      <c r="D16" s="10"/>
      <c r="E16" s="10"/>
      <c r="F16" s="11" t="n">
        <v>11.68</v>
      </c>
      <c r="G16" s="11" t="n">
        <v>28.47</v>
      </c>
      <c r="H16" s="11" t="n">
        <v>3.55</v>
      </c>
      <c r="I16" s="11" t="n">
        <f aca="false">H16/2</f>
        <v>1.775</v>
      </c>
      <c r="J16" s="11" t="n">
        <f aca="false">I16*G16</f>
        <v>50.53425</v>
      </c>
    </row>
    <row r="17" customFormat="false" ht="12.75" hidden="false" customHeight="false" outlineLevel="0" collapsed="false">
      <c r="B17" s="10"/>
      <c r="C17" s="10"/>
      <c r="D17" s="10"/>
      <c r="E17" s="10"/>
      <c r="F17" s="11" t="n">
        <v>12.3</v>
      </c>
      <c r="G17" s="11" t="n">
        <v>28.17</v>
      </c>
      <c r="H17" s="11" t="n">
        <v>4.32</v>
      </c>
      <c r="I17" s="11" t="n">
        <f aca="false">H17/2</f>
        <v>2.16</v>
      </c>
      <c r="J17" s="11" t="n">
        <f aca="false">I17*G17</f>
        <v>60.8472</v>
      </c>
    </row>
    <row r="18" customFormat="false" ht="12.75" hidden="false" customHeight="false" outlineLevel="0" collapsed="false">
      <c r="B18" s="10"/>
      <c r="C18" s="10"/>
      <c r="D18" s="10"/>
      <c r="F18" s="11" t="n">
        <v>12.61</v>
      </c>
      <c r="G18" s="11" t="n">
        <v>28.17</v>
      </c>
      <c r="H18" s="11" t="n">
        <v>4.02</v>
      </c>
      <c r="I18" s="11" t="n">
        <f aca="false">H18/2</f>
        <v>2.01</v>
      </c>
      <c r="J18" s="11" t="n">
        <f aca="false">I18*G18</f>
        <v>56.6217</v>
      </c>
    </row>
    <row r="19" customFormat="false" ht="12.75" hidden="false" customHeight="false" outlineLevel="0" collapsed="false">
      <c r="F19" s="11" t="n">
        <v>11.99</v>
      </c>
      <c r="G19" s="11" t="n">
        <v>27.7</v>
      </c>
      <c r="H19" s="11" t="n">
        <v>4.63</v>
      </c>
      <c r="I19" s="11" t="n">
        <f aca="false">H19/2</f>
        <v>2.315</v>
      </c>
      <c r="J19" s="11" t="n">
        <f aca="false">I19*G19</f>
        <v>64.1255</v>
      </c>
    </row>
    <row r="20" customFormat="false" ht="12.75" hidden="false" customHeight="false" outlineLevel="0" collapsed="false">
      <c r="F20" s="11" t="n">
        <v>10.91</v>
      </c>
      <c r="G20" s="11" t="n">
        <v>25.39</v>
      </c>
      <c r="H20" s="11" t="n">
        <v>3.24</v>
      </c>
      <c r="I20" s="11" t="n">
        <f aca="false">H20/2</f>
        <v>1.62</v>
      </c>
      <c r="J20" s="11" t="n">
        <f aca="false">I20*G20</f>
        <v>41.1318</v>
      </c>
    </row>
    <row r="21" customFormat="false" ht="12.75" hidden="false" customHeight="false" outlineLevel="0" collapsed="false">
      <c r="F21" s="11" t="n">
        <v>12.45</v>
      </c>
      <c r="G21" s="11" t="n">
        <v>34.19</v>
      </c>
      <c r="H21" s="11" t="n">
        <v>4.02</v>
      </c>
      <c r="I21" s="11" t="n">
        <f aca="false">H21/2</f>
        <v>2.01</v>
      </c>
      <c r="J21" s="11" t="n">
        <f aca="false">I21*G21</f>
        <v>68.7219</v>
      </c>
    </row>
    <row r="22" customFormat="false" ht="12.75" hidden="false" customHeight="false" outlineLevel="0" collapsed="false">
      <c r="F22" s="11" t="n">
        <v>12.3</v>
      </c>
      <c r="G22" s="11" t="n">
        <v>28.63</v>
      </c>
      <c r="H22" s="11" t="n">
        <v>3.71</v>
      </c>
      <c r="I22" s="11" t="n">
        <f aca="false">H22/2</f>
        <v>1.855</v>
      </c>
      <c r="J22" s="11" t="n">
        <f aca="false">I22*G22</f>
        <v>53.10865</v>
      </c>
    </row>
    <row r="23" customFormat="false" ht="12.75" hidden="false" customHeight="false" outlineLevel="0" collapsed="false">
      <c r="F23" s="11" t="n">
        <v>11.53</v>
      </c>
      <c r="G23" s="11" t="n">
        <v>27.39</v>
      </c>
      <c r="H23" s="11" t="n">
        <v>3.55</v>
      </c>
      <c r="I23" s="11" t="n">
        <f aca="false">H23/2</f>
        <v>1.775</v>
      </c>
      <c r="J23" s="11" t="n">
        <f aca="false">I23*G23</f>
        <v>48.61725</v>
      </c>
    </row>
    <row r="24" customFormat="false" ht="12.75" hidden="false" customHeight="false" outlineLevel="0" collapsed="false">
      <c r="E24" s="14" t="s">
        <v>36</v>
      </c>
      <c r="F24" s="14" t="n">
        <f aca="false">AVERAGE(F14:F23)</f>
        <v>11.789</v>
      </c>
      <c r="G24" s="14" t="n">
        <f aca="false">AVERAGE(G14:G23)</f>
        <v>28.382</v>
      </c>
      <c r="H24" s="14" t="n">
        <f aca="false">AVERAGE(H14:H23)</f>
        <v>3.892</v>
      </c>
      <c r="I24" s="14" t="n">
        <f aca="false">AVERAGE(I14:I23)</f>
        <v>1.946</v>
      </c>
      <c r="J24" s="14" t="n">
        <f aca="false">AVERAGE(J14:J23)</f>
        <v>55.30303</v>
      </c>
    </row>
    <row r="25" customFormat="false" ht="13.5" hidden="false" customHeight="false" outlineLevel="0" collapsed="false">
      <c r="E25" s="15" t="s">
        <v>37</v>
      </c>
      <c r="F25" s="16" t="n">
        <f aca="false">STDEV(F14:F23)</f>
        <v>0.648098929348153</v>
      </c>
      <c r="G25" s="16" t="n">
        <f aca="false">STDEV(G14:G23)</f>
        <v>2.39746996273618</v>
      </c>
      <c r="H25" s="16" t="n">
        <f aca="false">STDEV(H14:H23)</f>
        <v>0.416754657375829</v>
      </c>
      <c r="I25" s="16" t="n">
        <f aca="false">STDEV(I14:I23)</f>
        <v>0.208377328687914</v>
      </c>
      <c r="J25" s="16" t="n">
        <f aca="false">STDEV(J14:J23)</f>
        <v>7.92106845115537</v>
      </c>
    </row>
    <row r="26" customFormat="false" ht="12.75" hidden="false" customHeight="false" outlineLevel="0" collapsed="false">
      <c r="E26" s="17" t="s">
        <v>38</v>
      </c>
      <c r="F26" s="18" t="n">
        <f aca="false">F25/F24</f>
        <v>0.0549748858553018</v>
      </c>
      <c r="G26" s="18" t="n">
        <f aca="false">G25/G24</f>
        <v>0.0844714947056649</v>
      </c>
      <c r="H26" s="18" t="n">
        <f aca="false">H25/H24</f>
        <v>0.107079819469637</v>
      </c>
      <c r="I26" s="18" t="n">
        <f aca="false">I25/I24</f>
        <v>0.107079819469637</v>
      </c>
      <c r="J26" s="18" t="n">
        <f aca="false">J25/J24</f>
        <v>0.143230279627633</v>
      </c>
    </row>
    <row r="27" customFormat="false" ht="13.5" hidden="false" customHeight="false" outlineLevel="0" collapsed="false">
      <c r="B27" s="7" t="s">
        <v>15</v>
      </c>
      <c r="C27" s="7" t="s">
        <v>16</v>
      </c>
      <c r="D27" s="7" t="s">
        <v>17</v>
      </c>
      <c r="E27" s="8" t="s">
        <v>7</v>
      </c>
      <c r="F27" s="9" t="s">
        <v>18</v>
      </c>
      <c r="G27" s="9" t="s">
        <v>19</v>
      </c>
      <c r="H27" s="9" t="s">
        <v>20</v>
      </c>
      <c r="I27" s="9" t="s">
        <v>21</v>
      </c>
      <c r="J27" s="9" t="s">
        <v>22</v>
      </c>
    </row>
    <row r="28" customFormat="false" ht="12.75" hidden="false" customHeight="false" outlineLevel="0" collapsed="false">
      <c r="B28" s="10" t="n">
        <v>40</v>
      </c>
      <c r="C28" s="10" t="n">
        <v>10.2</v>
      </c>
      <c r="D28" s="10" t="n">
        <f aca="false">B28-C28</f>
        <v>29.8</v>
      </c>
      <c r="E28" s="10" t="n">
        <f aca="false">Оборудование!$I$2</f>
        <v>1</v>
      </c>
      <c r="F28" s="11" t="n">
        <v>11.22</v>
      </c>
      <c r="G28" s="11" t="n">
        <v>26.78</v>
      </c>
      <c r="H28" s="11" t="n">
        <v>4.17</v>
      </c>
      <c r="I28" s="11" t="n">
        <f aca="false">H28/2</f>
        <v>2.085</v>
      </c>
      <c r="J28" s="11" t="n">
        <f aca="false">I28*G28</f>
        <v>55.8363</v>
      </c>
    </row>
    <row r="29" customFormat="false" ht="12.75" hidden="false" customHeight="false" outlineLevel="0" collapsed="false">
      <c r="B29" s="10"/>
      <c r="C29" s="10"/>
      <c r="D29" s="10"/>
      <c r="E29" s="10"/>
      <c r="F29" s="11" t="n">
        <v>10.91</v>
      </c>
      <c r="G29" s="11" t="n">
        <v>25.85</v>
      </c>
      <c r="H29" s="11" t="n">
        <v>2.93</v>
      </c>
      <c r="I29" s="11" t="n">
        <f aca="false">H29/2</f>
        <v>1.465</v>
      </c>
      <c r="J29" s="11" t="n">
        <f aca="false">I29*G29</f>
        <v>37.87025</v>
      </c>
    </row>
    <row r="30" customFormat="false" ht="12.75" hidden="false" customHeight="false" outlineLevel="0" collapsed="false">
      <c r="B30" s="10"/>
      <c r="C30" s="10"/>
      <c r="D30" s="10"/>
      <c r="E30" s="10"/>
      <c r="F30" s="11" t="n">
        <v>11.37</v>
      </c>
      <c r="G30" s="11" t="n">
        <v>26.93</v>
      </c>
      <c r="H30" s="11" t="n">
        <v>3.86</v>
      </c>
      <c r="I30" s="11" t="n">
        <f aca="false">H30/2</f>
        <v>1.93</v>
      </c>
      <c r="J30" s="11" t="n">
        <f aca="false">I30*G30</f>
        <v>51.9749</v>
      </c>
    </row>
    <row r="31" customFormat="false" ht="12.75" hidden="false" customHeight="false" outlineLevel="0" collapsed="false">
      <c r="B31" s="10"/>
      <c r="C31" s="10"/>
      <c r="D31" s="10"/>
      <c r="E31" s="10"/>
      <c r="F31" s="11" t="n">
        <v>11.53</v>
      </c>
      <c r="G31" s="11" t="n">
        <v>29.56</v>
      </c>
      <c r="H31" s="11" t="n">
        <v>3.24</v>
      </c>
      <c r="I31" s="11" t="n">
        <f aca="false">H31/2</f>
        <v>1.62</v>
      </c>
      <c r="J31" s="11" t="n">
        <f aca="false">I31*G31</f>
        <v>47.8872</v>
      </c>
    </row>
    <row r="32" customFormat="false" ht="12.75" hidden="false" customHeight="false" outlineLevel="0" collapsed="false">
      <c r="B32" s="10"/>
      <c r="C32" s="10"/>
      <c r="D32" s="10"/>
      <c r="F32" s="11" t="n">
        <v>11.68</v>
      </c>
      <c r="G32" s="11" t="n">
        <v>28.01</v>
      </c>
      <c r="H32" s="11" t="n">
        <v>3.4</v>
      </c>
      <c r="I32" s="11" t="n">
        <f aca="false">H32/2</f>
        <v>1.7</v>
      </c>
      <c r="J32" s="11" t="n">
        <f aca="false">I32*G32</f>
        <v>47.617</v>
      </c>
    </row>
    <row r="33" customFormat="false" ht="12.75" hidden="false" customHeight="false" outlineLevel="0" collapsed="false">
      <c r="F33" s="11" t="n">
        <v>11.22</v>
      </c>
      <c r="G33" s="11" t="n">
        <v>27.86</v>
      </c>
      <c r="H33" s="11" t="n">
        <v>3.09</v>
      </c>
      <c r="I33" s="11" t="n">
        <f aca="false">H33/2</f>
        <v>1.545</v>
      </c>
      <c r="J33" s="11" t="n">
        <f aca="false">I33*G33</f>
        <v>43.0437</v>
      </c>
    </row>
    <row r="34" customFormat="false" ht="12.75" hidden="false" customHeight="false" outlineLevel="0" collapsed="false">
      <c r="F34" s="11" t="n">
        <v>10.75</v>
      </c>
      <c r="G34" s="11" t="n">
        <v>26</v>
      </c>
      <c r="H34" s="11" t="n">
        <v>3.24</v>
      </c>
      <c r="I34" s="11" t="n">
        <f aca="false">H34/2</f>
        <v>1.62</v>
      </c>
      <c r="J34" s="11" t="n">
        <f aca="false">I34*G34</f>
        <v>42.12</v>
      </c>
    </row>
    <row r="35" customFormat="false" ht="12.75" hidden="false" customHeight="false" outlineLevel="0" collapsed="false">
      <c r="E35" s="14" t="s">
        <v>36</v>
      </c>
      <c r="F35" s="14" t="n">
        <f aca="false">AVERAGE(F28:F34)</f>
        <v>11.24</v>
      </c>
      <c r="G35" s="14" t="n">
        <f aca="false">AVERAGE(G28:G34)</f>
        <v>27.2842857142857</v>
      </c>
      <c r="H35" s="14" t="n">
        <f aca="false">AVERAGE(H28:H34)</f>
        <v>3.41857142857143</v>
      </c>
      <c r="I35" s="14" t="n">
        <f aca="false">AVERAGE(I28:I34)</f>
        <v>1.70928571428571</v>
      </c>
      <c r="J35" s="14" t="n">
        <f aca="false">AVERAGE(J28:J34)</f>
        <v>46.6213357142857</v>
      </c>
    </row>
    <row r="36" customFormat="false" ht="13.5" hidden="false" customHeight="false" outlineLevel="0" collapsed="false">
      <c r="E36" s="15" t="s">
        <v>37</v>
      </c>
      <c r="F36" s="16" t="n">
        <f aca="false">STDEV(F28:F34)</f>
        <v>0.327719392163479</v>
      </c>
      <c r="G36" s="16" t="n">
        <f aca="false">STDEV(G28:G34)</f>
        <v>1.29893362856944</v>
      </c>
      <c r="H36" s="16" t="n">
        <f aca="false">STDEV(H28:H34)</f>
        <v>0.441641957979107</v>
      </c>
      <c r="I36" s="16" t="n">
        <f aca="false">STDEV(I28:I34)</f>
        <v>0.220820978989553</v>
      </c>
      <c r="J36" s="16" t="n">
        <f aca="false">STDEV(J28:J34)</f>
        <v>6.13477762166339</v>
      </c>
    </row>
    <row r="37" customFormat="false" ht="12.75" hidden="false" customHeight="false" outlineLevel="0" collapsed="false">
      <c r="E37" s="17" t="s">
        <v>38</v>
      </c>
      <c r="F37" s="18" t="n">
        <f aca="false">F36/F35</f>
        <v>0.0291565295519109</v>
      </c>
      <c r="G37" s="18" t="n">
        <f aca="false">G36/G35</f>
        <v>0.0476073899156295</v>
      </c>
      <c r="H37" s="18" t="n">
        <f aca="false">H36/H35</f>
        <v>0.129189039107971</v>
      </c>
      <c r="I37" s="18" t="n">
        <f aca="false">I36/I35</f>
        <v>0.129189039107971</v>
      </c>
      <c r="J37" s="18" t="n">
        <f aca="false">J36/J35</f>
        <v>0.131587341453702</v>
      </c>
    </row>
    <row r="38" customFormat="false" ht="13.5" hidden="false" customHeight="false" outlineLevel="0" collapsed="false">
      <c r="B38" s="7" t="s">
        <v>15</v>
      </c>
      <c r="C38" s="7" t="s">
        <v>16</v>
      </c>
      <c r="D38" s="7" t="s">
        <v>17</v>
      </c>
      <c r="E38" s="8" t="s">
        <v>7</v>
      </c>
      <c r="F38" s="9" t="s">
        <v>18</v>
      </c>
      <c r="G38" s="9" t="s">
        <v>19</v>
      </c>
      <c r="H38" s="9" t="s">
        <v>20</v>
      </c>
      <c r="I38" s="9" t="s">
        <v>21</v>
      </c>
      <c r="J38" s="9" t="s">
        <v>22</v>
      </c>
    </row>
    <row r="39" customFormat="false" ht="12.75" hidden="false" customHeight="false" outlineLevel="0" collapsed="false">
      <c r="B39" s="10" t="n">
        <v>35</v>
      </c>
      <c r="C39" s="10" t="n">
        <v>10.2</v>
      </c>
      <c r="D39" s="10" t="n">
        <f aca="false">B39-C39</f>
        <v>24.8</v>
      </c>
      <c r="E39" s="10" t="n">
        <f aca="false">Оборудование!$I$2</f>
        <v>1</v>
      </c>
      <c r="F39" s="11" t="n">
        <v>9.98</v>
      </c>
      <c r="G39" s="11" t="n">
        <v>21.37</v>
      </c>
      <c r="H39" s="11" t="n">
        <v>3.09</v>
      </c>
      <c r="I39" s="11" t="n">
        <f aca="false">H39/2</f>
        <v>1.545</v>
      </c>
      <c r="J39" s="11" t="n">
        <f aca="false">I39*G39</f>
        <v>33.01665</v>
      </c>
    </row>
    <row r="40" customFormat="false" ht="12.75" hidden="false" customHeight="false" outlineLevel="0" collapsed="false">
      <c r="B40" s="10"/>
      <c r="C40" s="10"/>
      <c r="D40" s="10"/>
      <c r="E40" s="10"/>
      <c r="F40" s="11" t="n">
        <v>9.98</v>
      </c>
      <c r="G40" s="11" t="n">
        <v>22.45</v>
      </c>
      <c r="H40" s="11" t="n">
        <v>3.4</v>
      </c>
      <c r="I40" s="11" t="n">
        <f aca="false">H40/2</f>
        <v>1.7</v>
      </c>
      <c r="J40" s="11" t="n">
        <f aca="false">I40*G40</f>
        <v>38.165</v>
      </c>
    </row>
    <row r="41" customFormat="false" ht="12.75" hidden="false" customHeight="false" outlineLevel="0" collapsed="false">
      <c r="B41" s="10"/>
      <c r="C41" s="10"/>
      <c r="D41" s="10"/>
      <c r="E41" s="10"/>
      <c r="F41" s="11" t="n">
        <v>10.75</v>
      </c>
      <c r="G41" s="11" t="n">
        <v>25.08</v>
      </c>
      <c r="H41" s="11" t="n">
        <v>2.93</v>
      </c>
      <c r="I41" s="11" t="n">
        <f aca="false">H41/2</f>
        <v>1.465</v>
      </c>
      <c r="J41" s="11" t="n">
        <f aca="false">I41*G41</f>
        <v>36.7422</v>
      </c>
    </row>
    <row r="42" customFormat="false" ht="12.75" hidden="false" customHeight="false" outlineLevel="0" collapsed="false">
      <c r="B42" s="10"/>
      <c r="C42" s="10"/>
      <c r="D42" s="10"/>
      <c r="E42" s="10"/>
      <c r="F42" s="11" t="n">
        <v>11.06</v>
      </c>
      <c r="G42" s="11" t="n">
        <v>25.08</v>
      </c>
      <c r="H42" s="11" t="n">
        <v>3.24</v>
      </c>
      <c r="I42" s="11" t="n">
        <f aca="false">H42/2</f>
        <v>1.62</v>
      </c>
      <c r="J42" s="11" t="n">
        <f aca="false">I42*G42</f>
        <v>40.6296</v>
      </c>
    </row>
    <row r="43" customFormat="false" ht="12.75" hidden="false" customHeight="false" outlineLevel="0" collapsed="false">
      <c r="B43" s="10"/>
      <c r="C43" s="10"/>
      <c r="D43" s="10"/>
      <c r="F43" s="11" t="n">
        <v>10.91</v>
      </c>
      <c r="G43" s="11" t="n">
        <v>26.93</v>
      </c>
      <c r="H43" s="11" t="n">
        <v>2.93</v>
      </c>
      <c r="I43" s="11" t="n">
        <f aca="false">H43/2</f>
        <v>1.465</v>
      </c>
      <c r="J43" s="11" t="n">
        <f aca="false">I43*G43</f>
        <v>39.45245</v>
      </c>
    </row>
    <row r="44" customFormat="false" ht="12.75" hidden="false" customHeight="false" outlineLevel="0" collapsed="false">
      <c r="F44" s="11" t="n">
        <v>10.75</v>
      </c>
      <c r="G44" s="11" t="n">
        <v>25.39</v>
      </c>
      <c r="H44" s="11" t="n">
        <v>2.47</v>
      </c>
      <c r="I44" s="11" t="n">
        <f aca="false">H44/2</f>
        <v>1.235</v>
      </c>
      <c r="J44" s="11" t="n">
        <f aca="false">I44*G44</f>
        <v>31.35665</v>
      </c>
    </row>
    <row r="45" customFormat="false" ht="12.75" hidden="false" customHeight="false" outlineLevel="0" collapsed="false">
      <c r="F45" s="11" t="n">
        <v>9.83</v>
      </c>
      <c r="G45" s="11" t="n">
        <v>22.45</v>
      </c>
      <c r="H45" s="11" t="n">
        <v>2.32</v>
      </c>
      <c r="I45" s="11" t="n">
        <f aca="false">H45/2</f>
        <v>1.16</v>
      </c>
      <c r="J45" s="11" t="n">
        <f aca="false">I45*G45</f>
        <v>26.042</v>
      </c>
    </row>
    <row r="46" customFormat="false" ht="12.75" hidden="false" customHeight="false" outlineLevel="0" collapsed="false">
      <c r="F46" s="11" t="n">
        <v>10.44</v>
      </c>
      <c r="G46" s="11" t="n">
        <v>27.08</v>
      </c>
      <c r="H46" s="11" t="n">
        <v>2.78</v>
      </c>
      <c r="I46" s="11" t="n">
        <f aca="false">H46/2</f>
        <v>1.39</v>
      </c>
      <c r="J46" s="11" t="n">
        <f aca="false">I46*G46</f>
        <v>37.6412</v>
      </c>
    </row>
    <row r="47" customFormat="false" ht="12.75" hidden="false" customHeight="false" outlineLevel="0" collapsed="false">
      <c r="E47" s="14" t="s">
        <v>36</v>
      </c>
      <c r="F47" s="14" t="n">
        <f aca="false">AVERAGE(F39:F46)</f>
        <v>10.4625</v>
      </c>
      <c r="G47" s="14" t="n">
        <f aca="false">AVERAGE(G39:G46)</f>
        <v>24.47875</v>
      </c>
      <c r="H47" s="14" t="n">
        <f aca="false">AVERAGE(H39:H46)</f>
        <v>2.895</v>
      </c>
      <c r="I47" s="14" t="n">
        <f aca="false">AVERAGE(I39:I46)</f>
        <v>1.4475</v>
      </c>
      <c r="J47" s="14" t="n">
        <f aca="false">AVERAGE(J39:J46)</f>
        <v>35.38071875</v>
      </c>
    </row>
    <row r="48" customFormat="false" ht="13.5" hidden="false" customHeight="false" outlineLevel="0" collapsed="false">
      <c r="E48" s="15" t="s">
        <v>37</v>
      </c>
      <c r="F48" s="16" t="n">
        <f aca="false">STDEV(F39:F46)</f>
        <v>0.476407688554966</v>
      </c>
      <c r="G48" s="16" t="n">
        <f aca="false">STDEV(G39:G46)</f>
        <v>2.1455764293741</v>
      </c>
      <c r="H48" s="16" t="n">
        <f aca="false">STDEV(H39:H46)</f>
        <v>0.366255180363169</v>
      </c>
      <c r="I48" s="16" t="n">
        <f aca="false">STDEV(I39:I46)</f>
        <v>0.183127590181584</v>
      </c>
      <c r="J48" s="16" t="n">
        <f aca="false">STDEV(J39:J46)</f>
        <v>4.89663144788169</v>
      </c>
    </row>
    <row r="49" customFormat="false" ht="12.75" hidden="false" customHeight="false" outlineLevel="0" collapsed="false">
      <c r="E49" s="17" t="s">
        <v>38</v>
      </c>
      <c r="F49" s="18" t="n">
        <f aca="false">F48/F47</f>
        <v>0.0455347850470697</v>
      </c>
      <c r="G49" s="18" t="n">
        <f aca="false">G48/G47</f>
        <v>0.0876505715926712</v>
      </c>
      <c r="H49" s="18" t="n">
        <f aca="false">H48/H47</f>
        <v>0.126513015669488</v>
      </c>
      <c r="I49" s="18" t="n">
        <f aca="false">I48/I47</f>
        <v>0.126513015669488</v>
      </c>
      <c r="J49" s="18" t="n">
        <f aca="false">J48/J47</f>
        <v>0.138398303394605</v>
      </c>
    </row>
    <row r="50" customFormat="false" ht="13.5" hidden="false" customHeight="false" outlineLevel="0" collapsed="false">
      <c r="B50" s="7" t="s">
        <v>15</v>
      </c>
      <c r="C50" s="7" t="s">
        <v>16</v>
      </c>
      <c r="D50" s="7" t="s">
        <v>17</v>
      </c>
      <c r="E50" s="8" t="s">
        <v>7</v>
      </c>
      <c r="F50" s="9" t="s">
        <v>18</v>
      </c>
      <c r="G50" s="9" t="s">
        <v>19</v>
      </c>
      <c r="H50" s="9" t="s">
        <v>20</v>
      </c>
      <c r="I50" s="9" t="s">
        <v>21</v>
      </c>
      <c r="J50" s="9" t="s">
        <v>22</v>
      </c>
    </row>
    <row r="51" customFormat="false" ht="12.75" hidden="false" customHeight="false" outlineLevel="0" collapsed="false">
      <c r="B51" s="10" t="n">
        <v>30</v>
      </c>
      <c r="C51" s="10" t="n">
        <v>10.2</v>
      </c>
      <c r="D51" s="10" t="n">
        <f aca="false">B51-C51</f>
        <v>19.8</v>
      </c>
      <c r="E51" s="10" t="n">
        <f aca="false">Оборудование!$I$2</f>
        <v>1</v>
      </c>
      <c r="F51" s="11" t="n">
        <v>10.29</v>
      </c>
      <c r="G51" s="11" t="n">
        <v>22.92</v>
      </c>
      <c r="H51" s="11" t="n">
        <v>2.32</v>
      </c>
      <c r="I51" s="11" t="n">
        <f aca="false">H51/2</f>
        <v>1.16</v>
      </c>
      <c r="J51" s="11" t="n">
        <f aca="false">I51*G51</f>
        <v>26.5872</v>
      </c>
    </row>
    <row r="52" customFormat="false" ht="12.75" hidden="false" customHeight="false" outlineLevel="0" collapsed="false">
      <c r="B52" s="10"/>
      <c r="C52" s="10"/>
      <c r="D52" s="10"/>
      <c r="E52" s="10"/>
      <c r="F52" s="11" t="n">
        <v>10.91</v>
      </c>
      <c r="G52" s="11" t="n">
        <v>21.53</v>
      </c>
      <c r="H52" s="11" t="n">
        <v>2.47</v>
      </c>
      <c r="I52" s="11" t="n">
        <f aca="false">H52/2</f>
        <v>1.235</v>
      </c>
      <c r="J52" s="11" t="n">
        <f aca="false">I52*G52</f>
        <v>26.58955</v>
      </c>
    </row>
    <row r="53" customFormat="false" ht="12.75" hidden="false" customHeight="false" outlineLevel="0" collapsed="false">
      <c r="B53" s="10"/>
      <c r="C53" s="10"/>
      <c r="D53" s="10"/>
      <c r="E53" s="10"/>
      <c r="F53" s="11" t="n">
        <v>10.91</v>
      </c>
      <c r="G53" s="11" t="n">
        <v>24.15</v>
      </c>
      <c r="H53" s="11" t="n">
        <v>2.01</v>
      </c>
      <c r="I53" s="11" t="n">
        <f aca="false">H53/2</f>
        <v>1.005</v>
      </c>
      <c r="J53" s="11" t="n">
        <f aca="false">I53*G53</f>
        <v>24.27075</v>
      </c>
    </row>
    <row r="54" customFormat="false" ht="12.75" hidden="false" customHeight="false" outlineLevel="0" collapsed="false">
      <c r="B54" s="10"/>
      <c r="C54" s="10"/>
      <c r="D54" s="10"/>
      <c r="E54" s="10"/>
      <c r="F54" s="11" t="n">
        <v>10.91</v>
      </c>
      <c r="G54" s="11" t="n">
        <v>23.38</v>
      </c>
      <c r="H54" s="11" t="n">
        <v>2.32</v>
      </c>
      <c r="I54" s="11" t="n">
        <f aca="false">H54/2</f>
        <v>1.16</v>
      </c>
      <c r="J54" s="11" t="n">
        <f aca="false">I54*G54</f>
        <v>27.1208</v>
      </c>
    </row>
    <row r="55" customFormat="false" ht="12.75" hidden="false" customHeight="false" outlineLevel="0" collapsed="false">
      <c r="B55" s="10"/>
      <c r="C55" s="10"/>
      <c r="D55" s="10"/>
      <c r="F55" s="11" t="n">
        <v>9.98</v>
      </c>
      <c r="G55" s="11" t="n">
        <v>22.45</v>
      </c>
      <c r="H55" s="11" t="n">
        <v>2.63</v>
      </c>
      <c r="I55" s="11" t="n">
        <f aca="false">H55/2</f>
        <v>1.315</v>
      </c>
      <c r="J55" s="11" t="n">
        <f aca="false">I55*G55</f>
        <v>29.52175</v>
      </c>
    </row>
    <row r="56" customFormat="false" ht="12.75" hidden="false" customHeight="false" outlineLevel="0" collapsed="false">
      <c r="F56" s="11" t="n">
        <v>9.67</v>
      </c>
      <c r="G56" s="11" t="n">
        <v>20.29</v>
      </c>
      <c r="H56" s="11" t="n">
        <v>3.24</v>
      </c>
      <c r="I56" s="11" t="n">
        <f aca="false">H56/2</f>
        <v>1.62</v>
      </c>
      <c r="J56" s="11" t="n">
        <f aca="false">I56*G56</f>
        <v>32.8698</v>
      </c>
    </row>
    <row r="57" customFormat="false" ht="12.75" hidden="false" customHeight="false" outlineLevel="0" collapsed="false">
      <c r="E57" s="14" t="s">
        <v>36</v>
      </c>
      <c r="F57" s="14" t="n">
        <f aca="false">AVERAGE(F51:F56)</f>
        <v>10.445</v>
      </c>
      <c r="G57" s="14" t="n">
        <f aca="false">AVERAGE(G51:G56)</f>
        <v>22.4533333333333</v>
      </c>
      <c r="H57" s="14" t="n">
        <f aca="false">AVERAGE(H51:H56)</f>
        <v>2.49833333333333</v>
      </c>
      <c r="I57" s="14" t="n">
        <f aca="false">AVERAGE(I51:I56)</f>
        <v>1.24916666666667</v>
      </c>
      <c r="J57" s="14" t="n">
        <f aca="false">AVERAGE(J51:J56)</f>
        <v>27.8266416666667</v>
      </c>
    </row>
    <row r="58" customFormat="false" ht="13.5" hidden="false" customHeight="false" outlineLevel="0" collapsed="false">
      <c r="E58" s="15" t="s">
        <v>37</v>
      </c>
      <c r="F58" s="16" t="n">
        <f aca="false">STDEV(F51:F56)</f>
        <v>0.545811322711429</v>
      </c>
      <c r="G58" s="16" t="n">
        <f aca="false">STDEV(G51:G56)</f>
        <v>1.37751467021831</v>
      </c>
      <c r="H58" s="16" t="n">
        <f aca="false">STDEV(H51:H56)</f>
        <v>0.417200990730687</v>
      </c>
      <c r="I58" s="16" t="n">
        <f aca="false">STDEV(I51:I56)</f>
        <v>0.208600495365344</v>
      </c>
      <c r="J58" s="16" t="n">
        <f aca="false">STDEV(J51:J56)</f>
        <v>2.98382397862486</v>
      </c>
    </row>
    <row r="59" customFormat="false" ht="12.75" hidden="false" customHeight="false" outlineLevel="0" collapsed="false">
      <c r="E59" s="17" t="s">
        <v>38</v>
      </c>
      <c r="F59" s="18" t="n">
        <f aca="false">F58/F57</f>
        <v>0.0522557513366615</v>
      </c>
      <c r="G59" s="18" t="n">
        <f aca="false">G58/G57</f>
        <v>0.0613501189230246</v>
      </c>
      <c r="H59" s="18" t="n">
        <f aca="false">H58/H57</f>
        <v>0.166991724108347</v>
      </c>
      <c r="I59" s="18" t="n">
        <f aca="false">I58/I57</f>
        <v>0.166991724108347</v>
      </c>
      <c r="J59" s="18" t="n">
        <f aca="false">J58/J57</f>
        <v>0.107229036632155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LibreOffice/7.6.7.2$Linux_X86_64 LibreOffice_project/2d8b6f6026b598cd2a4e950b3dd6402235a394d4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2024-06-12T15:22:14Z</dcterms:created>
  <dc:creator>Misha Solodilov</dc:creator>
  <dc:description/>
  <dc:language>en-US</dc:language>
  <cp:lastModifiedBy/>
  <dcterms:modified xsi:type="dcterms:W3CDTF">2024-06-15T08:54:34Z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