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Main\plantery fisheries\FishPrint\FishPrintCode\FishPrint\"/>
    </mc:Choice>
  </mc:AlternateContent>
  <bookViews>
    <workbookView xWindow="0" yWindow="0" windowWidth="19200" windowHeight="6030"/>
  </bookViews>
  <sheets>
    <sheet name="Protein content" sheetId="1" r:id="rId1"/>
    <sheet name="Reference codes" sheetId="2" r:id="rId2"/>
  </sheets>
  <calcPr calcId="162913"/>
</workbook>
</file>

<file path=xl/calcChain.xml><?xml version="1.0" encoding="utf-8"?>
<calcChain xmlns="http://schemas.openxmlformats.org/spreadsheetml/2006/main">
  <c r="F686" i="1" l="1"/>
  <c r="I78" i="1"/>
  <c r="I253" i="1"/>
  <c r="I207" i="1"/>
  <c r="I17" i="1"/>
  <c r="I283" i="1"/>
  <c r="I101" i="1"/>
  <c r="I21" i="1"/>
  <c r="I5" i="1"/>
  <c r="I232" i="1"/>
  <c r="I134" i="1"/>
  <c r="I74" i="1"/>
  <c r="I19" i="1"/>
  <c r="I412" i="1"/>
  <c r="I391" i="1"/>
  <c r="I440" i="1"/>
  <c r="I50" i="1"/>
  <c r="I46" i="1"/>
  <c r="G41" i="1"/>
  <c r="I32" i="1"/>
  <c r="I634" i="1"/>
  <c r="I607" i="1"/>
  <c r="I502" i="1"/>
  <c r="I466" i="1"/>
  <c r="I347" i="1"/>
  <c r="I345" i="1"/>
  <c r="I265" i="1"/>
  <c r="I252" i="1"/>
  <c r="I208" i="1"/>
  <c r="I125" i="1"/>
  <c r="I93" i="1"/>
  <c r="I190" i="1"/>
  <c r="I69" i="1"/>
  <c r="I55" i="1"/>
  <c r="I27" i="1"/>
  <c r="I34" i="1"/>
  <c r="I87" i="1"/>
  <c r="I41" i="1"/>
  <c r="I248" i="1"/>
  <c r="I472" i="1"/>
  <c r="I132" i="1"/>
  <c r="I122" i="1"/>
  <c r="I264" i="1"/>
  <c r="I37" i="1"/>
  <c r="I4" i="1"/>
  <c r="I686" i="1" s="1"/>
  <c r="I285" i="1"/>
  <c r="I526" i="1"/>
  <c r="I135" i="1"/>
  <c r="I100" i="1"/>
  <c r="I146" i="1"/>
  <c r="I350" i="1"/>
  <c r="I22" i="1"/>
  <c r="I158" i="1"/>
  <c r="H284" i="1"/>
  <c r="H89" i="1"/>
  <c r="H102" i="1"/>
  <c r="H355" i="1"/>
  <c r="H234" i="1"/>
  <c r="H166" i="1"/>
  <c r="H124" i="1"/>
  <c r="H67" i="1"/>
  <c r="H47" i="1"/>
  <c r="H39" i="1"/>
  <c r="H227" i="1"/>
  <c r="H17" i="1"/>
  <c r="H5" i="1"/>
  <c r="H19" i="1"/>
  <c r="H4" i="1"/>
  <c r="G38" i="1"/>
  <c r="H354" i="1"/>
  <c r="H37" i="1"/>
  <c r="I31" i="1"/>
  <c r="G31" i="1"/>
  <c r="H21" i="1"/>
  <c r="I277" i="1"/>
  <c r="I548" i="1"/>
  <c r="I662" i="1"/>
  <c r="G188" i="1"/>
  <c r="G210" i="1"/>
  <c r="G411" i="1"/>
  <c r="G387" i="1"/>
  <c r="H226" i="1"/>
  <c r="H584" i="1"/>
  <c r="H505" i="1"/>
  <c r="H593" i="1"/>
  <c r="H528" i="1"/>
  <c r="H513" i="1"/>
  <c r="H75" i="1"/>
  <c r="H283" i="1"/>
  <c r="H134" i="1"/>
  <c r="H64" i="1"/>
  <c r="H3" i="1"/>
  <c r="H686" i="1" s="1"/>
  <c r="H14" i="1"/>
  <c r="H24" i="1"/>
  <c r="H29" i="1"/>
  <c r="H43" i="1"/>
  <c r="H53" i="1"/>
  <c r="H72" i="1"/>
  <c r="H74" i="1"/>
  <c r="H91" i="1"/>
  <c r="H117" i="1"/>
  <c r="H272" i="1"/>
  <c r="H304" i="1"/>
  <c r="H438" i="1"/>
  <c r="H489" i="1"/>
  <c r="I354" i="1"/>
  <c r="G87" i="1"/>
  <c r="I119" i="1"/>
  <c r="G119" i="1"/>
  <c r="I75" i="1"/>
  <c r="I608" i="1"/>
  <c r="I593" i="1"/>
  <c r="I586" i="1"/>
  <c r="I513" i="1"/>
  <c r="I410" i="1"/>
  <c r="G410" i="1"/>
  <c r="I284" i="1"/>
  <c r="G284" i="1"/>
  <c r="I64" i="1"/>
  <c r="G64" i="1"/>
  <c r="I3" i="1"/>
  <c r="G3" i="1"/>
  <c r="G686" i="1" s="1"/>
  <c r="G4" i="1"/>
  <c r="G6" i="1"/>
  <c r="G13" i="1"/>
  <c r="G16" i="1"/>
  <c r="G19" i="1"/>
  <c r="G20" i="1"/>
  <c r="G22" i="1"/>
  <c r="G28" i="1"/>
  <c r="G33" i="1"/>
  <c r="G35" i="1"/>
  <c r="G37" i="1"/>
  <c r="G43" i="1"/>
  <c r="G45" i="1"/>
  <c r="G49" i="1"/>
  <c r="G50" i="1"/>
  <c r="G55" i="1"/>
  <c r="G57" i="1"/>
  <c r="G61" i="1"/>
  <c r="G68" i="1"/>
  <c r="G69" i="1"/>
  <c r="G74" i="1"/>
  <c r="G81" i="1"/>
  <c r="G82" i="1"/>
  <c r="G85" i="1"/>
  <c r="G88" i="1"/>
  <c r="G95" i="1"/>
  <c r="G99" i="1"/>
  <c r="G107" i="1"/>
  <c r="G117" i="1"/>
  <c r="G121" i="1"/>
  <c r="G131" i="1"/>
  <c r="G151" i="1"/>
  <c r="G190" i="1"/>
  <c r="G217" i="1"/>
  <c r="G237" i="1"/>
  <c r="G256" i="1"/>
  <c r="G288" i="1"/>
  <c r="G310" i="1"/>
  <c r="G334" i="1"/>
  <c r="G355" i="1"/>
  <c r="G360" i="1"/>
  <c r="G413" i="1"/>
  <c r="G564" i="1"/>
  <c r="G675" i="1"/>
  <c r="I151" i="1"/>
  <c r="I355" i="1"/>
  <c r="I234" i="1"/>
  <c r="I584" i="1"/>
  <c r="I635" i="1"/>
  <c r="I675" i="1"/>
  <c r="I624" i="1"/>
  <c r="I564" i="1"/>
  <c r="I489" i="1"/>
  <c r="I465" i="1"/>
  <c r="I455" i="1"/>
  <c r="I438" i="1"/>
  <c r="I419" i="1"/>
  <c r="I416" i="1"/>
  <c r="I388" i="1"/>
  <c r="I382" i="1"/>
  <c r="I381" i="1"/>
  <c r="I365" i="1"/>
  <c r="I360" i="1"/>
  <c r="I334" i="1"/>
  <c r="I306" i="1"/>
  <c r="I304" i="1"/>
  <c r="I300" i="1"/>
  <c r="I281" i="1"/>
  <c r="I272" i="1"/>
  <c r="I237" i="1"/>
  <c r="I217" i="1"/>
  <c r="I206" i="1"/>
  <c r="I203" i="1"/>
  <c r="I200" i="1"/>
  <c r="I198" i="1"/>
  <c r="I192" i="1"/>
  <c r="I169" i="1"/>
  <c r="I161" i="1"/>
  <c r="I156" i="1"/>
  <c r="I153" i="1"/>
  <c r="I143" i="1"/>
  <c r="I142" i="1"/>
  <c r="I140" i="1"/>
  <c r="I133" i="1"/>
  <c r="I124" i="1"/>
  <c r="I120" i="1"/>
  <c r="I117" i="1"/>
  <c r="I111" i="1"/>
  <c r="I107" i="1"/>
  <c r="I99" i="1"/>
  <c r="I95" i="1"/>
  <c r="I91" i="1"/>
  <c r="I89" i="1"/>
  <c r="I88" i="1"/>
  <c r="I86" i="1"/>
  <c r="I85" i="1"/>
  <c r="I83" i="1"/>
  <c r="I82" i="1"/>
  <c r="I80" i="1"/>
  <c r="I77" i="1"/>
  <c r="I72" i="1"/>
  <c r="I70" i="1"/>
  <c r="I67" i="1"/>
  <c r="I63" i="1"/>
  <c r="I61" i="1"/>
  <c r="I57" i="1"/>
  <c r="I53" i="1"/>
  <c r="I49" i="1"/>
  <c r="I47" i="1"/>
  <c r="I45" i="1"/>
  <c r="I44" i="1"/>
  <c r="I43" i="1"/>
  <c r="I40" i="1"/>
  <c r="I39" i="1"/>
  <c r="I38" i="1"/>
  <c r="I35" i="1"/>
  <c r="I33" i="1"/>
  <c r="I29" i="1"/>
  <c r="I28" i="1"/>
  <c r="I26" i="1"/>
  <c r="I25" i="1"/>
  <c r="I24" i="1"/>
  <c r="I23" i="1"/>
  <c r="I20" i="1"/>
  <c r="I16" i="1"/>
  <c r="I14" i="1"/>
  <c r="I13" i="1"/>
  <c r="I12" i="1"/>
  <c r="I11" i="1"/>
  <c r="I10" i="1"/>
  <c r="I9" i="1"/>
  <c r="I8" i="1"/>
  <c r="I7" i="1"/>
  <c r="I6" i="1"/>
  <c r="I2" i="1"/>
</calcChain>
</file>

<file path=xl/sharedStrings.xml><?xml version="1.0" encoding="utf-8"?>
<sst xmlns="http://schemas.openxmlformats.org/spreadsheetml/2006/main" count="3885" uniqueCount="1420">
  <si>
    <t>Penaeus paulensis</t>
  </si>
  <si>
    <t>Sao Paulo shrimp</t>
  </si>
  <si>
    <t>Plesiopenaeus edwardsianus</t>
  </si>
  <si>
    <t>Scarlet shrimp</t>
  </si>
  <si>
    <t>Martialia hyadesi</t>
  </si>
  <si>
    <t>Sevenstar flying squid</t>
  </si>
  <si>
    <t>Ostrea conchaphila</t>
  </si>
  <si>
    <t>Shell-loving oyster</t>
  </si>
  <si>
    <t>Metapenaeus joyneri</t>
  </si>
  <si>
    <t>Shiba shrimp</t>
  </si>
  <si>
    <t>Crassostrea iredalei</t>
  </si>
  <si>
    <t>Slipper cupped oyster</t>
  </si>
  <si>
    <t>Mactra glabrata</t>
  </si>
  <si>
    <t>Smooth mactra</t>
  </si>
  <si>
    <t>Paralomis granulosa</t>
  </si>
  <si>
    <t>Softshell red crab</t>
  </si>
  <si>
    <t>Perna perna</t>
  </si>
  <si>
    <t>South American rock mussel</t>
  </si>
  <si>
    <t>Lithodes antarcticus</t>
  </si>
  <si>
    <t>Southern king crab</t>
  </si>
  <si>
    <t>Penaeus notialis</t>
  </si>
  <si>
    <t>Southern pink shrimp</t>
  </si>
  <si>
    <t>Trachypenaeus curvirostris</t>
  </si>
  <si>
    <t>Southern rough shrimp</t>
  </si>
  <si>
    <t>Palinurus gichristi</t>
  </si>
  <si>
    <t>Southern spiny lobster</t>
  </si>
  <si>
    <t>Maja squinado</t>
  </si>
  <si>
    <t>Spinous spider crab</t>
  </si>
  <si>
    <t>Squilla mantis</t>
  </si>
  <si>
    <t>Spottail mantis squillid</t>
  </si>
  <si>
    <t>Loliginidae, Ommastrephidae</t>
  </si>
  <si>
    <t>Various squids nei</t>
  </si>
  <si>
    <t>Spisula polynyma</t>
  </si>
  <si>
    <t>Stimpson's surf clam</t>
  </si>
  <si>
    <t>Paracentrotus lividus</t>
  </si>
  <si>
    <t>Stony sea urchin</t>
  </si>
  <si>
    <t>Aristeus varidens</t>
  </si>
  <si>
    <t>Striped red shrimp</t>
  </si>
  <si>
    <t>Venus (=Chamelea) gallina</t>
  </si>
  <si>
    <t>Striped venus</t>
  </si>
  <si>
    <t>Crassostrea commercialis</t>
  </si>
  <si>
    <t>Sydney cupped oyster</t>
  </si>
  <si>
    <t>Protothaca thaca</t>
  </si>
  <si>
    <t>Taca clam</t>
  </si>
  <si>
    <t>Jasus tristani</t>
  </si>
  <si>
    <t>Tristan da Cunha rock lobster</t>
  </si>
  <si>
    <t>Haliotis tuberculata</t>
  </si>
  <si>
    <t>Tuberculate abalone</t>
  </si>
  <si>
    <t>Patinopecten caurinus</t>
  </si>
  <si>
    <t>Weathervane scallop</t>
  </si>
  <si>
    <t>Nototodarus sloani</t>
  </si>
  <si>
    <t>Wellington flying squid</t>
  </si>
  <si>
    <t>Geryon (=Chaceon) maritae</t>
  </si>
  <si>
    <t>West African geryon</t>
  </si>
  <si>
    <t>Penaeus latisulcatus</t>
  </si>
  <si>
    <t>Western king prawn</t>
  </si>
  <si>
    <t>Penaeus occidentalis</t>
  </si>
  <si>
    <t>Western white shrimp</t>
  </si>
  <si>
    <t>Buccinum undatum</t>
  </si>
  <si>
    <t>Whelk</t>
  </si>
  <si>
    <t>Penaeus vannamei</t>
  </si>
  <si>
    <t>Whiteleg shrimp</t>
  </si>
  <si>
    <t>Penaeus californiensis</t>
  </si>
  <si>
    <t>Yellowleg shrimp</t>
  </si>
  <si>
    <t>Pecten yessoensis</t>
  </si>
  <si>
    <t>Yesso scallop</t>
  </si>
  <si>
    <t>Ommastrephes bartrami</t>
  </si>
  <si>
    <t>Neon flying squid</t>
  </si>
  <si>
    <t>Limanda aspera</t>
  </si>
  <si>
    <t>Yellowfin sole</t>
  </si>
  <si>
    <t>Limanda ferruginea</t>
  </si>
  <si>
    <t>Yellowtail flounder</t>
  </si>
  <si>
    <t>Pseudopleuronectes americanus</t>
  </si>
  <si>
    <t>Winter flounder</t>
  </si>
  <si>
    <t>Solea solea</t>
  </si>
  <si>
    <t>Common sole</t>
  </si>
  <si>
    <t>Dicologlossa cuneata</t>
  </si>
  <si>
    <t>Wedge sole</t>
  </si>
  <si>
    <t>Austroglossus microlepis</t>
  </si>
  <si>
    <t>West coast sole</t>
  </si>
  <si>
    <t>Austroglossus pectoralis</t>
  </si>
  <si>
    <t>Mud sole</t>
  </si>
  <si>
    <t>Scophthalmus rhombus</t>
  </si>
  <si>
    <t>Brill</t>
  </si>
  <si>
    <t>Scophthalmus aquosus</t>
  </si>
  <si>
    <t>Windowpane</t>
  </si>
  <si>
    <t>Stephanolepis cirrhifer</t>
  </si>
  <si>
    <t>Thread-sail filefish</t>
  </si>
  <si>
    <t>Lophius americanus</t>
  </si>
  <si>
    <t>American angler</t>
  </si>
  <si>
    <t>Cetengraulis edentulus</t>
  </si>
  <si>
    <t>Atlantic anchoveta</t>
  </si>
  <si>
    <t>Cetengraulis mysticetus</t>
  </si>
  <si>
    <t>Pacific anchoveta</t>
  </si>
  <si>
    <t>Lycengraulis grossidens</t>
  </si>
  <si>
    <t>Atlantic sabretooth anchovy</t>
  </si>
  <si>
    <t>Lepidopus caudatus</t>
  </si>
  <si>
    <t>Silver scabbardfish</t>
  </si>
  <si>
    <t>Aphanopus carbo</t>
  </si>
  <si>
    <t>Black scabbardfish</t>
  </si>
  <si>
    <t>Centrophorus squamosus</t>
  </si>
  <si>
    <t>Leafscale gulper shark</t>
  </si>
  <si>
    <t>Centroscyllium fabricii</t>
  </si>
  <si>
    <t>Black dogfish</t>
  </si>
  <si>
    <t>Centroscymnus coelolepis</t>
  </si>
  <si>
    <t>Portuguese dogfish</t>
  </si>
  <si>
    <t>Centroscymnus crepidater</t>
  </si>
  <si>
    <t>Longnose velvet dogfish</t>
  </si>
  <si>
    <t>Dalatias licha</t>
  </si>
  <si>
    <t>Kitefin shark</t>
  </si>
  <si>
    <t>Deania calcea</t>
  </si>
  <si>
    <t>Birdbeak dogfish</t>
  </si>
  <si>
    <t>Lichia amia</t>
  </si>
  <si>
    <t>Leerfish</t>
  </si>
  <si>
    <t>Limanda limanda</t>
  </si>
  <si>
    <t>Dab</t>
  </si>
  <si>
    <t>Lithognathus mormyrus</t>
  </si>
  <si>
    <t>Striped seabream</t>
  </si>
  <si>
    <t>Lophius piscatorius</t>
  </si>
  <si>
    <t>Angler</t>
  </si>
  <si>
    <t>Squatina squatina</t>
  </si>
  <si>
    <t>Angelshark</t>
  </si>
  <si>
    <t>Isurus oxyrinchus</t>
  </si>
  <si>
    <t>Shortfin mako</t>
  </si>
  <si>
    <t>Isurus paucus</t>
  </si>
  <si>
    <t>Longfin mako</t>
  </si>
  <si>
    <t>Mugil cephalus</t>
  </si>
  <si>
    <t>Flathead mullet</t>
  </si>
  <si>
    <t>Mullus barbatus</t>
  </si>
  <si>
    <t>Red mullet</t>
  </si>
  <si>
    <t>Oblada melanura</t>
  </si>
  <si>
    <t>Saddled seabream</t>
  </si>
  <si>
    <t>Carcharhinus brachyurus</t>
  </si>
  <si>
    <t>Copper shark</t>
  </si>
  <si>
    <t>Carcharhinus falciformis</t>
  </si>
  <si>
    <t>Silky shark</t>
  </si>
  <si>
    <t>Carcharhinus limbatus</t>
  </si>
  <si>
    <t>Blacktip shark</t>
  </si>
  <si>
    <t>Carcharhinus obscurus</t>
  </si>
  <si>
    <t>Dusky shark</t>
  </si>
  <si>
    <t>Carcharhinus plumbeus</t>
  </si>
  <si>
    <t>Sandbar shark</t>
  </si>
  <si>
    <t>Pagellus acarne</t>
  </si>
  <si>
    <t>Axillary seabream</t>
  </si>
  <si>
    <t>Pagellus bogaraveo</t>
  </si>
  <si>
    <t>Blackspot seabream</t>
  </si>
  <si>
    <t>Pagellus erythrinus</t>
  </si>
  <si>
    <t>Common pandora</t>
  </si>
  <si>
    <t>Prionace glauca</t>
  </si>
  <si>
    <t>Blue shark</t>
  </si>
  <si>
    <t>Sphyrna lewini</t>
  </si>
  <si>
    <t>Scalloped hammerhead</t>
  </si>
  <si>
    <t>Sphyrna zygaena</t>
  </si>
  <si>
    <t>Smooth hammerhead</t>
  </si>
  <si>
    <t>Dasyatis akajei</t>
  </si>
  <si>
    <t>Red stingray</t>
  </si>
  <si>
    <t>Atrobucca nibe</t>
  </si>
  <si>
    <t>Platycephalus indicus</t>
  </si>
  <si>
    <t>Bartail flathead</t>
  </si>
  <si>
    <t>Pseudocaranx dentex</t>
  </si>
  <si>
    <t>White trevally</t>
  </si>
  <si>
    <t>Seriola dumerili</t>
  </si>
  <si>
    <t>Greater amberjack</t>
  </si>
  <si>
    <t>Trisopterus esmarkii</t>
  </si>
  <si>
    <t>Norway pout</t>
  </si>
  <si>
    <t>Lepidocybium flavobrunneum</t>
  </si>
  <si>
    <t>Escolar</t>
  </si>
  <si>
    <t>Sardinella aurita</t>
  </si>
  <si>
    <t>Round sardinella</t>
  </si>
  <si>
    <t>Ruvettus pretiosus</t>
  </si>
  <si>
    <t>Oilfish</t>
  </si>
  <si>
    <t>Sardinella maderensis</t>
  </si>
  <si>
    <t>Madeiran sardinella</t>
  </si>
  <si>
    <t>Saurida undosquamis</t>
  </si>
  <si>
    <t>Brushtooth lizardfish</t>
  </si>
  <si>
    <t>Hemiramphus brasiliensis</t>
  </si>
  <si>
    <t>Ballyhoo</t>
  </si>
  <si>
    <t>Lampris guttatus</t>
  </si>
  <si>
    <t>Opah</t>
  </si>
  <si>
    <t>Megalops atlanticus</t>
  </si>
  <si>
    <t>Tarpon</t>
  </si>
  <si>
    <t>Scomberesox saurus saurus</t>
  </si>
  <si>
    <t>Atlantic saury</t>
  </si>
  <si>
    <t>Mugil liza</t>
  </si>
  <si>
    <t>Liza</t>
  </si>
  <si>
    <t>Anchoa hepsetus</t>
  </si>
  <si>
    <t>Broad-striped anchovy</t>
  </si>
  <si>
    <t>Sparus auratus</t>
  </si>
  <si>
    <t>Gilthead seabream</t>
  </si>
  <si>
    <t>Sphoeroides maculatus</t>
  </si>
  <si>
    <t>Northern puffer</t>
  </si>
  <si>
    <t>Sciaenops ocellatus</t>
  </si>
  <si>
    <t>Red drum</t>
  </si>
  <si>
    <t>Stromateus fiatola</t>
  </si>
  <si>
    <t>Blue butterfish</t>
  </si>
  <si>
    <t>Trachurus mediterraneus</t>
  </si>
  <si>
    <t>Mediterranean horse mackerel</t>
  </si>
  <si>
    <t>Trachurus picturatus</t>
  </si>
  <si>
    <t>Blue jack mackerel</t>
  </si>
  <si>
    <t>Trichiurus lepturus</t>
  </si>
  <si>
    <t>Largehead hairtail</t>
  </si>
  <si>
    <t>Ariomma indica</t>
  </si>
  <si>
    <t>Indian ariomma</t>
  </si>
  <si>
    <t>Umbrina cirrosa</t>
  </si>
  <si>
    <t>Shi drum</t>
  </si>
  <si>
    <t>Mullus surmuletus</t>
  </si>
  <si>
    <t>Striped red mullet</t>
  </si>
  <si>
    <t>Osmerus eperlanus</t>
  </si>
  <si>
    <t>European smelt</t>
  </si>
  <si>
    <t>Pegusa lascaris</t>
  </si>
  <si>
    <t>Sand sole</t>
  </si>
  <si>
    <t>Paralichthys dentatus</t>
  </si>
  <si>
    <t>Summer flounder</t>
  </si>
  <si>
    <t>Phycis blennoides</t>
  </si>
  <si>
    <t>Greater forkbeard</t>
  </si>
  <si>
    <t>Platichthys flesus</t>
  </si>
  <si>
    <t>Flounder</t>
  </si>
  <si>
    <t>Pleuronectes platessus</t>
  </si>
  <si>
    <t>European plaice</t>
  </si>
  <si>
    <t>Pollachius virens</t>
  </si>
  <si>
    <t>Saithe</t>
  </si>
  <si>
    <t>Psetta maxima</t>
  </si>
  <si>
    <t>Turbot</t>
  </si>
  <si>
    <t>Sardina pilchardus</t>
  </si>
  <si>
    <t>European pilchard</t>
  </si>
  <si>
    <t>Paralichthys olivaceus</t>
  </si>
  <si>
    <t>Bastard halibut</t>
  </si>
  <si>
    <t>Spondyliosoma cantharus</t>
  </si>
  <si>
    <t>Black seabream</t>
  </si>
  <si>
    <t>Sprattus sprattus</t>
  </si>
  <si>
    <t>European sprat</t>
  </si>
  <si>
    <t>Trachinus draco</t>
  </si>
  <si>
    <t>Greater weever</t>
  </si>
  <si>
    <t>Trachurus trachurus</t>
  </si>
  <si>
    <t>Atlantic horse mackerel</t>
  </si>
  <si>
    <t>Chelidonichthys lucerna</t>
  </si>
  <si>
    <t>Tub gurnard</t>
  </si>
  <si>
    <t>Trisopterus luscus</t>
  </si>
  <si>
    <t>Pouting</t>
  </si>
  <si>
    <t>Zeus faber</t>
  </si>
  <si>
    <t>John dory</t>
  </si>
  <si>
    <t>Hippoglossus hippoglossus</t>
  </si>
  <si>
    <t>Atlantic halibut</t>
  </si>
  <si>
    <t>Melanogrammus aeglefinus</t>
  </si>
  <si>
    <t>Haddock</t>
  </si>
  <si>
    <t>Microstomus kitt</t>
  </si>
  <si>
    <t>Lemon sole</t>
  </si>
  <si>
    <t>Molva dypterygia</t>
  </si>
  <si>
    <t>Blue ling</t>
  </si>
  <si>
    <t>Lutjanus argentimaculatus</t>
  </si>
  <si>
    <t>Mangrove red snapper</t>
  </si>
  <si>
    <t>Lutjanus argentiventris</t>
  </si>
  <si>
    <t>Yellow snapper</t>
  </si>
  <si>
    <t>Lutjanus campechanus</t>
  </si>
  <si>
    <t>Northern red snapper</t>
  </si>
  <si>
    <t>Dussumieria acuta</t>
  </si>
  <si>
    <t>Rainbow sardine</t>
  </si>
  <si>
    <t>Dussumieria elopsoides</t>
  </si>
  <si>
    <t>Slender rainbow sardine</t>
  </si>
  <si>
    <t>Etrumeus teres</t>
  </si>
  <si>
    <t>Round herring</t>
  </si>
  <si>
    <t>Etrumeus whiteheadi</t>
  </si>
  <si>
    <t>Whitehead's round herring</t>
  </si>
  <si>
    <t>Spratelloides gracilis</t>
  </si>
  <si>
    <t>Silverstriped round herring</t>
  </si>
  <si>
    <t>Sprattus fuegensis</t>
  </si>
  <si>
    <t>Falkland sprat</t>
  </si>
  <si>
    <t>Clupeonella cultriventris</t>
  </si>
  <si>
    <t>Black Sea sprat</t>
  </si>
  <si>
    <t>Sardinops caeruleus</t>
  </si>
  <si>
    <t>California pilchard</t>
  </si>
  <si>
    <t>Sardinops melanostictus</t>
  </si>
  <si>
    <t>Japanese pilchard</t>
  </si>
  <si>
    <t>Sardinops ocellatus</t>
  </si>
  <si>
    <t>Southern African pilchard</t>
  </si>
  <si>
    <t>Sardinops sagax sagax</t>
  </si>
  <si>
    <t>South American pilchard</t>
  </si>
  <si>
    <t>Opisthonema libertate</t>
  </si>
  <si>
    <t>Pacific thread herring</t>
  </si>
  <si>
    <t>Opisthonema oglinum</t>
  </si>
  <si>
    <t>Atlantic thread herring</t>
  </si>
  <si>
    <t>Herklotsichthys quadrimaculatus</t>
  </si>
  <si>
    <t>Bluestripe herring</t>
  </si>
  <si>
    <t>Sardinella brasiliensis</t>
  </si>
  <si>
    <t>Brazilian sardinella</t>
  </si>
  <si>
    <t>Sardinella gibbosa</t>
  </si>
  <si>
    <t>Goldstripe sardinella</t>
  </si>
  <si>
    <t>Sardinella lemuru</t>
  </si>
  <si>
    <t>Bali sardinella</t>
  </si>
  <si>
    <t>Sardinella longiceps</t>
  </si>
  <si>
    <t>Indian oil sardine</t>
  </si>
  <si>
    <t>Sardinella zunasi</t>
  </si>
  <si>
    <t>Japanese sardinella</t>
  </si>
  <si>
    <t>Clupea pallasii</t>
  </si>
  <si>
    <t>Pacific herring</t>
  </si>
  <si>
    <t>Strangomera bentincki</t>
  </si>
  <si>
    <t>Araucanian herring</t>
  </si>
  <si>
    <t>Alosa aestivalis</t>
  </si>
  <si>
    <t>Blueback shad</t>
  </si>
  <si>
    <t>Alosa pseudoharengus</t>
  </si>
  <si>
    <t>Alewife</t>
  </si>
  <si>
    <t>Alosa sapidissima</t>
  </si>
  <si>
    <t>American shad</t>
  </si>
  <si>
    <t>Brevoortia aurea</t>
  </si>
  <si>
    <t>Brazilian menhaden</t>
  </si>
  <si>
    <t>Brevoortia patronus</t>
  </si>
  <si>
    <t>Gulf menhaden</t>
  </si>
  <si>
    <t>Brevoortia pectinata</t>
  </si>
  <si>
    <t>Argentine menhaden</t>
  </si>
  <si>
    <t>Brevoortia tyrannus</t>
  </si>
  <si>
    <t>Atlantic menhaden</t>
  </si>
  <si>
    <t>Ethmidium maculatum</t>
  </si>
  <si>
    <t>Pacific menhaden</t>
  </si>
  <si>
    <t>Ethmalosa fimbriata</t>
  </si>
  <si>
    <t>Bonga shad</t>
  </si>
  <si>
    <t>Hilsa kelee</t>
  </si>
  <si>
    <t>Kelee shad</t>
  </si>
  <si>
    <t>Tenualosa ilisha</t>
  </si>
  <si>
    <t>Hilsa shad</t>
  </si>
  <si>
    <t>Tenualosa toli</t>
  </si>
  <si>
    <t>Toli shad</t>
  </si>
  <si>
    <t>Clupanodon thrissa</t>
  </si>
  <si>
    <t>Chinese gizzard shad</t>
  </si>
  <si>
    <t>Konosirus punctatus</t>
  </si>
  <si>
    <t>Konoshiro gizzard shad</t>
  </si>
  <si>
    <t>Anodontostoma chacunda</t>
  </si>
  <si>
    <t>Chacunda gizzard shad</t>
  </si>
  <si>
    <t>Ilisha africana</t>
  </si>
  <si>
    <t>West African ilisha</t>
  </si>
  <si>
    <t>Ilisha elongata</t>
  </si>
  <si>
    <t>Elongate ilisha</t>
  </si>
  <si>
    <t>Pellona ditchela</t>
  </si>
  <si>
    <t>Indian pellona</t>
  </si>
  <si>
    <t>Engraulis anchoita</t>
  </si>
  <si>
    <t>Argentine anchoita</t>
  </si>
  <si>
    <t>Engraulis japonicus</t>
  </si>
  <si>
    <t>Japanese anchovy</t>
  </si>
  <si>
    <t>Engraulis mordax</t>
  </si>
  <si>
    <t>Californian anchovy</t>
  </si>
  <si>
    <t>Atherina boyeri</t>
  </si>
  <si>
    <t>Big-scale sand smelt</t>
  </si>
  <si>
    <t>Phycis phycis</t>
  </si>
  <si>
    <t>Forkbeard</t>
  </si>
  <si>
    <t>Diplodus sargus sargus</t>
  </si>
  <si>
    <t>White seabream</t>
  </si>
  <si>
    <t>Pagrus pagrus</t>
  </si>
  <si>
    <t>Common seabream</t>
  </si>
  <si>
    <t>Macruronus novaezelandiae</t>
  </si>
  <si>
    <t>Blue grenadier</t>
  </si>
  <si>
    <t>Merluccius capensis</t>
  </si>
  <si>
    <t>Shallow-water Cape hake</t>
  </si>
  <si>
    <t>Lethrinus atlanticus</t>
  </si>
  <si>
    <t>Reference codes</t>
  </si>
  <si>
    <t>Bykov 1985</t>
  </si>
  <si>
    <t>Crapo, Paust and Babbitt 1993</t>
  </si>
  <si>
    <t>Bykov 1985 and Crapo, Paust and Babbitt 1993</t>
  </si>
  <si>
    <t>Webb 1995</t>
  </si>
  <si>
    <t>D'Amours and Pilote 1982</t>
  </si>
  <si>
    <t>Bykov 1985 and Torry Research Station 1989</t>
  </si>
  <si>
    <t>Crapo, Paust and Babbitt 1993 and Torry Research Station 1989</t>
  </si>
  <si>
    <t>Bykov 1985 and Crapo, Paust and Babbitt 1993 and Torry Research Station 1989</t>
  </si>
  <si>
    <t>Torry Research Station 1989</t>
  </si>
  <si>
    <t>Torry Research Station 1989, and Thorarinsdottir and Einarsson 1996</t>
  </si>
  <si>
    <t>Torry Research Station 1989 and Amaratunga and Rowell 1988</t>
  </si>
  <si>
    <t>Hale, Bauersfeld, Galloway and Joseph 1991</t>
  </si>
  <si>
    <t>Bykov 1985 and Hale, Bauersfeld, Galloway and Joseph 1991</t>
  </si>
  <si>
    <t>FAO data file</t>
  </si>
  <si>
    <t>Crapo, Paust and Babbitt 1993, Torry Research Station 1989, D'Amours and Pilote 1982, FAO data file</t>
  </si>
  <si>
    <t>D'Amours and Pilote 1982, and FAO data file</t>
  </si>
  <si>
    <t>Crapo, Paust and Babbitt 1993, and FAO data file</t>
  </si>
  <si>
    <t>Crapo, Paust and Babbitt 1993, Torry Research Station 1989, FAO data file</t>
  </si>
  <si>
    <t>JW Smith, pers. comm. March 26, 2001</t>
  </si>
  <si>
    <t>Wiviott and Mathews 1975</t>
  </si>
  <si>
    <t>Bykov 1985 and Wiviott and Mathews 1975</t>
  </si>
  <si>
    <t>Bykov 1985 and Torry Research Station 1989 and Wiviott and Mathews 1975</t>
  </si>
  <si>
    <t>Torry Research Station 1989 and Wiviott and Mathews 1975</t>
  </si>
  <si>
    <t>Crapo, Paust and Babbitt 1993 and Wiviott and Mathews 1975</t>
  </si>
  <si>
    <t>Bykov 1985 and Wiviott and Mathews 1975 and Silva and Chamul, 2001</t>
  </si>
  <si>
    <t>Silva and Chamul, 2001and Wheaton and Lawson 1985</t>
  </si>
  <si>
    <t>Higgs, MacDonald, Levings and Dosanjh, 1995</t>
  </si>
  <si>
    <t>Crapo, Paust and Babbitt 1993 and Torry Research Station 1989 and Wiviott and Mathews 1975</t>
  </si>
  <si>
    <t>BC Fisheries 2000</t>
  </si>
  <si>
    <t>Crapo, Paust and Babbitt 1993 and Torry Research Station 1989 and BC Fisheries 2000</t>
  </si>
  <si>
    <t>Crapo, Paust and Babbitt 1993 and BC Fisheries 2000</t>
  </si>
  <si>
    <t>Bykov 1985 and Crapo, Paust and Babbitt 1993 and Torry Research Station 1989 and BC Fisheries 2000</t>
  </si>
  <si>
    <t>Bykov 1985 and Crapo, Paust and Babbitt 1993 and BC Fisheries 2000</t>
  </si>
  <si>
    <t>Chinnamma and Gopakumar 1987</t>
  </si>
  <si>
    <t>Hawkins and Rowell 1984</t>
  </si>
  <si>
    <t>Pastoriza and Sampedro 1993</t>
  </si>
  <si>
    <t>Koreeda, Ishigami and Fujita 1982</t>
  </si>
  <si>
    <t>Bykov 1985 and Koreeda, Ishigami and Fujita 1982</t>
  </si>
  <si>
    <t>Jim Bain, Baader Canada Ltd. Pers. Comm. October 15,2001</t>
  </si>
  <si>
    <t>Torry Research Station 1989, and Jim Bain, Baader Canada Ltd. Pers. Comm. October 15,2001</t>
  </si>
  <si>
    <t>Bykov 1985, Torry Research Station 1989 and Jim Bain, Baader Canada Ltd. Pers. Comm. October 15,2001</t>
  </si>
  <si>
    <t>Wheaton and Lawson 1985</t>
  </si>
  <si>
    <t>Crapo, Paust and Babbitt 1993 and Jim Bain, Baader Canada Ltd. Pers. Comm. October 15,2001</t>
  </si>
  <si>
    <t>Crapo, Paust and Babbitt 1993, Torry Research Station 1989 and Jim Bain, Baader Canada Ltd. Pers. Comm. October 15,2001</t>
  </si>
  <si>
    <t>Wiviott and Mathews 1975 and Jim Bain, Baader Canada Ltd. Pers. Comm. October 15,2001</t>
  </si>
  <si>
    <t>Crapo, Paust and Babbitt 1993 and BC Fisheries 2000 and Jim Bain, Baader Canada Ltd. Pers. Comm. October 15,2001</t>
  </si>
  <si>
    <t>Bykov 1985, and Jim Bain, Baader Canada Ltd. Pers. Comm. October 15,2001</t>
  </si>
  <si>
    <t>Bykov 1985 and Crapo, Paust and Babbitt 1993, Torry Research Station 1989 and Jim Bain, Baader Canada Ltd. Pers. Comm. October 15,2001</t>
  </si>
  <si>
    <t>Bykov 1985 and Silva and Chamul, 2001</t>
  </si>
  <si>
    <t>Bykov 1985, Torry Research Station 1989 and Silva and Chamul, 2001</t>
  </si>
  <si>
    <t>Bykov 1985 and Torry Research Station 1989, Wiviott and Mathews 1975 and Silva and Chamul, 2001</t>
  </si>
  <si>
    <t>Silva and Chamul, 2001</t>
  </si>
  <si>
    <t>Torry Research Station 1989 and Silva and Chamul, 2001</t>
  </si>
  <si>
    <t>Torry Research Station 1989, Wiviott and Mathews 1975 and Silva and Chamul, 2001</t>
  </si>
  <si>
    <t>Sarpa salpa</t>
  </si>
  <si>
    <t>Salema</t>
  </si>
  <si>
    <t>Makaira nigricans</t>
  </si>
  <si>
    <t>Atlantic blue marlin</t>
  </si>
  <si>
    <t>Makaira indica</t>
  </si>
  <si>
    <t>Black marlin</t>
  </si>
  <si>
    <t>Makaira mazara</t>
  </si>
  <si>
    <t>Indo-Pacific blue marlin</t>
  </si>
  <si>
    <t>Tetrapturus albidus</t>
  </si>
  <si>
    <t>Atlantic white marlin</t>
  </si>
  <si>
    <t>Tetrapturus pfluegeri</t>
  </si>
  <si>
    <t>Longbill spearfish</t>
  </si>
  <si>
    <t>Tetrapturus audax</t>
  </si>
  <si>
    <t>Striped marlin</t>
  </si>
  <si>
    <t>Xiphias gladius</t>
  </si>
  <si>
    <t>Swordfish</t>
  </si>
  <si>
    <t>Megalops cyprinoides</t>
  </si>
  <si>
    <t>Indo-Pacific tarpon</t>
  </si>
  <si>
    <t>Albula vulpes</t>
  </si>
  <si>
    <t>Bonefish</t>
  </si>
  <si>
    <t>Pterothrissus belloci</t>
  </si>
  <si>
    <t>Longfin bonefish</t>
  </si>
  <si>
    <t>Alepocephalus bairdii</t>
  </si>
  <si>
    <t>Baird's smooth-head</t>
  </si>
  <si>
    <t>Coregonus albula</t>
  </si>
  <si>
    <t>Vendace</t>
  </si>
  <si>
    <t>Coregonus lavaretus</t>
  </si>
  <si>
    <t>Common whitefish</t>
  </si>
  <si>
    <t>Coregonus oxyrinchus</t>
  </si>
  <si>
    <t>Houting</t>
  </si>
  <si>
    <t>Salmo salar</t>
  </si>
  <si>
    <t>Atlantic salmon</t>
  </si>
  <si>
    <t>Salmo trutta trutta</t>
  </si>
  <si>
    <t>Sea trout</t>
  </si>
  <si>
    <t>Oncorhynchus mykiss</t>
  </si>
  <si>
    <t>Rainbow trout</t>
  </si>
  <si>
    <t>Oncorhynchus gorbuscha</t>
  </si>
  <si>
    <t>Pink salmon</t>
  </si>
  <si>
    <t>Oncorhynchus keta</t>
  </si>
  <si>
    <t>Chum salmon</t>
  </si>
  <si>
    <t/>
  </si>
  <si>
    <t>References</t>
  </si>
  <si>
    <t>Argyrops spinifer</t>
  </si>
  <si>
    <t>King soldierbream</t>
  </si>
  <si>
    <t>Argyrozona argyrozona</t>
  </si>
  <si>
    <t>Carpenter seabream</t>
  </si>
  <si>
    <t>Cheimerius nufar</t>
  </si>
  <si>
    <t>Santer seabream</t>
  </si>
  <si>
    <t>Petrus rupestris</t>
  </si>
  <si>
    <t>Red steenbras</t>
  </si>
  <si>
    <t>Pterogymnus laniarius</t>
  </si>
  <si>
    <t>Panga seabream</t>
  </si>
  <si>
    <t>Rhabdosargus globiceps</t>
  </si>
  <si>
    <t>White stumpnose</t>
  </si>
  <si>
    <t>Lithognathus lithognathus</t>
  </si>
  <si>
    <t>White steenbras</t>
  </si>
  <si>
    <t>Stenotomus chrysops</t>
  </si>
  <si>
    <t>Scup</t>
  </si>
  <si>
    <t>Pseudupeneus prayensis</t>
  </si>
  <si>
    <t>West African goatfish</t>
  </si>
  <si>
    <t>Drepane punctata</t>
  </si>
  <si>
    <t>Spotted sicklefish</t>
  </si>
  <si>
    <t>Drepane africana</t>
  </si>
  <si>
    <t>African sicklefish</t>
  </si>
  <si>
    <t>Tautoga onitis</t>
  </si>
  <si>
    <t>Tautog</t>
  </si>
  <si>
    <t>Cheilodactylus bergi</t>
  </si>
  <si>
    <t>Cheilodactylus variegatus</t>
  </si>
  <si>
    <t>Peruvian morwong</t>
  </si>
  <si>
    <t>Arctoscopus japonicus</t>
  </si>
  <si>
    <t>Sailfin sandfish</t>
  </si>
  <si>
    <t>Parapercis colias</t>
  </si>
  <si>
    <t>Blue cod</t>
  </si>
  <si>
    <t>Percophis brasiliensis</t>
  </si>
  <si>
    <t>Brazilian flathead</t>
  </si>
  <si>
    <t>Eleginops maclovinus</t>
  </si>
  <si>
    <t>Patagonian blennie</t>
  </si>
  <si>
    <t>Dissostichus eleginoides</t>
  </si>
  <si>
    <t>Patagonian toothfish</t>
  </si>
  <si>
    <t>Notothenia rossii</t>
  </si>
  <si>
    <t>Marbled rockcod</t>
  </si>
  <si>
    <t>Pleuragramma antarcticum</t>
  </si>
  <si>
    <t>Antarctic silverfish</t>
  </si>
  <si>
    <t>Chaenocephalus aceratus</t>
  </si>
  <si>
    <t>Blackfin icefish</t>
  </si>
  <si>
    <t>Champsocephalus gunnari</t>
  </si>
  <si>
    <t>Mackerel icefish</t>
  </si>
  <si>
    <t>Pseudochaenichthys georgianus</t>
  </si>
  <si>
    <t>South Georgia icefish</t>
  </si>
  <si>
    <t>Chionodraco rastrospinosus</t>
  </si>
  <si>
    <t>Ocellated icefish</t>
  </si>
  <si>
    <t>Channichthys rhinoceratus</t>
  </si>
  <si>
    <t>Unicorn icefish</t>
  </si>
  <si>
    <t>Chaenodraco wilsoni</t>
  </si>
  <si>
    <t>Spiny icefish</t>
  </si>
  <si>
    <t>Zoarces viviparus</t>
  </si>
  <si>
    <t>Viviparous blenny</t>
  </si>
  <si>
    <t>Zoarces americanus</t>
  </si>
  <si>
    <t>Ocean pout</t>
  </si>
  <si>
    <t>Trisopterus minutus</t>
  </si>
  <si>
    <t>Poor cod</t>
  </si>
  <si>
    <t>Genypterus blacodes</t>
  </si>
  <si>
    <t>Pink ling</t>
  </si>
  <si>
    <t>Genypterus chilensis</t>
  </si>
  <si>
    <t>Red cusk-eel</t>
  </si>
  <si>
    <t>Genypterus maculatus</t>
  </si>
  <si>
    <t>Genypterus capensis</t>
  </si>
  <si>
    <t>Kingklip</t>
  </si>
  <si>
    <t>Brotula barbata</t>
  </si>
  <si>
    <t>Bearded brotula</t>
  </si>
  <si>
    <t>Ammodytes personatus</t>
  </si>
  <si>
    <t>Pacific sandeel</t>
  </si>
  <si>
    <t>Hypoptychus dybowskii</t>
  </si>
  <si>
    <t>Korean sandeel</t>
  </si>
  <si>
    <t>Thyrsites atun</t>
  </si>
  <si>
    <t>Snoek</t>
  </si>
  <si>
    <t>Thyrsitops lepidopoides</t>
  </si>
  <si>
    <t>White snake mackerel</t>
  </si>
  <si>
    <t>Pampus argenteus</t>
  </si>
  <si>
    <t>Silver pomfret</t>
  </si>
  <si>
    <t>Peprilus triacanthus</t>
  </si>
  <si>
    <t>American butterfish</t>
  </si>
  <si>
    <t>Peprilus simillimus</t>
  </si>
  <si>
    <t>Pacific pompano</t>
  </si>
  <si>
    <t>Hyperoglyphe antarctica</t>
  </si>
  <si>
    <t>Antarctic butterfish</t>
  </si>
  <si>
    <t>Psenopsis anomala</t>
  </si>
  <si>
    <t>Sebastes marinus</t>
  </si>
  <si>
    <t>Ocean perch</t>
  </si>
  <si>
    <t>Sebastes entomelas</t>
  </si>
  <si>
    <t>Widow rockfish</t>
  </si>
  <si>
    <t>Sebastes flavidus</t>
  </si>
  <si>
    <t>Yellowtail rockfish</t>
  </si>
  <si>
    <t>Sebastes alutus</t>
  </si>
  <si>
    <t>Pacific ocean perch</t>
  </si>
  <si>
    <t>Sebastes mentella</t>
  </si>
  <si>
    <t>Deepwater redfish</t>
  </si>
  <si>
    <t>Sebastes capensis</t>
  </si>
  <si>
    <t>False jacopever</t>
  </si>
  <si>
    <t>Chelidonichthys kumu</t>
  </si>
  <si>
    <t>Bluefin gurnard</t>
  </si>
  <si>
    <t>Pterygotrigla polyommata</t>
  </si>
  <si>
    <t>Latchet</t>
  </si>
  <si>
    <t>Ophiodon elongatus</t>
  </si>
  <si>
    <t>Lingcod</t>
  </si>
  <si>
    <t>Pleurogrammus azonus</t>
  </si>
  <si>
    <t>Anoplopoma fimbria</t>
  </si>
  <si>
    <t>Sablefish</t>
  </si>
  <si>
    <t>Psettodes erumei</t>
  </si>
  <si>
    <t>Indian spiny turbot</t>
  </si>
  <si>
    <t>Hippoglossus stenolepis</t>
  </si>
  <si>
    <t>Pacific halibut</t>
  </si>
  <si>
    <t>Reinhardtius hippoglossoides</t>
  </si>
  <si>
    <t>Greenland halibut</t>
  </si>
  <si>
    <t>Reinhardtius stomias</t>
  </si>
  <si>
    <t>Arrowtooth flounder</t>
  </si>
  <si>
    <t>Reinhardtius evermanni</t>
  </si>
  <si>
    <t>Kamchatka flounder</t>
  </si>
  <si>
    <t>Hippoglossoides elassodon</t>
  </si>
  <si>
    <t>Flathead sole</t>
  </si>
  <si>
    <t>TaxonKey</t>
  </si>
  <si>
    <t>TaxLevel</t>
  </si>
  <si>
    <t>SpeCode</t>
  </si>
  <si>
    <t>TaxonName</t>
  </si>
  <si>
    <t>CommonName</t>
  </si>
  <si>
    <t>SumAdjcatch</t>
  </si>
  <si>
    <t>Cobia</t>
  </si>
  <si>
    <t>Engraulis ringens</t>
  </si>
  <si>
    <t>Anchoveta</t>
  </si>
  <si>
    <t>Orthopristis chrysoptera</t>
  </si>
  <si>
    <t>Pigfish</t>
  </si>
  <si>
    <t>Coryphaena hippurus</t>
  </si>
  <si>
    <t>Common dolphinfish</t>
  </si>
  <si>
    <t>Epinephelus morio</t>
  </si>
  <si>
    <t>Red grouper</t>
  </si>
  <si>
    <t>Epinephelus striatus</t>
  </si>
  <si>
    <t>Nassau grouper</t>
  </si>
  <si>
    <t>Clupea harengus</t>
  </si>
  <si>
    <t>Atlantic herring</t>
  </si>
  <si>
    <t>Glyptocephalus cynoglossus</t>
  </si>
  <si>
    <t>Witch</t>
  </si>
  <si>
    <t>Lepidorhombus whiffiagonis</t>
  </si>
  <si>
    <t>Megrim</t>
  </si>
  <si>
    <t>Merlangius merlangus</t>
  </si>
  <si>
    <t>Whiting</t>
  </si>
  <si>
    <t>Merluccius merluccius</t>
  </si>
  <si>
    <t>European hake</t>
  </si>
  <si>
    <t>Micromesistius poutassou</t>
  </si>
  <si>
    <t>Blue whiting</t>
  </si>
  <si>
    <t>Molva molva</t>
  </si>
  <si>
    <t>Ling</t>
  </si>
  <si>
    <t>Pollachius pollachius</t>
  </si>
  <si>
    <t>Pollack</t>
  </si>
  <si>
    <t>Anguilla anguilla</t>
  </si>
  <si>
    <t>European eel</t>
  </si>
  <si>
    <t>Chelidonichthys cuculus</t>
  </si>
  <si>
    <t>Belone belone belone</t>
  </si>
  <si>
    <t>Garpike</t>
  </si>
  <si>
    <t>Brosme brosme</t>
  </si>
  <si>
    <t>Tusk</t>
  </si>
  <si>
    <t>Cyclopterus lumpus</t>
  </si>
  <si>
    <t>Lumpsucker</t>
  </si>
  <si>
    <t>Dicentrarchus labrax</t>
  </si>
  <si>
    <t>European seabass</t>
  </si>
  <si>
    <t>Engraulis encrasicolus</t>
  </si>
  <si>
    <t>European anchovy</t>
  </si>
  <si>
    <t>Chelidonichthys gurnardus</t>
  </si>
  <si>
    <t>Grey gurnard</t>
  </si>
  <si>
    <t>Gadus morhua</t>
  </si>
  <si>
    <t>Atlantic cod</t>
  </si>
  <si>
    <t>Caranx hippos</t>
  </si>
  <si>
    <t>Crevalle jack</t>
  </si>
  <si>
    <t>Helicolenus dactylopterus</t>
  </si>
  <si>
    <t>Blackbelly rosefish</t>
  </si>
  <si>
    <t>Istiophorus platypterus</t>
  </si>
  <si>
    <t>Indo-Pacific sailfish</t>
  </si>
  <si>
    <t>Istiophorus albicans</t>
  </si>
  <si>
    <t>Atlantic sailfish</t>
  </si>
  <si>
    <t>Chanos chanos</t>
  </si>
  <si>
    <t>Milkfish</t>
  </si>
  <si>
    <t>Lamna nasus</t>
  </si>
  <si>
    <t>Porbeagle</t>
  </si>
  <si>
    <t>Acanthocybium solandri</t>
  </si>
  <si>
    <t>Wahoo</t>
  </si>
  <si>
    <t>Cetorhinus maximus</t>
  </si>
  <si>
    <t>Basking shark</t>
  </si>
  <si>
    <t>Euthynnus affinis</t>
  </si>
  <si>
    <t>Kawakawa</t>
  </si>
  <si>
    <t>Euthynnus alletteratus</t>
  </si>
  <si>
    <t>Little tunny</t>
  </si>
  <si>
    <t>Euthynnus lineatus</t>
  </si>
  <si>
    <t>Black skipjack</t>
  </si>
  <si>
    <t>Alosa pontica</t>
  </si>
  <si>
    <t>Pontic shad</t>
  </si>
  <si>
    <t>Katsuwonus pelamis</t>
  </si>
  <si>
    <t>Skipjack tuna</t>
  </si>
  <si>
    <t>Orcynopsis unicolor</t>
  </si>
  <si>
    <t>Plain bonito</t>
  </si>
  <si>
    <t>Rastrelliger brachysoma</t>
  </si>
  <si>
    <t>Short mackerel</t>
  </si>
  <si>
    <t>Rastrelliger kanagurta</t>
  </si>
  <si>
    <t>Indian mackerel</t>
  </si>
  <si>
    <t>Sarda chiliensis chiliensis</t>
  </si>
  <si>
    <t>Eastern Pacific bonito</t>
  </si>
  <si>
    <t>Sarda orientalis</t>
  </si>
  <si>
    <t>Striped bonito</t>
  </si>
  <si>
    <t>Sarda sarda</t>
  </si>
  <si>
    <t>Atlantic bonito</t>
  </si>
  <si>
    <t>Scomber australasicus</t>
  </si>
  <si>
    <t>Blue mackerel</t>
  </si>
  <si>
    <t>Scomber japonicus</t>
  </si>
  <si>
    <t>Chub mackerel</t>
  </si>
  <si>
    <t>Scomber scombrus</t>
  </si>
  <si>
    <t>Atlantic mackerel</t>
  </si>
  <si>
    <t>Scomberomorus brasiliensis</t>
  </si>
  <si>
    <t>Serra Spanish mackerel</t>
  </si>
  <si>
    <t>Scomberomorus cavalla</t>
  </si>
  <si>
    <t>King mackerel</t>
  </si>
  <si>
    <t>Scomberomorus commerson</t>
  </si>
  <si>
    <t>Narrow-barred Spanish mackerel</t>
  </si>
  <si>
    <t>Scomberomorus guttatus</t>
  </si>
  <si>
    <t>Indo-Pacific king mackerel</t>
  </si>
  <si>
    <t>Scomberomorus lineolatus</t>
  </si>
  <si>
    <t>Streaked seerfish</t>
  </si>
  <si>
    <t>Scomberomorus maculatus</t>
  </si>
  <si>
    <t>Spanish mackerel</t>
  </si>
  <si>
    <t>Scomberomorus niphonius</t>
  </si>
  <si>
    <t>Japanese Spanish mackerel</t>
  </si>
  <si>
    <t>Scomberomorus regalis</t>
  </si>
  <si>
    <t>Cero</t>
  </si>
  <si>
    <t>Scomberomorus sierra</t>
  </si>
  <si>
    <t>Pacific sierra</t>
  </si>
  <si>
    <t>Somniosus microcephalus</t>
  </si>
  <si>
    <t>Greenland shark</t>
  </si>
  <si>
    <t>Squalus acanthias</t>
  </si>
  <si>
    <t>Piked dogfish</t>
  </si>
  <si>
    <t>Rhinobatos percellens</t>
  </si>
  <si>
    <t>Fiddlerfish</t>
  </si>
  <si>
    <t>Scomberomorus tritor</t>
  </si>
  <si>
    <t>West African Spanish mackerel</t>
  </si>
  <si>
    <t>Thunnus alalunga</t>
  </si>
  <si>
    <t>Albacore</t>
  </si>
  <si>
    <t>Thunnus albacares</t>
  </si>
  <si>
    <t>Yellowfin tuna</t>
  </si>
  <si>
    <t>Thunnus atlanticus</t>
  </si>
  <si>
    <t>Blackfin tuna</t>
  </si>
  <si>
    <t>Thunnus maccoyii</t>
  </si>
  <si>
    <t>Southern bluefin tuna</t>
  </si>
  <si>
    <t>Thunnus obesus</t>
  </si>
  <si>
    <t>Bigeye tuna</t>
  </si>
  <si>
    <t>Thunnus thynnus thynnus</t>
  </si>
  <si>
    <t>Northern bluefin tuna</t>
  </si>
  <si>
    <t>Thunnus tonggol</t>
  </si>
  <si>
    <t>Longtail tuna</t>
  </si>
  <si>
    <t>Rhinobatos planiceps</t>
  </si>
  <si>
    <t>Pacific guitarfish</t>
  </si>
  <si>
    <t>Callorhinchus capensis</t>
  </si>
  <si>
    <t>Cape elephantfish</t>
  </si>
  <si>
    <t>Lutjanus purpureus</t>
  </si>
  <si>
    <t>Southern red snapper</t>
  </si>
  <si>
    <t>Elops saurus</t>
  </si>
  <si>
    <t>Ladyfish</t>
  </si>
  <si>
    <t>Lutjanus synagris</t>
  </si>
  <si>
    <t>Lane snapper</t>
  </si>
  <si>
    <t>Ocyurus chrysurus</t>
  </si>
  <si>
    <t>Yellowtail snapper</t>
  </si>
  <si>
    <t>Boops boops</t>
  </si>
  <si>
    <t>Bogue</t>
  </si>
  <si>
    <t>Atlantic emperor</t>
  </si>
  <si>
    <t>Microgadus proximus</t>
  </si>
  <si>
    <t>Pacific tomcod</t>
  </si>
  <si>
    <t>Caranx rhonchus</t>
  </si>
  <si>
    <t>False scad</t>
  </si>
  <si>
    <t>Caranx crysos</t>
  </si>
  <si>
    <t>Blue runner</t>
  </si>
  <si>
    <t>Decapterus maruadsi</t>
  </si>
  <si>
    <t>Japanese scad</t>
  </si>
  <si>
    <t>Parastromateus niger</t>
  </si>
  <si>
    <t>Black pomfret</t>
  </si>
  <si>
    <t>Trachinotus blochii</t>
  </si>
  <si>
    <t>Snubnose pompano</t>
  </si>
  <si>
    <t>Antimora rostrata</t>
  </si>
  <si>
    <t>Blue antimora</t>
  </si>
  <si>
    <t>Pseudophycis bachus</t>
  </si>
  <si>
    <t>Red codling</t>
  </si>
  <si>
    <t>Dipturus batis</t>
  </si>
  <si>
    <t>Skate</t>
  </si>
  <si>
    <t>Raja clavata</t>
  </si>
  <si>
    <t>Thornback ray</t>
  </si>
  <si>
    <t>Acipenser stellatus</t>
  </si>
  <si>
    <t>Starry sturgeon</t>
  </si>
  <si>
    <t>Huso huso</t>
  </si>
  <si>
    <t>Beluga</t>
  </si>
  <si>
    <t>Anarhichas lupus</t>
  </si>
  <si>
    <t>Wolf-fish</t>
  </si>
  <si>
    <t>Chimaera monstrosa</t>
  </si>
  <si>
    <t>Rabbit fish</t>
  </si>
  <si>
    <t>Epigonus telescopus</t>
  </si>
  <si>
    <t>Bulls-eye</t>
  </si>
  <si>
    <t>Notorynchus cepedianus</t>
  </si>
  <si>
    <t>Broadnose sevengill shark</t>
  </si>
  <si>
    <t>Alopias superciliosus</t>
  </si>
  <si>
    <t>Bigeye thresher</t>
  </si>
  <si>
    <t>Alopias vulpinus</t>
  </si>
  <si>
    <t>Thintail thresher</t>
  </si>
  <si>
    <t>Mustelus henlei</t>
  </si>
  <si>
    <t>Brown smooth-hound</t>
  </si>
  <si>
    <t>Amblyraja radiata</t>
  </si>
  <si>
    <t>Thorny skate</t>
  </si>
  <si>
    <t>Stereolepis gigas</t>
  </si>
  <si>
    <t>Giant sea-bass</t>
  </si>
  <si>
    <t>Mycteroperca xenarcha</t>
  </si>
  <si>
    <t>Broomtail grouper</t>
  </si>
  <si>
    <t>Rachycentron canadum</t>
  </si>
  <si>
    <t>Atractoscion nobilis</t>
  </si>
  <si>
    <t>White weakfish</t>
  </si>
  <si>
    <t>Pseudopentaceros richardsoni</t>
  </si>
  <si>
    <t>Pelagic armorhead</t>
  </si>
  <si>
    <t>Semicossyphus pulcher</t>
  </si>
  <si>
    <t>California sheephead</t>
  </si>
  <si>
    <t>Tautogolabrus adspersus</t>
  </si>
  <si>
    <t>Cunner</t>
  </si>
  <si>
    <t>Anarhichas minor</t>
  </si>
  <si>
    <t>Spotted wolffish</t>
  </si>
  <si>
    <t>Tetrapturus angustirostris</t>
  </si>
  <si>
    <t>Shortbill spearfish</t>
  </si>
  <si>
    <t>Peprilus alepidotus</t>
  </si>
  <si>
    <t>Harvestfish</t>
  </si>
  <si>
    <t>Sebastes goodei</t>
  </si>
  <si>
    <t>Chilipepper</t>
  </si>
  <si>
    <t>Sebastes paucispinis</t>
  </si>
  <si>
    <t>Bocaccio</t>
  </si>
  <si>
    <t>Sebastes pinniger</t>
  </si>
  <si>
    <t>Canary rockfish</t>
  </si>
  <si>
    <t>Paralichthys californicus</t>
  </si>
  <si>
    <t>California flounder</t>
  </si>
  <si>
    <t>Eopsetta jordani</t>
  </si>
  <si>
    <t>Petrale sole</t>
  </si>
  <si>
    <t>Glyptocephalus zachirus</t>
  </si>
  <si>
    <t>Rex sole</t>
  </si>
  <si>
    <t>Hippoglossoides platessoides</t>
  </si>
  <si>
    <t>American plaice</t>
  </si>
  <si>
    <t>Microstomus pacificus</t>
  </si>
  <si>
    <t>Dover sole</t>
  </si>
  <si>
    <t>Pleuronectes quadrituberculatus</t>
  </si>
  <si>
    <t>Alaska plaice</t>
  </si>
  <si>
    <t>Psettichthys melanostictus</t>
  </si>
  <si>
    <t>Normanichthys crockeri</t>
  </si>
  <si>
    <t>Raja naevus</t>
  </si>
  <si>
    <t>Cuckoo ray</t>
  </si>
  <si>
    <t>Raja montagui</t>
  </si>
  <si>
    <t>Spotted ray</t>
  </si>
  <si>
    <t>Epinephelus tauvina</t>
  </si>
  <si>
    <t>Greasy grouper</t>
  </si>
  <si>
    <t>Gnathanodon speciosus</t>
  </si>
  <si>
    <t>Golden trevally</t>
  </si>
  <si>
    <t>Psettodes belcheri</t>
  </si>
  <si>
    <t>Spottail spiny turbot</t>
  </si>
  <si>
    <t>Pagrus caeruleostictus</t>
  </si>
  <si>
    <t>Bluespotted seabream</t>
  </si>
  <si>
    <t>Lateolabrax japonicus</t>
  </si>
  <si>
    <t>Japanese seaperch</t>
  </si>
  <si>
    <t>Dentex congoensis</t>
  </si>
  <si>
    <t>Congo dentex</t>
  </si>
  <si>
    <t>Galeorhinus galeus</t>
  </si>
  <si>
    <t>Tope shark</t>
  </si>
  <si>
    <t>Notothenia coriiceps</t>
  </si>
  <si>
    <t>Yellowbelly rockcod</t>
  </si>
  <si>
    <t>Pomadasys jubelini</t>
  </si>
  <si>
    <t>Sompat grunt</t>
  </si>
  <si>
    <t>Acipenser gueldenstaedtii</t>
  </si>
  <si>
    <t>Russian sturgeon</t>
  </si>
  <si>
    <t>Mugil soiuy</t>
  </si>
  <si>
    <t>So-iuy mullet</t>
  </si>
  <si>
    <t>Otolithes ruber</t>
  </si>
  <si>
    <t>Tiger-toothed croaker</t>
  </si>
  <si>
    <t>Spicara maena</t>
  </si>
  <si>
    <t>Blotched picarel</t>
  </si>
  <si>
    <t>Epinephelus goreensis</t>
  </si>
  <si>
    <t>Dungat grouper</t>
  </si>
  <si>
    <t>Polydactylus quadrifilis</t>
  </si>
  <si>
    <t>Giant African threadfin</t>
  </si>
  <si>
    <t>Pomadasys incisus</t>
  </si>
  <si>
    <t>Bastard grunt</t>
  </si>
  <si>
    <t>Pseudotolithus senegallus</t>
  </si>
  <si>
    <t>Law croaker</t>
  </si>
  <si>
    <t>Trigla lyra</t>
  </si>
  <si>
    <t>Piper gurnard</t>
  </si>
  <si>
    <t>Arripis trutta</t>
  </si>
  <si>
    <t>Eastern Australian salmon</t>
  </si>
  <si>
    <t>Trachurus capensis</t>
  </si>
  <si>
    <t>Cape horse mackerel</t>
  </si>
  <si>
    <t>Chelidonichthys capensis</t>
  </si>
  <si>
    <t>Cape gurnard</t>
  </si>
  <si>
    <t>Kyphosus cinerascens</t>
  </si>
  <si>
    <t>Blue seachub</t>
  </si>
  <si>
    <t>Mustelus schmitti</t>
  </si>
  <si>
    <t>Narrownose smooth-hound</t>
  </si>
  <si>
    <t>Totoaba macdonaldi</t>
  </si>
  <si>
    <t>Totoaba</t>
  </si>
  <si>
    <t>Acanthopagrus latus</t>
  </si>
  <si>
    <t>Yellowfin seabream</t>
  </si>
  <si>
    <t>Chirocentrus dorab</t>
  </si>
  <si>
    <t>Dorab wolf-herring</t>
  </si>
  <si>
    <t>Pagrus auratus</t>
  </si>
  <si>
    <t>Squirefish</t>
  </si>
  <si>
    <t>Epinephelus marginatus</t>
  </si>
  <si>
    <t>Dusky grouper</t>
  </si>
  <si>
    <t>Saurida tumbil</t>
  </si>
  <si>
    <t>Greater lizardfish</t>
  </si>
  <si>
    <t>Oncorhynchus masou masou</t>
  </si>
  <si>
    <t>Cherry salmon</t>
  </si>
  <si>
    <t>Oncorhynchus nerka</t>
  </si>
  <si>
    <t>Sockeye salmon</t>
  </si>
  <si>
    <t>Oncorhynchus tshawytscha</t>
  </si>
  <si>
    <t>Chinook salmon</t>
  </si>
  <si>
    <t>Oncorhynchus kisutch</t>
  </si>
  <si>
    <t>Coho salmon</t>
  </si>
  <si>
    <t>Salvelinus alpinus</t>
  </si>
  <si>
    <t>Arctic Char</t>
  </si>
  <si>
    <t>Mallotus villosus</t>
  </si>
  <si>
    <t>Capelin</t>
  </si>
  <si>
    <t>Osmerus mordax mordax</t>
  </si>
  <si>
    <t>Atlantic rainbow smelt</t>
  </si>
  <si>
    <t>Hypomesus pretiosus pretiosus</t>
  </si>
  <si>
    <t>Surf smelt</t>
  </si>
  <si>
    <t>Thaleichthys pacificus</t>
  </si>
  <si>
    <t>Eulachon</t>
  </si>
  <si>
    <t>Glossanodon semifasciatus</t>
  </si>
  <si>
    <t>Deepsea smelt</t>
  </si>
  <si>
    <t>Lampanyctodes hectoris</t>
  </si>
  <si>
    <t>Hector's lanternfish</t>
  </si>
  <si>
    <t>Harpadon nehereus</t>
  </si>
  <si>
    <t>Bombay-duck</t>
  </si>
  <si>
    <t>Galeichthys feliceps</t>
  </si>
  <si>
    <t>White baggar</t>
  </si>
  <si>
    <t>Anguilla rostrata</t>
  </si>
  <si>
    <t>American eel</t>
  </si>
  <si>
    <t>Anguilla australis</t>
  </si>
  <si>
    <t>Shortfin eel</t>
  </si>
  <si>
    <t>Muraenesox cinereus</t>
  </si>
  <si>
    <t>Daggertooth pike conger</t>
  </si>
  <si>
    <t>Conger orbignyanus</t>
  </si>
  <si>
    <t>Argentine conger</t>
  </si>
  <si>
    <t>Conger oceanicus</t>
  </si>
  <si>
    <t>American conger</t>
  </si>
  <si>
    <t>Conger conger</t>
  </si>
  <si>
    <t>European conger</t>
  </si>
  <si>
    <t>Conger myriaster</t>
  </si>
  <si>
    <t>Cololabis saira</t>
  </si>
  <si>
    <t>Pacific saury</t>
  </si>
  <si>
    <t>Hyporhamphus sajori</t>
  </si>
  <si>
    <t>Japanese halfbeak</t>
  </si>
  <si>
    <t>Salilota australis</t>
  </si>
  <si>
    <t>Tadpole codling</t>
  </si>
  <si>
    <t>Gadus macrocephalus</t>
  </si>
  <si>
    <t>Pacific cod</t>
  </si>
  <si>
    <t>Gadus ogac</t>
  </si>
  <si>
    <t>Greenland cod</t>
  </si>
  <si>
    <t>Urophycis brasiliensis</t>
  </si>
  <si>
    <t>Brazilian codling</t>
  </si>
  <si>
    <t>Urophycis chuss</t>
  </si>
  <si>
    <t>Red hake</t>
  </si>
  <si>
    <t>Urophycis tenuis</t>
  </si>
  <si>
    <t>White hake</t>
  </si>
  <si>
    <t>Eleginus navaga</t>
  </si>
  <si>
    <t>Navaga</t>
  </si>
  <si>
    <t>Eleginus gracilis</t>
  </si>
  <si>
    <t>Saffron cod</t>
  </si>
  <si>
    <t>Microgadus tomcod</t>
  </si>
  <si>
    <t>Atlantic tomcod</t>
  </si>
  <si>
    <t>Theragra chalcogramma</t>
  </si>
  <si>
    <t>Alaska pollack</t>
  </si>
  <si>
    <t>Boreogadus saida</t>
  </si>
  <si>
    <t>Polar cod</t>
  </si>
  <si>
    <t>Micromesistius australis</t>
  </si>
  <si>
    <t>Southern blue whiting</t>
  </si>
  <si>
    <t>Merluccius senegalensis</t>
  </si>
  <si>
    <t>Senegalese hake</t>
  </si>
  <si>
    <t>Merluccius australis</t>
  </si>
  <si>
    <t>Southern hake</t>
  </si>
  <si>
    <t>Merluccius bilinearis</t>
  </si>
  <si>
    <t>Silver hake</t>
  </si>
  <si>
    <t>Merluccius gayi gayi</t>
  </si>
  <si>
    <t>South Pacific hake</t>
  </si>
  <si>
    <t>Merluccius hubbsi</t>
  </si>
  <si>
    <t>Argentine hake</t>
  </si>
  <si>
    <t>Merluccius productus</t>
  </si>
  <si>
    <t>North Pacific hake</t>
  </si>
  <si>
    <t>Merluccius polli</t>
  </si>
  <si>
    <t>Benguela hake</t>
  </si>
  <si>
    <t>Macruronus magellanicus</t>
  </si>
  <si>
    <t>Patagonian grenadier</t>
  </si>
  <si>
    <t>Macrourus berglax</t>
  </si>
  <si>
    <t>Onion-eye grenadier</t>
  </si>
  <si>
    <t>Coryphaenoides rupestris</t>
  </si>
  <si>
    <t>Roundnose grenadier</t>
  </si>
  <si>
    <t>Macroramphosus scolopax</t>
  </si>
  <si>
    <t>Longspine spinefish</t>
  </si>
  <si>
    <t>Hoplostethus atlanticus</t>
  </si>
  <si>
    <t>Orange roughy</t>
  </si>
  <si>
    <t>Zenopsis conchifer</t>
  </si>
  <si>
    <t>Silvery John dory</t>
  </si>
  <si>
    <t>Joturus pichardi</t>
  </si>
  <si>
    <t>Bobo mullet</t>
  </si>
  <si>
    <t>Menidia menidia</t>
  </si>
  <si>
    <t>Atlantic silverside</t>
  </si>
  <si>
    <t>Eleutheronema tetradactylum</t>
  </si>
  <si>
    <t>Fourfinger threadfin</t>
  </si>
  <si>
    <t>Galeoides decadactylus</t>
  </si>
  <si>
    <t>Lesser African threadfin</t>
  </si>
  <si>
    <t>Pentanemus quinquarius</t>
  </si>
  <si>
    <t>Royal threadfin</t>
  </si>
  <si>
    <t>Centropomus undecimalis</t>
  </si>
  <si>
    <t>Common snook</t>
  </si>
  <si>
    <t>Lates calcarifer</t>
  </si>
  <si>
    <t>Barramundi</t>
  </si>
  <si>
    <t>Epinephelus analogus</t>
  </si>
  <si>
    <t>Spotted grouper</t>
  </si>
  <si>
    <t>Polyprion americanus</t>
  </si>
  <si>
    <t>Wreckfish</t>
  </si>
  <si>
    <t>Polyprion oxygeneios</t>
  </si>
  <si>
    <t>Hapuka</t>
  </si>
  <si>
    <t>Acanthistius brasilianus</t>
  </si>
  <si>
    <t>Paralabrax humeralis</t>
  </si>
  <si>
    <t>Peruvian rock seabass</t>
  </si>
  <si>
    <t>Morone saxatilis</t>
  </si>
  <si>
    <t>Striped sea-bass</t>
  </si>
  <si>
    <t>Priacanthus macracanthus</t>
  </si>
  <si>
    <t>Red bigeye</t>
  </si>
  <si>
    <t>Synagrops japonicus</t>
  </si>
  <si>
    <t>Japanese splitfin</t>
  </si>
  <si>
    <t>Centropristis striata</t>
  </si>
  <si>
    <t>Black seabass</t>
  </si>
  <si>
    <t>Lopholatilus chamaeleonticeps</t>
  </si>
  <si>
    <t>Great northern tilefish</t>
  </si>
  <si>
    <t>Lactarius lactarius</t>
  </si>
  <si>
    <t>False trevally</t>
  </si>
  <si>
    <t>Pomatomus saltator</t>
  </si>
  <si>
    <t>Bluefish</t>
  </si>
  <si>
    <t>Trachurus japonicus</t>
  </si>
  <si>
    <t>Japanese jack mackerel</t>
  </si>
  <si>
    <t>Trachurus murphyi</t>
  </si>
  <si>
    <t>Inca scad</t>
  </si>
  <si>
    <t>Trachurus symmetricus</t>
  </si>
  <si>
    <t>Pacific jack mackerel</t>
  </si>
  <si>
    <t>Trachurus lathami</t>
  </si>
  <si>
    <t>Rough scad</t>
  </si>
  <si>
    <t>Trachurus trecae</t>
  </si>
  <si>
    <t>Cunene horse mackerel</t>
  </si>
  <si>
    <t>Trachurus declivis</t>
  </si>
  <si>
    <t>Greenback horse mackerel</t>
  </si>
  <si>
    <t>Decapterus russelli</t>
  </si>
  <si>
    <t>Indian scad</t>
  </si>
  <si>
    <t>Selene setapinnis</t>
  </si>
  <si>
    <t>Atlantic moonfish</t>
  </si>
  <si>
    <t>Selene dorsalis</t>
  </si>
  <si>
    <t>African moonfish</t>
  </si>
  <si>
    <t>Trachinotus carolinus</t>
  </si>
  <si>
    <t>Florida pompano</t>
  </si>
  <si>
    <t>Seriola quinqueradiata</t>
  </si>
  <si>
    <t>Japanese amberjack</t>
  </si>
  <si>
    <t>Seriola lalandi</t>
  </si>
  <si>
    <t>Yellowtail amberjack</t>
  </si>
  <si>
    <t>Megalaspis cordyla</t>
  </si>
  <si>
    <t>Torpedo scad</t>
  </si>
  <si>
    <t>Chloroscombrus chrysurus</t>
  </si>
  <si>
    <t>Atlantic bumper</t>
  </si>
  <si>
    <t>Parona signata</t>
  </si>
  <si>
    <t>Parona leatherjacket</t>
  </si>
  <si>
    <t>Selar crumenophthalmus</t>
  </si>
  <si>
    <t>Bigeye scad</t>
  </si>
  <si>
    <t>Selaroides leptolepis</t>
  </si>
  <si>
    <t>Yellowstripe scad</t>
  </si>
  <si>
    <t>Mene maculata</t>
  </si>
  <si>
    <t>Moonfish</t>
  </si>
  <si>
    <t>Brama brama</t>
  </si>
  <si>
    <t>Atlantic pomfret</t>
  </si>
  <si>
    <t>Arripis georgianus</t>
  </si>
  <si>
    <t>Australian ruff</t>
  </si>
  <si>
    <t>Dicentrarchus punctatus</t>
  </si>
  <si>
    <t>Spotted seabass</t>
  </si>
  <si>
    <t>Emmelichthys nitidus nitidus</t>
  </si>
  <si>
    <t>Redbait</t>
  </si>
  <si>
    <t>Nemipterus virgatus</t>
  </si>
  <si>
    <t>Golden threadfin bream</t>
  </si>
  <si>
    <t>Isacia conceptionis</t>
  </si>
  <si>
    <t>Cabinza grunt</t>
  </si>
  <si>
    <t>Plectorhinchus mediterraneus</t>
  </si>
  <si>
    <t>Rubberlip grunt</t>
  </si>
  <si>
    <t>Pomadasys argenteus</t>
  </si>
  <si>
    <t>Silver grunt</t>
  </si>
  <si>
    <t>Brachydeuterus auritus</t>
  </si>
  <si>
    <t>Bigeye grunt</t>
  </si>
  <si>
    <t>Conodon nobilis</t>
  </si>
  <si>
    <t>Barred grunt</t>
  </si>
  <si>
    <t>Cynoscion analis</t>
  </si>
  <si>
    <t>Peruvian weakfish</t>
  </si>
  <si>
    <t>Cynoscion nebulosus</t>
  </si>
  <si>
    <t>Spotted weakfish</t>
  </si>
  <si>
    <t>Cynoscion regalis</t>
  </si>
  <si>
    <t>Gray weakfish</t>
  </si>
  <si>
    <t>Cynoscion striatus</t>
  </si>
  <si>
    <t>Micropogonias undulatus</t>
  </si>
  <si>
    <t>Atlantic croaker</t>
  </si>
  <si>
    <t>Menticirrhus americanus</t>
  </si>
  <si>
    <t>Southern kingcroaker</t>
  </si>
  <si>
    <t>Menticirrhus saxatilis</t>
  </si>
  <si>
    <t>Northern kingcroaker</t>
  </si>
  <si>
    <t>Menticirrhus littoralis</t>
  </si>
  <si>
    <t>Gulf kingcroaker</t>
  </si>
  <si>
    <t>Elagatis bipinnulata</t>
  </si>
  <si>
    <t>Rainbow runner</t>
  </si>
  <si>
    <t>Umbrina canosai</t>
  </si>
  <si>
    <t>Argentine croaker</t>
  </si>
  <si>
    <t>Larimichthys polyactis</t>
  </si>
  <si>
    <t>Yellow croaker</t>
  </si>
  <si>
    <t>Macrodon ancylodon</t>
  </si>
  <si>
    <t>King weakfish</t>
  </si>
  <si>
    <t>Argyrosomus regius</t>
  </si>
  <si>
    <t>Meagre</t>
  </si>
  <si>
    <t>Argyrosomus hololepidotus</t>
  </si>
  <si>
    <t>Southern meagre</t>
  </si>
  <si>
    <t>Atractoscion aequidens</t>
  </si>
  <si>
    <t>Geelbeck croaker</t>
  </si>
  <si>
    <t>Genyonemus lineatus</t>
  </si>
  <si>
    <t>White croaker</t>
  </si>
  <si>
    <t>Pteroscion peli</t>
  </si>
  <si>
    <t>Boe drum</t>
  </si>
  <si>
    <t>Paralonchurus peruanus</t>
  </si>
  <si>
    <t>Peruvian banded croaker</t>
  </si>
  <si>
    <t>Pogonias cromis</t>
  </si>
  <si>
    <t>Black drum</t>
  </si>
  <si>
    <t>Epinephelus aeneus</t>
  </si>
  <si>
    <t>White grouper</t>
  </si>
  <si>
    <t>Nibea mitsukurii</t>
  </si>
  <si>
    <t>Nibe croaker</t>
  </si>
  <si>
    <t>Pseudosciaena crocea</t>
  </si>
  <si>
    <t>Croceine croaker</t>
  </si>
  <si>
    <t>Leiostomus xanthurus</t>
  </si>
  <si>
    <t>Spot croaker</t>
  </si>
  <si>
    <t>Pseudotolithus senegalensis</t>
  </si>
  <si>
    <t>Cassava croaker</t>
  </si>
  <si>
    <t>Pseudotolithus elongatus</t>
  </si>
  <si>
    <t>Bobo croaker</t>
  </si>
  <si>
    <t>Pennahia argentata</t>
  </si>
  <si>
    <t>Pagellus bellottii bellottii</t>
  </si>
  <si>
    <t>Red pandora</t>
  </si>
  <si>
    <t>Dentex macrophthalmus</t>
  </si>
  <si>
    <t>Large-eye dentex</t>
  </si>
  <si>
    <t>Dentex dentex</t>
  </si>
  <si>
    <t>Common dentex</t>
  </si>
  <si>
    <t>Dentex angolensis</t>
  </si>
  <si>
    <t>Angola dentex</t>
  </si>
  <si>
    <t>Archosargus probatocephalus</t>
  </si>
  <si>
    <t>Sheepshead seabream</t>
  </si>
  <si>
    <t>Acanthopagrus schlegeli</t>
  </si>
  <si>
    <t>Black porgy</t>
  </si>
  <si>
    <t>Dissostichus mawsoni</t>
  </si>
  <si>
    <t>Antarctic toothfish</t>
  </si>
  <si>
    <t>Gobionotothen gibberifrons</t>
  </si>
  <si>
    <t>Humped rockcod</t>
  </si>
  <si>
    <t>Lepidonotothen squamifrons</t>
  </si>
  <si>
    <t>Grey rockcod</t>
  </si>
  <si>
    <t>Lepidonotothen nudifrons</t>
  </si>
  <si>
    <t>Gaudy notothen</t>
  </si>
  <si>
    <t>Patagonotothen brevicauda</t>
  </si>
  <si>
    <t>Patagonian rockcod</t>
  </si>
  <si>
    <t>Balistes carolinensis</t>
  </si>
  <si>
    <t>Grey triggerfish</t>
  </si>
  <si>
    <t>Dipturus oxyrinchus</t>
  </si>
  <si>
    <t>Longnosed skate</t>
  </si>
  <si>
    <t>Raja fullonica</t>
  </si>
  <si>
    <t>Shagreen ray</t>
  </si>
  <si>
    <t>Micropogonias furnieri</t>
  </si>
  <si>
    <t>Whitemouth croaker</t>
  </si>
  <si>
    <t>Bregmaceros mcclellandi</t>
  </si>
  <si>
    <t>Spotted codlet</t>
  </si>
  <si>
    <t>Rexea solandri</t>
  </si>
  <si>
    <t>Silver gemfish</t>
  </si>
  <si>
    <t>Pseudopleuronectes herzensteini</t>
  </si>
  <si>
    <t>Littlemouth flounder</t>
  </si>
  <si>
    <t>Nemadactylus macropterus</t>
  </si>
  <si>
    <t>Tarakihi</t>
  </si>
  <si>
    <t>Lophius vomerinus</t>
  </si>
  <si>
    <t>Cape monk</t>
  </si>
  <si>
    <t>Takifugu porphyreus</t>
  </si>
  <si>
    <t>Purple puffer</t>
  </si>
  <si>
    <t>Cheilopogon agoo</t>
  </si>
  <si>
    <t>Japanese flyingfish</t>
  </si>
  <si>
    <t>Patagonotothen ramsayi</t>
  </si>
  <si>
    <t>Seriolella brama</t>
  </si>
  <si>
    <t>Common warehou</t>
  </si>
  <si>
    <t>Seriolella caerulea</t>
  </si>
  <si>
    <t>White warehou</t>
  </si>
  <si>
    <t>Kathetostoma giganteum</t>
  </si>
  <si>
    <t>Giant stargazer</t>
  </si>
  <si>
    <t>Seriolella punctata</t>
  </si>
  <si>
    <t>Silver warehou</t>
  </si>
  <si>
    <t>Seriolella violacea</t>
  </si>
  <si>
    <t>Hydrolagus novaezealandiae</t>
  </si>
  <si>
    <t>Dark ghost shark</t>
  </si>
  <si>
    <t>Lepidopsetta bilineata</t>
  </si>
  <si>
    <t>Rock sole</t>
  </si>
  <si>
    <t>Acetes japonicus</t>
  </si>
  <si>
    <t>Akiami paste shrimp</t>
  </si>
  <si>
    <t>Crassostrea virginica</t>
  </si>
  <si>
    <t>American cupped oyster</t>
  </si>
  <si>
    <t>Homarus americanus</t>
  </si>
  <si>
    <t>American lobster</t>
  </si>
  <si>
    <t>Placopecten magellanicus</t>
  </si>
  <si>
    <t>American sea scallop</t>
  </si>
  <si>
    <t>Metanephrops andamanicus</t>
  </si>
  <si>
    <t>Andaman lobster</t>
  </si>
  <si>
    <t>Euphausia superba</t>
  </si>
  <si>
    <t>Antarctic krill</t>
  </si>
  <si>
    <t>Paralomis spinosissima</t>
  </si>
  <si>
    <t>Antarctic stone crab</t>
  </si>
  <si>
    <t>Pleoticus muelleri</t>
  </si>
  <si>
    <t>Argentine red shrimp</t>
  </si>
  <si>
    <t>Illex argentinus</t>
  </si>
  <si>
    <t>Argentine shortfin squid</t>
  </si>
  <si>
    <t>Artemesia longinaris</t>
  </si>
  <si>
    <t>Argentine stiletto shrimp</t>
  </si>
  <si>
    <t>Ensis directus</t>
  </si>
  <si>
    <t>Atl.jackknife(=Atl.razor clam)</t>
  </si>
  <si>
    <t>Argopecten irradians</t>
  </si>
  <si>
    <t>Atlantic bay scallop</t>
  </si>
  <si>
    <t>Cancer irroratus</t>
  </si>
  <si>
    <t>Atlantic rock crab</t>
  </si>
  <si>
    <t>Xiphopenaeus kroyeri</t>
  </si>
  <si>
    <t>Atlantic seabob</t>
  </si>
  <si>
    <t>Spisula solidissima</t>
  </si>
  <si>
    <t>Atlantic surf clam</t>
  </si>
  <si>
    <t>Mytilus planulatus</t>
  </si>
  <si>
    <t>Australian mussel</t>
  </si>
  <si>
    <t>Panulirus cygnus</t>
  </si>
  <si>
    <t>Australian spiny lobster</t>
  </si>
  <si>
    <t>Penaeus merguiensis</t>
  </si>
  <si>
    <t>Banana prawn</t>
  </si>
  <si>
    <t>Mitella pollicipes</t>
  </si>
  <si>
    <t>Barnacle</t>
  </si>
  <si>
    <t>Menippe mercenaria</t>
  </si>
  <si>
    <t>Black stone crab</t>
  </si>
  <si>
    <t>Haliotis rubra</t>
  </si>
  <si>
    <t>Blacklip abalone</t>
  </si>
  <si>
    <t>Anadara granosa</t>
  </si>
  <si>
    <t>Blood cockle</t>
  </si>
  <si>
    <t>Aristeus antennatus</t>
  </si>
  <si>
    <t>Blue and red shrimp</t>
  </si>
  <si>
    <t>Callinectes sapidus</t>
  </si>
  <si>
    <t>Blue crab</t>
  </si>
  <si>
    <t>Mytilus edulis</t>
  </si>
  <si>
    <t>Blue mussel</t>
  </si>
  <si>
    <t>Penaeus stylirostris</t>
  </si>
  <si>
    <t>Blue shrimp</t>
  </si>
  <si>
    <t>Portunus pelagiucs</t>
  </si>
  <si>
    <t>Blue swimming crab</t>
  </si>
  <si>
    <t>Artemia salina</t>
  </si>
  <si>
    <t>Brine shrimp</t>
  </si>
  <si>
    <t>Perna viridis</t>
  </si>
  <si>
    <t>Brown mussel</t>
  </si>
  <si>
    <t>Saxidomus giganteus</t>
  </si>
  <si>
    <t>Butter clam</t>
  </si>
  <si>
    <t>Argopecten gibbus</t>
  </si>
  <si>
    <t>Calico scallop</t>
  </si>
  <si>
    <t>Loligo reynaudi</t>
  </si>
  <si>
    <t>Cape Hope squid</t>
  </si>
  <si>
    <t>Jasus lalandii</t>
  </si>
  <si>
    <t>Cape rock lobster</t>
  </si>
  <si>
    <t>Penaeus kerathurus</t>
  </si>
  <si>
    <t>Caramote prawn</t>
  </si>
  <si>
    <t>Palinurus argus</t>
  </si>
  <si>
    <t>Caribbean spiny lobster</t>
  </si>
  <si>
    <t>Ostrea chilensis</t>
  </si>
  <si>
    <t>Chilean flat oyster</t>
  </si>
  <si>
    <t>Mytilus chilensis</t>
  </si>
  <si>
    <t>Chilean mussel</t>
  </si>
  <si>
    <t>Heterocarpus reedi</t>
  </si>
  <si>
    <t>Chilean nylon shrimp</t>
  </si>
  <si>
    <t>Loxechinus albus</t>
  </si>
  <si>
    <t>Chilean sea urchin</t>
  </si>
  <si>
    <t>Aulacomya ater</t>
  </si>
  <si>
    <t>Cholga mussel</t>
  </si>
  <si>
    <t>Sepia officinalis</t>
  </si>
  <si>
    <t>Common cuttlefish</t>
  </si>
  <si>
    <t>Cardium edule</t>
  </si>
  <si>
    <t>Common edible cockle</t>
  </si>
  <si>
    <t>Octopus vulgaris</t>
  </si>
  <si>
    <t>Common octopus</t>
  </si>
  <si>
    <t>Littorina littorea</t>
  </si>
  <si>
    <t>Common periwinkle</t>
  </si>
  <si>
    <t>Palaemon serratus</t>
  </si>
  <si>
    <t>Common prawn</t>
  </si>
  <si>
    <t>Crangon crangon</t>
  </si>
  <si>
    <t>Common shrimp</t>
  </si>
  <si>
    <t>Palinurus elephas</t>
  </si>
  <si>
    <t>Common spiny lobster</t>
  </si>
  <si>
    <t>Penaeus brevirostris</t>
  </si>
  <si>
    <t>Crystal shrimp</t>
  </si>
  <si>
    <t>Sepiidae, Sepiolidae</t>
  </si>
  <si>
    <t>Cuttlefish,bobtail squids nei</t>
  </si>
  <si>
    <t>Callinectes danae</t>
  </si>
  <si>
    <t>Dana swimcrab</t>
  </si>
  <si>
    <t>Parapenaeus longirostris</t>
  </si>
  <si>
    <t>Deepwater rose shrimp</t>
  </si>
  <si>
    <t>Cancer magister</t>
  </si>
  <si>
    <t>Dungeness crab</t>
  </si>
  <si>
    <t>Cancer pagurus</t>
  </si>
  <si>
    <t>Edible crab</t>
  </si>
  <si>
    <t>Metapenaeus endeavouri</t>
  </si>
  <si>
    <t>Endeavour shrimp</t>
  </si>
  <si>
    <t>Echinus esculentus</t>
  </si>
  <si>
    <t>European edible sea urchin</t>
  </si>
  <si>
    <t>Ostrea edulis</t>
  </si>
  <si>
    <t>European flat oyster</t>
  </si>
  <si>
    <t>Todarodes sagittatus sagittatus</t>
  </si>
  <si>
    <t>European flying squid</t>
  </si>
  <si>
    <t>Homarus gammarus</t>
  </si>
  <si>
    <t>European lobster</t>
  </si>
  <si>
    <t>Concholepas concholepas</t>
  </si>
  <si>
    <t>False abalone</t>
  </si>
  <si>
    <t>Penaeus chinensis</t>
  </si>
  <si>
    <t>Fleshy prawn</t>
  </si>
  <si>
    <t>Portunus trituberculatus</t>
  </si>
  <si>
    <t>Gazami crab</t>
  </si>
  <si>
    <t>Haliotis gigantea</t>
  </si>
  <si>
    <t>Giant abalone</t>
  </si>
  <si>
    <t>Penaeus monodon</t>
  </si>
  <si>
    <t>Giant tiger prawn</t>
  </si>
  <si>
    <t>Pecten maximus</t>
  </si>
  <si>
    <t>Great Atlantic scallop</t>
  </si>
  <si>
    <t>Pecten jacobaeus</t>
  </si>
  <si>
    <t>Great Mediterranean scallop</t>
  </si>
  <si>
    <t>Carcinus maenas</t>
  </si>
  <si>
    <t>Green crab</t>
  </si>
  <si>
    <t>Jasus verreauxi</t>
  </si>
  <si>
    <t>Green rock lobster</t>
  </si>
  <si>
    <t>Penaeus semisulcatus</t>
  </si>
  <si>
    <t>Green tiger prawn</t>
  </si>
  <si>
    <t>Ruditapes decussatus</t>
  </si>
  <si>
    <t>Grooved carpet shell</t>
  </si>
  <si>
    <t>Microcosmus sulcatus</t>
  </si>
  <si>
    <t>Grooved sea squirt</t>
  </si>
  <si>
    <t>Parapenaeopsis atlantica</t>
  </si>
  <si>
    <t>Guinea shrimp</t>
  </si>
  <si>
    <t>Scapharca subcrenata</t>
  </si>
  <si>
    <t>Half-crenated ark</t>
  </si>
  <si>
    <t>Mactra sachalinensis</t>
  </si>
  <si>
    <t>Hen clam</t>
  </si>
  <si>
    <t>Turbo cornutus</t>
  </si>
  <si>
    <t>Horned turban</t>
  </si>
  <si>
    <t>Limulus polyphemus</t>
  </si>
  <si>
    <t>Horseshoe crab</t>
  </si>
  <si>
    <t>Chlamys islandica</t>
  </si>
  <si>
    <t>Iceland scallop</t>
  </si>
  <si>
    <t>Penaeus indicus</t>
  </si>
  <si>
    <t>Indian white prawn</t>
  </si>
  <si>
    <t>Scylla serrata</t>
  </si>
  <si>
    <t>Indo-Pacific swamp crab</t>
  </si>
  <si>
    <t>Haliporoides sibogae</t>
  </si>
  <si>
    <t>Jack-knife shrimp</t>
  </si>
  <si>
    <t>Ruditapes philippinarum</t>
  </si>
  <si>
    <t>Japanese carpet shell</t>
  </si>
  <si>
    <t>Todarodes pacificus</t>
  </si>
  <si>
    <t>Japanese flying squid</t>
  </si>
  <si>
    <t>Meretrix lusoria</t>
  </si>
  <si>
    <t>Japanese hard clam</t>
  </si>
  <si>
    <t>Stichopus japonicus</t>
  </si>
  <si>
    <t>Japanese sea cucumber</t>
  </si>
  <si>
    <t>Cancer borealis</t>
  </si>
  <si>
    <t>Jonah crab</t>
  </si>
  <si>
    <t>Jasus frontalis</t>
  </si>
  <si>
    <t>Juan Fernandez rock lobster</t>
  </si>
  <si>
    <t>Dosidicus gigas</t>
  </si>
  <si>
    <t>Jumbo flying squid</t>
  </si>
  <si>
    <t>Haliporoides triarthrus</t>
  </si>
  <si>
    <t>Knife shrimp</t>
  </si>
  <si>
    <t>Mytilus coruscus</t>
  </si>
  <si>
    <t>Korean mussel</t>
  </si>
  <si>
    <t>Penaeus japonicus</t>
  </si>
  <si>
    <t>Kuruma prawn</t>
  </si>
  <si>
    <t>Loligo pealei</t>
  </si>
  <si>
    <t>Longfin squid</t>
  </si>
  <si>
    <t>Panulirus longipes</t>
  </si>
  <si>
    <t>Longlegged spiny lobster</t>
  </si>
  <si>
    <t>Mesodesma donacium</t>
  </si>
  <si>
    <t>Macha clam</t>
  </si>
  <si>
    <t>Crassostrea rhizophorae</t>
  </si>
  <si>
    <t>Mangrove cupped oyster</t>
  </si>
  <si>
    <t>Mytilus galloprovincialis</t>
  </si>
  <si>
    <t>Mediterranean mussel</t>
  </si>
  <si>
    <t>Carcinus aestuarii</t>
  </si>
  <si>
    <t>Mediterranean shore crab</t>
  </si>
  <si>
    <t>Metanephrops mozambicus</t>
  </si>
  <si>
    <t>Mozambique lobster</t>
  </si>
  <si>
    <t>Palinurus delagoae</t>
  </si>
  <si>
    <t>Natal spiny lobster</t>
  </si>
  <si>
    <t>Ostrea lutaria</t>
  </si>
  <si>
    <t>New Zealand dredge oyster</t>
  </si>
  <si>
    <t>Metanephrops challengeri</t>
  </si>
  <si>
    <t>New Zealand lobster</t>
  </si>
  <si>
    <t>Perna canaliculus</t>
  </si>
  <si>
    <t>New Zealand mussel</t>
  </si>
  <si>
    <t>Pecten novaezelandiae</t>
  </si>
  <si>
    <t>New Zealand scallop</t>
  </si>
  <si>
    <t>Penaeus aztecus</t>
  </si>
  <si>
    <t>Northern brown shrimp</t>
  </si>
  <si>
    <t>Penaeus duorarum</t>
  </si>
  <si>
    <t>Northern pink shrimp</t>
  </si>
  <si>
    <t>Pandalus borealis</t>
  </si>
  <si>
    <t>Northern prawn</t>
  </si>
  <si>
    <t>Mercenaria mercenaria</t>
  </si>
  <si>
    <t>Northern quahog(=Hard clam)</t>
  </si>
  <si>
    <t>Illex illecebrosus</t>
  </si>
  <si>
    <t>Northern shortfin squid</t>
  </si>
  <si>
    <t>Penaeus setiferus</t>
  </si>
  <si>
    <t>Northern white shrimp</t>
  </si>
  <si>
    <t>Nephrops norvegicus</t>
  </si>
  <si>
    <t>Norway lobster</t>
  </si>
  <si>
    <t>Meganyctiphanes norvegica</t>
  </si>
  <si>
    <t>Norwegian krill</t>
  </si>
  <si>
    <t>Arctica islandica</t>
  </si>
  <si>
    <t>Ocean quahog</t>
  </si>
  <si>
    <t>Argopecten circularis</t>
  </si>
  <si>
    <t>Pacific calico scallop</t>
  </si>
  <si>
    <t>Crassostrea gigas</t>
  </si>
  <si>
    <t>Pacific cupped oyster</t>
  </si>
  <si>
    <t>Panopea abrupta</t>
  </si>
  <si>
    <t>Pacific geoduck</t>
  </si>
  <si>
    <t>Siliqua patula</t>
  </si>
  <si>
    <t>Pacific razor clam</t>
  </si>
  <si>
    <t>Cancer productus</t>
  </si>
  <si>
    <t>Pacific rock crab</t>
  </si>
  <si>
    <t>Loligo gahi</t>
  </si>
  <si>
    <t>Patagonian squid</t>
  </si>
  <si>
    <t>Haliotis midae</t>
  </si>
  <si>
    <t>Perlemoen abalone</t>
  </si>
  <si>
    <t>Argopecten purpuratus</t>
  </si>
  <si>
    <t>Peruvian calico scallop</t>
  </si>
  <si>
    <t>Palinurus mauritanicus</t>
  </si>
  <si>
    <t>Pink spiny lobster</t>
  </si>
  <si>
    <t>Tapes pullastra</t>
  </si>
  <si>
    <t>Pullet carpet shell</t>
  </si>
  <si>
    <t>Chionoecetes opilio</t>
  </si>
  <si>
    <t>Queen crab</t>
  </si>
  <si>
    <t>Chlamys opercularis</t>
  </si>
  <si>
    <t>Queen scallop</t>
  </si>
  <si>
    <t>Pyura stolonifera</t>
  </si>
  <si>
    <t>Red bait</t>
  </si>
  <si>
    <t>Geryon quinquedens</t>
  </si>
  <si>
    <t>Red crab</t>
  </si>
  <si>
    <t>Jasus edwardsii</t>
  </si>
  <si>
    <t>Red rock lobster</t>
  </si>
  <si>
    <t>Pyura chilensis</t>
  </si>
  <si>
    <t>Red sea squirt</t>
  </si>
  <si>
    <t>Asterias rubens</t>
  </si>
  <si>
    <t>Red starfish</t>
  </si>
  <si>
    <t>Penaeus brasiliensis</t>
  </si>
  <si>
    <t>Redspotted shrimp</t>
  </si>
  <si>
    <t>Penaeus penicillatus</t>
  </si>
  <si>
    <t>Redtail prawn</t>
  </si>
  <si>
    <t>Mytilus platensis</t>
  </si>
  <si>
    <t>River Plata mussel</t>
  </si>
  <si>
    <t>Sicyonia brevirostris</t>
  </si>
  <si>
    <t>Rock shrimp</t>
  </si>
  <si>
    <t>Pleoticus robustus</t>
  </si>
  <si>
    <t>Royal red shrimp</t>
  </si>
  <si>
    <t>Mya arenaria</t>
  </si>
  <si>
    <t>Sand gaper</t>
  </si>
  <si>
    <t>Fraction from live weight %</t>
  </si>
  <si>
    <t>Fraction of edible portion %</t>
  </si>
  <si>
    <t>Yield  from live weight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</si>
</sst>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zoomScale="120" zoomScaleNormal="120" workbookViewId="0">
      <selection activeCell="D14" sqref="D14"/>
    </sheetView>
  </sheetViews>
  <sheetFormatPr defaultColWidth="8.81640625" defaultRowHeight="13" x14ac:dyDescent="0.6"/>
  <cols>
    <col min="1" max="1" width="10.81640625" customWidth="1"/>
    <col min="2" max="2" width="9.5" hidden="1" customWidth="1"/>
    <col min="3" max="3" width="0" hidden="1" customWidth="1"/>
    <col min="4" max="4" width="24.31640625" customWidth="1"/>
    <col min="5" max="5" width="21.1796875" customWidth="1"/>
    <col min="6" max="6" width="15.5" style="5" customWidth="1"/>
    <col min="7" max="7" width="22.1796875" style="2" customWidth="1"/>
    <col min="8" max="8" width="20" style="2" customWidth="1"/>
    <col min="9" max="9" width="22.81640625" style="1" customWidth="1"/>
  </cols>
  <sheetData>
    <row r="1" spans="1:12" x14ac:dyDescent="0.6">
      <c r="A1" t="s">
        <v>567</v>
      </c>
      <c r="B1" t="s">
        <v>568</v>
      </c>
      <c r="C1" t="s">
        <v>569</v>
      </c>
      <c r="D1" t="s">
        <v>570</v>
      </c>
      <c r="E1" t="s">
        <v>571</v>
      </c>
      <c r="F1" s="5" t="s">
        <v>572</v>
      </c>
      <c r="G1" s="2" t="s">
        <v>1417</v>
      </c>
      <c r="H1" s="2" t="s">
        <v>1419</v>
      </c>
      <c r="I1" s="1" t="s">
        <v>1418</v>
      </c>
      <c r="J1" t="s">
        <v>448</v>
      </c>
      <c r="K1" t="s">
        <v>448</v>
      </c>
      <c r="L1" t="s">
        <v>448</v>
      </c>
    </row>
    <row r="2" spans="1:12" x14ac:dyDescent="0.6">
      <c r="A2">
        <v>600004</v>
      </c>
      <c r="B2">
        <v>6</v>
      </c>
      <c r="C2">
        <v>4</v>
      </c>
      <c r="D2" t="s">
        <v>574</v>
      </c>
      <c r="E2" t="s">
        <v>575</v>
      </c>
      <c r="F2" s="5">
        <v>214508363</v>
      </c>
      <c r="G2" s="2">
        <v>62</v>
      </c>
      <c r="H2" s="2">
        <v>51</v>
      </c>
      <c r="I2" s="1">
        <f>(18+20.2)/2</f>
        <v>19.100000000000001</v>
      </c>
      <c r="J2">
        <v>4</v>
      </c>
      <c r="K2">
        <v>4</v>
      </c>
      <c r="L2">
        <v>21</v>
      </c>
    </row>
    <row r="3" spans="1:12" x14ac:dyDescent="0.6">
      <c r="A3">
        <v>600318</v>
      </c>
      <c r="B3">
        <v>6</v>
      </c>
      <c r="C3">
        <v>318</v>
      </c>
      <c r="D3" t="s">
        <v>918</v>
      </c>
      <c r="E3" t="s">
        <v>919</v>
      </c>
      <c r="F3" s="5">
        <v>168174158</v>
      </c>
      <c r="G3" s="2">
        <f>(41+35)/2</f>
        <v>38</v>
      </c>
      <c r="H3" s="2">
        <f>(34+36+27)/3</f>
        <v>32.333333333333336</v>
      </c>
      <c r="I3" s="1">
        <f>(15.95+17.2+16)/3</f>
        <v>16.383333333333333</v>
      </c>
      <c r="J3">
        <v>32</v>
      </c>
      <c r="K3">
        <v>36</v>
      </c>
      <c r="L3">
        <v>31</v>
      </c>
    </row>
    <row r="4" spans="1:12" x14ac:dyDescent="0.6">
      <c r="A4">
        <v>600069</v>
      </c>
      <c r="B4">
        <v>6</v>
      </c>
      <c r="C4">
        <v>69</v>
      </c>
      <c r="D4" t="s">
        <v>615</v>
      </c>
      <c r="E4" t="s">
        <v>616</v>
      </c>
      <c r="F4" s="5">
        <v>113543545</v>
      </c>
      <c r="G4" s="2">
        <f>(53.05+47)/2</f>
        <v>50.024999999999999</v>
      </c>
      <c r="H4" s="2">
        <f>(34+34)/2</f>
        <v>34</v>
      </c>
      <c r="I4" s="1">
        <f>(18.15+16.75+18.3+18.1+17.81)/5</f>
        <v>17.822000000000003</v>
      </c>
      <c r="J4">
        <v>21</v>
      </c>
      <c r="K4">
        <v>41</v>
      </c>
      <c r="L4">
        <v>50</v>
      </c>
    </row>
    <row r="5" spans="1:12" x14ac:dyDescent="0.6">
      <c r="A5">
        <v>600024</v>
      </c>
      <c r="B5">
        <v>6</v>
      </c>
      <c r="C5">
        <v>24</v>
      </c>
      <c r="D5" t="s">
        <v>584</v>
      </c>
      <c r="E5" t="s">
        <v>585</v>
      </c>
      <c r="F5" s="5">
        <v>104661272</v>
      </c>
      <c r="G5" s="2">
        <v>61</v>
      </c>
      <c r="H5" s="2">
        <f>(46+45)/2</f>
        <v>45.5</v>
      </c>
      <c r="I5" s="1">
        <f>(18.8+17.96)/2</f>
        <v>18.380000000000003</v>
      </c>
      <c r="J5">
        <v>4</v>
      </c>
      <c r="K5">
        <v>41</v>
      </c>
      <c r="L5">
        <v>50</v>
      </c>
    </row>
    <row r="6" spans="1:12" x14ac:dyDescent="0.6">
      <c r="A6">
        <v>600117</v>
      </c>
      <c r="B6">
        <v>6</v>
      </c>
      <c r="C6">
        <v>117</v>
      </c>
      <c r="D6" t="s">
        <v>657</v>
      </c>
      <c r="E6" t="s">
        <v>658</v>
      </c>
      <c r="F6" s="5">
        <v>76078444</v>
      </c>
      <c r="G6" s="2">
        <f>(56.6+56.1+81.8+58.5+57)/5</f>
        <v>62</v>
      </c>
      <c r="H6" s="2">
        <v>46</v>
      </c>
      <c r="I6" s="1">
        <f>(22.1+21.9+19.8+19.25+22.1+20.4)/6</f>
        <v>20.925000000000001</v>
      </c>
      <c r="J6">
        <v>21</v>
      </c>
      <c r="K6">
        <v>4</v>
      </c>
      <c r="L6">
        <v>21</v>
      </c>
    </row>
    <row r="7" spans="1:12" x14ac:dyDescent="0.6">
      <c r="A7">
        <v>601474</v>
      </c>
      <c r="B7">
        <v>6</v>
      </c>
      <c r="C7">
        <v>1474</v>
      </c>
      <c r="D7" t="s">
        <v>271</v>
      </c>
      <c r="E7" t="s">
        <v>272</v>
      </c>
      <c r="F7" s="5">
        <v>74576073</v>
      </c>
      <c r="G7" s="2">
        <v>53</v>
      </c>
      <c r="H7" s="2">
        <v>50</v>
      </c>
      <c r="I7" s="1">
        <f>(19+20+18.9)/3</f>
        <v>19.3</v>
      </c>
      <c r="J7">
        <v>4</v>
      </c>
      <c r="K7">
        <v>4</v>
      </c>
      <c r="L7">
        <v>21</v>
      </c>
    </row>
    <row r="8" spans="1:12" x14ac:dyDescent="0.6">
      <c r="A8">
        <v>601477</v>
      </c>
      <c r="B8">
        <v>6</v>
      </c>
      <c r="C8">
        <v>1477</v>
      </c>
      <c r="D8" t="s">
        <v>275</v>
      </c>
      <c r="E8" t="s">
        <v>276</v>
      </c>
      <c r="F8" s="5">
        <v>73724258</v>
      </c>
      <c r="G8" s="2">
        <v>53</v>
      </c>
      <c r="H8" s="2">
        <v>50</v>
      </c>
      <c r="I8" s="1">
        <f>(20+18.9)/2</f>
        <v>19.45</v>
      </c>
      <c r="J8">
        <v>4</v>
      </c>
      <c r="K8">
        <v>4</v>
      </c>
      <c r="L8">
        <v>21</v>
      </c>
    </row>
    <row r="9" spans="1:12" x14ac:dyDescent="0.6">
      <c r="A9">
        <v>600367</v>
      </c>
      <c r="B9">
        <v>6</v>
      </c>
      <c r="C9">
        <v>367</v>
      </c>
      <c r="D9" t="s">
        <v>989</v>
      </c>
      <c r="E9" t="s">
        <v>990</v>
      </c>
      <c r="F9" s="5">
        <v>61606992</v>
      </c>
      <c r="G9" s="2">
        <v>52</v>
      </c>
      <c r="H9" s="2">
        <v>46</v>
      </c>
      <c r="I9" s="1">
        <f>(19.4+19.7)/2</f>
        <v>19.549999999999997</v>
      </c>
      <c r="J9">
        <v>4</v>
      </c>
      <c r="K9">
        <v>4</v>
      </c>
      <c r="L9">
        <v>21</v>
      </c>
    </row>
    <row r="10" spans="1:12" x14ac:dyDescent="0.6">
      <c r="A10">
        <v>600252</v>
      </c>
      <c r="B10">
        <v>6</v>
      </c>
      <c r="C10">
        <v>252</v>
      </c>
      <c r="D10" t="s">
        <v>867</v>
      </c>
      <c r="E10" t="s">
        <v>868</v>
      </c>
      <c r="F10" s="5">
        <v>59560886</v>
      </c>
      <c r="G10" s="2">
        <v>60</v>
      </c>
      <c r="H10" s="2">
        <v>57</v>
      </c>
      <c r="I10" s="1">
        <f>(13.6+14.9)/2</f>
        <v>14.25</v>
      </c>
      <c r="J10">
        <v>4</v>
      </c>
      <c r="K10">
        <v>4</v>
      </c>
      <c r="L10">
        <v>21</v>
      </c>
    </row>
    <row r="11" spans="1:12" x14ac:dyDescent="0.6">
      <c r="A11">
        <v>601663</v>
      </c>
      <c r="B11">
        <v>6</v>
      </c>
      <c r="C11">
        <v>1663</v>
      </c>
      <c r="D11" t="s">
        <v>335</v>
      </c>
      <c r="E11" t="s">
        <v>336</v>
      </c>
      <c r="F11" s="5">
        <v>45708471</v>
      </c>
      <c r="G11" s="2">
        <v>62</v>
      </c>
      <c r="H11" s="2">
        <v>51</v>
      </c>
      <c r="I11" s="1">
        <f>(17.15+20.2)/2</f>
        <v>18.674999999999997</v>
      </c>
      <c r="J11">
        <v>4</v>
      </c>
      <c r="K11">
        <v>4</v>
      </c>
      <c r="L11">
        <v>21</v>
      </c>
    </row>
    <row r="12" spans="1:12" x14ac:dyDescent="0.6">
      <c r="A12">
        <v>601350</v>
      </c>
      <c r="B12">
        <v>6</v>
      </c>
      <c r="C12">
        <v>1350</v>
      </c>
      <c r="D12" t="s">
        <v>223</v>
      </c>
      <c r="E12" t="s">
        <v>224</v>
      </c>
      <c r="F12" s="5">
        <v>39294183</v>
      </c>
      <c r="G12" s="2">
        <v>62</v>
      </c>
      <c r="H12" s="2">
        <v>50</v>
      </c>
      <c r="I12" s="1">
        <f>(20.2+20.6+20)/3</f>
        <v>20.266666666666666</v>
      </c>
      <c r="J12">
        <v>4</v>
      </c>
      <c r="K12">
        <v>4</v>
      </c>
      <c r="L12">
        <v>21</v>
      </c>
    </row>
    <row r="13" spans="1:12" x14ac:dyDescent="0.6">
      <c r="A13">
        <v>600107</v>
      </c>
      <c r="B13">
        <v>6</v>
      </c>
      <c r="C13">
        <v>107</v>
      </c>
      <c r="D13" t="s">
        <v>641</v>
      </c>
      <c r="E13" t="s">
        <v>642</v>
      </c>
      <c r="F13" s="5">
        <v>34889953</v>
      </c>
      <c r="G13" s="2">
        <f>(66.35+62)/2</f>
        <v>64.174999999999997</v>
      </c>
      <c r="H13" s="2">
        <v>46</v>
      </c>
      <c r="I13" s="1">
        <f>(26.8+20.6+25.9+22.8+25.5+26+22+24.2)/8</f>
        <v>24.225000000000001</v>
      </c>
      <c r="J13">
        <v>21</v>
      </c>
      <c r="K13">
        <v>4</v>
      </c>
      <c r="L13">
        <v>21</v>
      </c>
    </row>
    <row r="14" spans="1:12" x14ac:dyDescent="0.6">
      <c r="A14">
        <v>601288</v>
      </c>
      <c r="B14">
        <v>6</v>
      </c>
      <c r="C14">
        <v>1288</v>
      </c>
      <c r="D14" t="s">
        <v>199</v>
      </c>
      <c r="E14" t="s">
        <v>200</v>
      </c>
      <c r="F14" s="5">
        <v>31764091</v>
      </c>
      <c r="G14" s="2">
        <v>59</v>
      </c>
      <c r="H14" s="2">
        <f>(58+46)/2</f>
        <v>52</v>
      </c>
      <c r="I14" s="1">
        <f>(19.45+21.6+20.1)/3</f>
        <v>20.383333333333333</v>
      </c>
      <c r="J14">
        <v>4</v>
      </c>
      <c r="K14">
        <v>21</v>
      </c>
      <c r="L14">
        <v>21</v>
      </c>
    </row>
    <row r="15" spans="1:12" x14ac:dyDescent="0.6">
      <c r="A15">
        <v>690198</v>
      </c>
      <c r="B15">
        <v>6</v>
      </c>
      <c r="C15">
        <v>90198</v>
      </c>
      <c r="D15" t="s">
        <v>1311</v>
      </c>
      <c r="E15" t="s">
        <v>1312</v>
      </c>
      <c r="F15" s="5">
        <v>29702604</v>
      </c>
      <c r="G15" s="2">
        <v>67</v>
      </c>
      <c r="H15" s="2" t="s">
        <v>447</v>
      </c>
      <c r="I15" s="1">
        <v>17.899999999999999</v>
      </c>
      <c r="J15">
        <v>4</v>
      </c>
      <c r="K15" t="s">
        <v>447</v>
      </c>
      <c r="L15">
        <v>4</v>
      </c>
    </row>
    <row r="16" spans="1:12" x14ac:dyDescent="0.6">
      <c r="A16">
        <v>600143</v>
      </c>
      <c r="B16">
        <v>6</v>
      </c>
      <c r="C16">
        <v>143</v>
      </c>
      <c r="D16" t="s">
        <v>689</v>
      </c>
      <c r="E16" t="s">
        <v>690</v>
      </c>
      <c r="F16" s="5">
        <v>27452766</v>
      </c>
      <c r="G16" s="2">
        <f>(64.6+58)/2</f>
        <v>61.3</v>
      </c>
      <c r="H16" s="2">
        <v>30</v>
      </c>
      <c r="I16" s="1">
        <f>(22.6+24.2+22.4+24.1+23.4+23.7+23.7)/7</f>
        <v>23.44285714285714</v>
      </c>
      <c r="J16">
        <v>21</v>
      </c>
      <c r="K16">
        <v>4</v>
      </c>
      <c r="L16">
        <v>21</v>
      </c>
    </row>
    <row r="17" spans="1:12" x14ac:dyDescent="0.6">
      <c r="A17">
        <v>600118</v>
      </c>
      <c r="B17">
        <v>6</v>
      </c>
      <c r="C17">
        <v>118</v>
      </c>
      <c r="D17" t="s">
        <v>659</v>
      </c>
      <c r="E17" t="s">
        <v>660</v>
      </c>
      <c r="F17" s="5">
        <v>27087340</v>
      </c>
      <c r="G17" s="2">
        <v>61</v>
      </c>
      <c r="H17" s="2">
        <f>(60.5+54+47)/3</f>
        <v>53.833333333333336</v>
      </c>
      <c r="I17" s="1">
        <f>(18.2+23.1+20.9+24.2+18+18.7+18.7+18.6)/8</f>
        <v>20.049999999999997</v>
      </c>
      <c r="J17">
        <v>4</v>
      </c>
      <c r="K17">
        <v>42</v>
      </c>
      <c r="L17">
        <v>50</v>
      </c>
    </row>
    <row r="18" spans="1:12" x14ac:dyDescent="0.6">
      <c r="A18">
        <v>601589</v>
      </c>
      <c r="B18">
        <v>6</v>
      </c>
      <c r="C18">
        <v>1589</v>
      </c>
      <c r="D18" t="s">
        <v>305</v>
      </c>
      <c r="E18" t="s">
        <v>306</v>
      </c>
      <c r="F18" s="5">
        <v>26377373</v>
      </c>
      <c r="G18" s="2">
        <v>60</v>
      </c>
      <c r="H18" s="2" t="s">
        <v>447</v>
      </c>
      <c r="I18" s="1">
        <v>18.5</v>
      </c>
      <c r="J18">
        <v>8</v>
      </c>
      <c r="K18" t="s">
        <v>447</v>
      </c>
      <c r="L18">
        <v>6</v>
      </c>
    </row>
    <row r="19" spans="1:12" x14ac:dyDescent="0.6">
      <c r="A19">
        <v>601381</v>
      </c>
      <c r="B19">
        <v>6</v>
      </c>
      <c r="C19">
        <v>1381</v>
      </c>
      <c r="D19" t="s">
        <v>243</v>
      </c>
      <c r="E19" t="s">
        <v>244</v>
      </c>
      <c r="F19" s="5">
        <v>21928950</v>
      </c>
      <c r="G19" s="2">
        <f>(50.6+48)/2</f>
        <v>49.3</v>
      </c>
      <c r="H19" s="2">
        <f>(35+34)/2</f>
        <v>34.5</v>
      </c>
      <c r="I19" s="1">
        <f>(17.15+19+18.6+18.91)/4</f>
        <v>18.414999999999999</v>
      </c>
      <c r="J19">
        <v>21</v>
      </c>
      <c r="K19">
        <v>41</v>
      </c>
      <c r="L19">
        <v>50</v>
      </c>
    </row>
    <row r="20" spans="1:12" x14ac:dyDescent="0.6">
      <c r="A20">
        <v>601343</v>
      </c>
      <c r="B20">
        <v>6</v>
      </c>
      <c r="C20">
        <v>1343</v>
      </c>
      <c r="D20" t="s">
        <v>219</v>
      </c>
      <c r="E20" t="s">
        <v>220</v>
      </c>
      <c r="F20" s="5">
        <v>20718767</v>
      </c>
      <c r="G20" s="2">
        <f>(56.4+47)/2</f>
        <v>51.7</v>
      </c>
      <c r="H20" s="2">
        <v>34</v>
      </c>
      <c r="I20" s="1">
        <f>(18.55+18.3+18.3)/3</f>
        <v>18.383333333333336</v>
      </c>
      <c r="J20">
        <v>21</v>
      </c>
      <c r="K20">
        <v>4</v>
      </c>
      <c r="L20">
        <v>21</v>
      </c>
    </row>
    <row r="21" spans="1:12" x14ac:dyDescent="0.6">
      <c r="A21">
        <v>601520</v>
      </c>
      <c r="B21">
        <v>6</v>
      </c>
      <c r="C21">
        <v>1520</v>
      </c>
      <c r="D21" t="s">
        <v>293</v>
      </c>
      <c r="E21" t="s">
        <v>294</v>
      </c>
      <c r="F21" s="5">
        <v>20589418</v>
      </c>
      <c r="G21" s="2">
        <v>60</v>
      </c>
      <c r="H21" s="2">
        <f>(55+52+49+35)/4</f>
        <v>47.75</v>
      </c>
      <c r="I21" s="1">
        <f>(16.4+17.8+16.39)/3</f>
        <v>16.863333333333333</v>
      </c>
      <c r="J21">
        <v>4</v>
      </c>
      <c r="K21">
        <v>38</v>
      </c>
      <c r="L21">
        <v>50</v>
      </c>
    </row>
    <row r="22" spans="1:12" x14ac:dyDescent="0.6">
      <c r="A22">
        <v>600066</v>
      </c>
      <c r="B22">
        <v>6</v>
      </c>
      <c r="C22">
        <v>66</v>
      </c>
      <c r="D22" t="s">
        <v>611</v>
      </c>
      <c r="E22" t="s">
        <v>612</v>
      </c>
      <c r="F22" s="5">
        <v>20506209</v>
      </c>
      <c r="G22" s="2">
        <f>(61.2+62)/2</f>
        <v>61.6</v>
      </c>
      <c r="H22" s="2">
        <v>51</v>
      </c>
      <c r="I22" s="1">
        <f>(23+20.5+20.2+20.35)/4</f>
        <v>21.012500000000003</v>
      </c>
      <c r="J22">
        <v>21</v>
      </c>
      <c r="K22">
        <v>4</v>
      </c>
      <c r="L22">
        <v>50</v>
      </c>
    </row>
    <row r="23" spans="1:12" x14ac:dyDescent="0.6">
      <c r="A23">
        <v>601476</v>
      </c>
      <c r="B23">
        <v>6</v>
      </c>
      <c r="C23">
        <v>1476</v>
      </c>
      <c r="D23" t="s">
        <v>273</v>
      </c>
      <c r="E23" t="s">
        <v>274</v>
      </c>
      <c r="F23" s="5">
        <v>20505045</v>
      </c>
      <c r="G23" s="2">
        <v>53</v>
      </c>
      <c r="H23" s="2">
        <v>50</v>
      </c>
      <c r="I23" s="1">
        <f>(20+18.9)/2</f>
        <v>19.45</v>
      </c>
      <c r="J23">
        <v>4</v>
      </c>
      <c r="K23">
        <v>4</v>
      </c>
      <c r="L23">
        <v>21</v>
      </c>
    </row>
    <row r="24" spans="1:12" x14ac:dyDescent="0.6">
      <c r="A24">
        <v>600303</v>
      </c>
      <c r="B24">
        <v>6</v>
      </c>
      <c r="C24">
        <v>303</v>
      </c>
      <c r="D24" t="s">
        <v>896</v>
      </c>
      <c r="E24" t="s">
        <v>897</v>
      </c>
      <c r="F24" s="5">
        <v>19166351</v>
      </c>
      <c r="G24" s="2">
        <v>64</v>
      </c>
      <c r="H24" s="2">
        <f>(57+52)/2</f>
        <v>54.5</v>
      </c>
      <c r="I24" s="1">
        <f>(21.8+21)/2</f>
        <v>21.4</v>
      </c>
      <c r="J24">
        <v>4</v>
      </c>
      <c r="K24">
        <v>22</v>
      </c>
      <c r="L24">
        <v>21</v>
      </c>
    </row>
    <row r="25" spans="1:12" x14ac:dyDescent="0.6">
      <c r="A25">
        <v>601592</v>
      </c>
      <c r="B25">
        <v>6</v>
      </c>
      <c r="C25">
        <v>1592</v>
      </c>
      <c r="D25" t="s">
        <v>309</v>
      </c>
      <c r="E25" t="s">
        <v>310</v>
      </c>
      <c r="F25" s="5">
        <v>17681783</v>
      </c>
      <c r="G25" s="2">
        <v>60</v>
      </c>
      <c r="H25" s="2">
        <v>55.5</v>
      </c>
      <c r="I25" s="1">
        <f>(17.9+18.5)/2</f>
        <v>18.2</v>
      </c>
      <c r="J25">
        <v>8</v>
      </c>
      <c r="K25">
        <v>1</v>
      </c>
      <c r="L25">
        <v>27</v>
      </c>
    </row>
    <row r="26" spans="1:12" x14ac:dyDescent="0.6">
      <c r="A26">
        <v>601357</v>
      </c>
      <c r="B26">
        <v>6</v>
      </c>
      <c r="C26">
        <v>1357</v>
      </c>
      <c r="D26" t="s">
        <v>229</v>
      </c>
      <c r="E26" t="s">
        <v>230</v>
      </c>
      <c r="F26" s="5">
        <v>16557102</v>
      </c>
      <c r="G26" s="2">
        <v>56</v>
      </c>
      <c r="H26" s="2">
        <v>50</v>
      </c>
      <c r="I26" s="1">
        <f>(18.3+17.1)/2</f>
        <v>17.700000000000003</v>
      </c>
      <c r="J26">
        <v>4</v>
      </c>
      <c r="K26">
        <v>4</v>
      </c>
      <c r="L26">
        <v>21</v>
      </c>
    </row>
    <row r="27" spans="1:12" x14ac:dyDescent="0.6">
      <c r="A27">
        <v>690283</v>
      </c>
      <c r="B27">
        <v>6</v>
      </c>
      <c r="C27">
        <v>90283</v>
      </c>
      <c r="D27" t="s">
        <v>1373</v>
      </c>
      <c r="E27" t="s">
        <v>1374</v>
      </c>
      <c r="F27" s="5">
        <v>16280583</v>
      </c>
      <c r="G27" s="2">
        <v>10</v>
      </c>
      <c r="H27" s="2" t="s">
        <v>447</v>
      </c>
      <c r="I27" s="1">
        <f>(8.5+9.45)/2</f>
        <v>8.9749999999999996</v>
      </c>
      <c r="J27">
        <v>22</v>
      </c>
      <c r="K27" t="s">
        <v>447</v>
      </c>
      <c r="L27">
        <v>52</v>
      </c>
    </row>
    <row r="28" spans="1:12" x14ac:dyDescent="0.6">
      <c r="A28">
        <v>600031</v>
      </c>
      <c r="B28">
        <v>6</v>
      </c>
      <c r="C28">
        <v>31</v>
      </c>
      <c r="D28" t="s">
        <v>594</v>
      </c>
      <c r="E28" t="s">
        <v>595</v>
      </c>
      <c r="F28" s="5">
        <v>15723954</v>
      </c>
      <c r="G28" s="2">
        <f>(58.3+57.9+58.4+49)/4</f>
        <v>55.9</v>
      </c>
      <c r="H28" s="2">
        <v>28</v>
      </c>
      <c r="I28" s="1">
        <f>(16.75+17.1+18.4)/3</f>
        <v>17.416666666666668</v>
      </c>
      <c r="J28">
        <v>21</v>
      </c>
      <c r="K28">
        <v>4</v>
      </c>
      <c r="L28">
        <v>21</v>
      </c>
    </row>
    <row r="29" spans="1:12" x14ac:dyDescent="0.6">
      <c r="A29">
        <v>600366</v>
      </c>
      <c r="B29">
        <v>6</v>
      </c>
      <c r="C29">
        <v>366</v>
      </c>
      <c r="D29" t="s">
        <v>987</v>
      </c>
      <c r="E29" t="s">
        <v>988</v>
      </c>
      <c r="F29" s="5">
        <v>14545213</v>
      </c>
      <c r="G29" s="2">
        <v>52</v>
      </c>
      <c r="H29" s="2">
        <f>(54.75+46)/2</f>
        <v>50.375</v>
      </c>
      <c r="I29" s="1">
        <f>(20.3+19.7)/2</f>
        <v>20</v>
      </c>
      <c r="J29">
        <v>4</v>
      </c>
      <c r="K29">
        <v>21</v>
      </c>
      <c r="L29">
        <v>21</v>
      </c>
    </row>
    <row r="30" spans="1:12" x14ac:dyDescent="0.6">
      <c r="A30">
        <v>601023</v>
      </c>
      <c r="B30">
        <v>6</v>
      </c>
      <c r="C30">
        <v>1023</v>
      </c>
      <c r="D30" t="s">
        <v>163</v>
      </c>
      <c r="E30" t="s">
        <v>164</v>
      </c>
      <c r="F30" s="5">
        <v>13623251</v>
      </c>
      <c r="H30" s="2" t="s">
        <v>447</v>
      </c>
      <c r="I30" s="1" t="s">
        <v>447</v>
      </c>
      <c r="J30" t="s">
        <v>447</v>
      </c>
      <c r="K30" t="s">
        <v>447</v>
      </c>
      <c r="L30" t="s">
        <v>447</v>
      </c>
    </row>
    <row r="31" spans="1:12" x14ac:dyDescent="0.6">
      <c r="A31">
        <v>605382</v>
      </c>
      <c r="B31">
        <v>6</v>
      </c>
      <c r="C31">
        <v>5382</v>
      </c>
      <c r="D31" t="s">
        <v>837</v>
      </c>
      <c r="E31" t="s">
        <v>838</v>
      </c>
      <c r="F31" s="5">
        <v>13305678</v>
      </c>
      <c r="G31" s="2">
        <f>(49.9+52)/2</f>
        <v>50.95</v>
      </c>
      <c r="H31" s="2">
        <v>46</v>
      </c>
      <c r="I31" s="1">
        <f>(19.7+19.7)/2</f>
        <v>19.7</v>
      </c>
      <c r="J31">
        <v>21</v>
      </c>
      <c r="K31">
        <v>4</v>
      </c>
      <c r="L31">
        <v>21</v>
      </c>
    </row>
    <row r="32" spans="1:12" x14ac:dyDescent="0.6">
      <c r="A32">
        <v>690395</v>
      </c>
      <c r="B32">
        <v>6</v>
      </c>
      <c r="C32">
        <v>90395</v>
      </c>
      <c r="D32" t="s">
        <v>30</v>
      </c>
      <c r="E32" t="s">
        <v>31</v>
      </c>
      <c r="F32" s="5">
        <v>13058708</v>
      </c>
      <c r="G32" s="2">
        <v>67</v>
      </c>
      <c r="H32" s="2" t="s">
        <v>447</v>
      </c>
      <c r="I32" s="1">
        <f>(17.9+15.58)/2</f>
        <v>16.739999999999998</v>
      </c>
      <c r="J32">
        <v>4</v>
      </c>
      <c r="K32" t="s">
        <v>447</v>
      </c>
      <c r="L32">
        <v>52</v>
      </c>
    </row>
    <row r="33" spans="1:12" x14ac:dyDescent="0.6">
      <c r="A33">
        <v>600325</v>
      </c>
      <c r="B33">
        <v>6</v>
      </c>
      <c r="C33">
        <v>325</v>
      </c>
      <c r="D33" t="s">
        <v>932</v>
      </c>
      <c r="E33" t="s">
        <v>933</v>
      </c>
      <c r="F33" s="5">
        <v>12523137</v>
      </c>
      <c r="G33" s="2">
        <f>(44.2+44.7+53)/3</f>
        <v>47.300000000000004</v>
      </c>
      <c r="H33" s="2">
        <v>41</v>
      </c>
      <c r="I33" s="1">
        <f>(17.95+17.8)/2</f>
        <v>17.875</v>
      </c>
      <c r="J33">
        <v>21</v>
      </c>
      <c r="K33">
        <v>4</v>
      </c>
      <c r="L33">
        <v>21</v>
      </c>
    </row>
    <row r="34" spans="1:12" x14ac:dyDescent="0.6">
      <c r="A34">
        <v>690009</v>
      </c>
      <c r="B34">
        <v>6</v>
      </c>
      <c r="C34">
        <v>90009</v>
      </c>
      <c r="D34" t="s">
        <v>1153</v>
      </c>
      <c r="E34" t="s">
        <v>1154</v>
      </c>
      <c r="F34" s="5">
        <v>11984231</v>
      </c>
      <c r="G34" s="2">
        <v>10</v>
      </c>
      <c r="H34" s="2" t="s">
        <v>447</v>
      </c>
      <c r="I34" s="1">
        <f>(8.5+7.06)/2</f>
        <v>7.7799999999999994</v>
      </c>
      <c r="J34">
        <v>22</v>
      </c>
      <c r="K34" t="s">
        <v>447</v>
      </c>
      <c r="L34">
        <v>52</v>
      </c>
    </row>
    <row r="35" spans="1:12" x14ac:dyDescent="0.6">
      <c r="A35">
        <v>601365</v>
      </c>
      <c r="B35">
        <v>6</v>
      </c>
      <c r="C35">
        <v>1365</v>
      </c>
      <c r="D35" t="s">
        <v>233</v>
      </c>
      <c r="E35" t="s">
        <v>234</v>
      </c>
      <c r="F35" s="5">
        <v>11601828</v>
      </c>
      <c r="G35" s="2">
        <f>(52.3+52)/2</f>
        <v>52.15</v>
      </c>
      <c r="H35" s="2">
        <v>46</v>
      </c>
      <c r="I35" s="1">
        <f>(19.7+19.9+19.7)/3</f>
        <v>19.766666666666666</v>
      </c>
      <c r="J35">
        <v>21</v>
      </c>
      <c r="K35">
        <v>4</v>
      </c>
      <c r="L35">
        <v>21</v>
      </c>
    </row>
    <row r="36" spans="1:12" x14ac:dyDescent="0.6">
      <c r="A36">
        <v>690005</v>
      </c>
      <c r="B36">
        <v>6</v>
      </c>
      <c r="C36">
        <v>90005</v>
      </c>
      <c r="D36" t="s">
        <v>1151</v>
      </c>
      <c r="E36" t="s">
        <v>1152</v>
      </c>
      <c r="F36" s="5">
        <v>11164150</v>
      </c>
      <c r="G36" s="2">
        <v>100</v>
      </c>
      <c r="H36" s="2" t="s">
        <v>447</v>
      </c>
      <c r="I36" s="1">
        <v>16.2</v>
      </c>
      <c r="J36">
        <v>4</v>
      </c>
      <c r="K36" t="s">
        <v>447</v>
      </c>
      <c r="L36">
        <v>4</v>
      </c>
    </row>
    <row r="37" spans="1:12" x14ac:dyDescent="0.6">
      <c r="A37">
        <v>600308</v>
      </c>
      <c r="B37">
        <v>6</v>
      </c>
      <c r="C37">
        <v>308</v>
      </c>
      <c r="D37" t="s">
        <v>902</v>
      </c>
      <c r="E37" t="s">
        <v>903</v>
      </c>
      <c r="F37" s="5">
        <v>10787822</v>
      </c>
      <c r="G37" s="2">
        <f>(41+37.8)/2</f>
        <v>39.4</v>
      </c>
      <c r="H37" s="2">
        <f>(32.6+39+30+26.7)/4</f>
        <v>32.074999999999996</v>
      </c>
      <c r="I37" s="1">
        <f>(17.1+17.9+17.3+17.9+17.9)/5</f>
        <v>17.619999999999997</v>
      </c>
      <c r="J37">
        <v>32</v>
      </c>
      <c r="K37">
        <v>38</v>
      </c>
      <c r="L37">
        <v>51</v>
      </c>
    </row>
    <row r="38" spans="1:12" x14ac:dyDescent="0.6">
      <c r="A38">
        <v>601043</v>
      </c>
      <c r="B38">
        <v>6</v>
      </c>
      <c r="C38">
        <v>1043</v>
      </c>
      <c r="D38" t="s">
        <v>167</v>
      </c>
      <c r="E38" t="s">
        <v>168</v>
      </c>
      <c r="F38" s="5">
        <v>10610433</v>
      </c>
      <c r="G38" s="2">
        <f>(53.5+65)/2</f>
        <v>59.25</v>
      </c>
      <c r="H38" s="2">
        <v>53</v>
      </c>
      <c r="I38" s="1">
        <f>(21.8+20.2)/2</f>
        <v>21</v>
      </c>
      <c r="J38">
        <v>21</v>
      </c>
      <c r="K38">
        <v>4</v>
      </c>
      <c r="L38">
        <v>21</v>
      </c>
    </row>
    <row r="39" spans="1:12" x14ac:dyDescent="0.6">
      <c r="A39">
        <v>600240</v>
      </c>
      <c r="B39">
        <v>6</v>
      </c>
      <c r="C39">
        <v>240</v>
      </c>
      <c r="D39" t="s">
        <v>443</v>
      </c>
      <c r="E39" t="s">
        <v>444</v>
      </c>
      <c r="F39" s="5">
        <v>10419176</v>
      </c>
      <c r="G39" s="2">
        <v>62</v>
      </c>
      <c r="H39" s="2">
        <f>(42+50+48)/3</f>
        <v>46.666666666666664</v>
      </c>
      <c r="I39" s="1">
        <f>(19.9+20.5)/2</f>
        <v>20.2</v>
      </c>
      <c r="J39">
        <v>4</v>
      </c>
      <c r="K39">
        <v>44</v>
      </c>
      <c r="L39">
        <v>21</v>
      </c>
    </row>
    <row r="40" spans="1:12" x14ac:dyDescent="0.6">
      <c r="A40">
        <v>601511</v>
      </c>
      <c r="B40">
        <v>6</v>
      </c>
      <c r="C40">
        <v>1511</v>
      </c>
      <c r="D40" t="s">
        <v>289</v>
      </c>
      <c r="E40" t="s">
        <v>290</v>
      </c>
      <c r="F40" s="5">
        <v>10346450</v>
      </c>
      <c r="G40" s="2">
        <v>65</v>
      </c>
      <c r="H40" s="2">
        <v>53</v>
      </c>
      <c r="I40" s="1">
        <f>(19+19.5+20.2)/3</f>
        <v>19.566666666666666</v>
      </c>
      <c r="J40">
        <v>4</v>
      </c>
      <c r="K40">
        <v>4</v>
      </c>
      <c r="L40">
        <v>21</v>
      </c>
    </row>
    <row r="41" spans="1:12" x14ac:dyDescent="0.6">
      <c r="A41">
        <v>690053</v>
      </c>
      <c r="B41">
        <v>6</v>
      </c>
      <c r="C41">
        <v>90053</v>
      </c>
      <c r="D41" t="s">
        <v>1199</v>
      </c>
      <c r="E41" t="s">
        <v>1200</v>
      </c>
      <c r="F41" s="5">
        <v>10136257</v>
      </c>
      <c r="G41" s="2">
        <f>(26+24+28)/3</f>
        <v>26</v>
      </c>
      <c r="H41" s="2" t="s">
        <v>447</v>
      </c>
      <c r="I41" s="1">
        <f>(11.2+11.9)/2</f>
        <v>11.55</v>
      </c>
      <c r="J41">
        <v>44</v>
      </c>
      <c r="K41" t="s">
        <v>447</v>
      </c>
      <c r="L41">
        <v>52</v>
      </c>
    </row>
    <row r="42" spans="1:12" x14ac:dyDescent="0.6">
      <c r="A42">
        <v>690103</v>
      </c>
      <c r="B42">
        <v>6</v>
      </c>
      <c r="C42">
        <v>90103</v>
      </c>
      <c r="D42" t="s">
        <v>1247</v>
      </c>
      <c r="E42" t="s">
        <v>1248</v>
      </c>
      <c r="F42" s="5">
        <v>9837653</v>
      </c>
      <c r="G42" s="2">
        <v>63</v>
      </c>
      <c r="H42" s="2" t="s">
        <v>447</v>
      </c>
      <c r="I42" s="1">
        <v>17.899999999999999</v>
      </c>
      <c r="J42">
        <v>4</v>
      </c>
      <c r="K42" t="s">
        <v>447</v>
      </c>
      <c r="L42">
        <v>4</v>
      </c>
    </row>
    <row r="43" spans="1:12" x14ac:dyDescent="0.6">
      <c r="A43">
        <v>600142</v>
      </c>
      <c r="B43">
        <v>6</v>
      </c>
      <c r="C43">
        <v>142</v>
      </c>
      <c r="D43" t="s">
        <v>687</v>
      </c>
      <c r="E43" t="s">
        <v>688</v>
      </c>
      <c r="F43" s="5">
        <v>9393218</v>
      </c>
      <c r="G43" s="2">
        <f>(69.65+58)/2</f>
        <v>63.825000000000003</v>
      </c>
      <c r="H43" s="2">
        <f>(30+35)/2</f>
        <v>32.5</v>
      </c>
      <c r="I43" s="1">
        <f>(24.7+19+21.7+19.1+23.7+26.5+23.7)/7</f>
        <v>22.628571428571426</v>
      </c>
      <c r="J43">
        <v>21</v>
      </c>
      <c r="K43">
        <v>22</v>
      </c>
      <c r="L43">
        <v>21</v>
      </c>
    </row>
    <row r="44" spans="1:12" x14ac:dyDescent="0.6">
      <c r="A44">
        <v>601473</v>
      </c>
      <c r="B44">
        <v>6</v>
      </c>
      <c r="C44">
        <v>1473</v>
      </c>
      <c r="D44" t="s">
        <v>269</v>
      </c>
      <c r="E44" t="s">
        <v>270</v>
      </c>
      <c r="F44" s="5">
        <v>9140750</v>
      </c>
      <c r="G44" s="2">
        <v>53</v>
      </c>
      <c r="H44" s="2">
        <v>50</v>
      </c>
      <c r="I44" s="1">
        <f>(19.6+16.4+18.9)/3</f>
        <v>18.3</v>
      </c>
      <c r="J44">
        <v>4</v>
      </c>
      <c r="K44">
        <v>4</v>
      </c>
      <c r="L44">
        <v>21</v>
      </c>
    </row>
    <row r="45" spans="1:12" x14ac:dyDescent="0.6">
      <c r="A45">
        <v>600146</v>
      </c>
      <c r="B45">
        <v>6</v>
      </c>
      <c r="C45">
        <v>146</v>
      </c>
      <c r="D45" t="s">
        <v>695</v>
      </c>
      <c r="E45" t="s">
        <v>696</v>
      </c>
      <c r="F45" s="5">
        <v>8890199</v>
      </c>
      <c r="G45" s="2">
        <f>(56.3+58)/2</f>
        <v>57.15</v>
      </c>
      <c r="H45" s="2">
        <v>30</v>
      </c>
      <c r="I45" s="1">
        <f>(21.9+22.85+23.5+23.7+23.7)/5</f>
        <v>23.130000000000003</v>
      </c>
      <c r="J45">
        <v>21</v>
      </c>
      <c r="K45">
        <v>4</v>
      </c>
      <c r="L45">
        <v>21</v>
      </c>
    </row>
    <row r="46" spans="1:12" x14ac:dyDescent="0.6">
      <c r="A46">
        <v>600510</v>
      </c>
      <c r="B46">
        <v>6</v>
      </c>
      <c r="C46">
        <v>510</v>
      </c>
      <c r="D46" t="s">
        <v>552</v>
      </c>
      <c r="F46" s="5">
        <v>8774026</v>
      </c>
      <c r="G46" s="2" t="s">
        <v>447</v>
      </c>
      <c r="H46" s="2" t="s">
        <v>447</v>
      </c>
      <c r="I46" s="1">
        <f>(16.3+18.84)/2</f>
        <v>17.57</v>
      </c>
      <c r="J46" t="s">
        <v>447</v>
      </c>
      <c r="K46" t="s">
        <v>447</v>
      </c>
      <c r="L46">
        <v>49</v>
      </c>
    </row>
    <row r="47" spans="1:12" x14ac:dyDescent="0.6">
      <c r="A47">
        <v>600241</v>
      </c>
      <c r="B47">
        <v>6</v>
      </c>
      <c r="C47">
        <v>241</v>
      </c>
      <c r="D47" t="s">
        <v>445</v>
      </c>
      <c r="E47" t="s">
        <v>446</v>
      </c>
      <c r="F47" s="5">
        <v>8238932</v>
      </c>
      <c r="G47" s="2">
        <v>62</v>
      </c>
      <c r="H47" s="2">
        <f>(42+50+48)/3</f>
        <v>46.666666666666664</v>
      </c>
      <c r="I47" s="1">
        <f>(6.5+20.1+20.5)/3</f>
        <v>15.700000000000001</v>
      </c>
      <c r="J47">
        <v>4</v>
      </c>
      <c r="K47">
        <v>44</v>
      </c>
      <c r="L47">
        <v>21</v>
      </c>
    </row>
    <row r="48" spans="1:12" x14ac:dyDescent="0.6">
      <c r="A48">
        <v>690023</v>
      </c>
      <c r="B48">
        <v>6</v>
      </c>
      <c r="C48">
        <v>90023</v>
      </c>
      <c r="D48" t="s">
        <v>1167</v>
      </c>
      <c r="E48" t="s">
        <v>1168</v>
      </c>
      <c r="F48" s="5">
        <v>8186041</v>
      </c>
      <c r="G48" s="2">
        <v>67</v>
      </c>
      <c r="H48" s="2" t="s">
        <v>447</v>
      </c>
      <c r="I48" s="1">
        <v>17.899999999999999</v>
      </c>
      <c r="J48">
        <v>4</v>
      </c>
      <c r="K48" t="s">
        <v>447</v>
      </c>
      <c r="L48">
        <v>4</v>
      </c>
    </row>
    <row r="49" spans="1:12" x14ac:dyDescent="0.6">
      <c r="A49">
        <v>600029</v>
      </c>
      <c r="B49">
        <v>6</v>
      </c>
      <c r="C49">
        <v>29</v>
      </c>
      <c r="D49" t="s">
        <v>590</v>
      </c>
      <c r="E49" t="s">
        <v>591</v>
      </c>
      <c r="F49" s="5">
        <v>7940151</v>
      </c>
      <c r="G49" s="2">
        <f>(51.9+49)/2</f>
        <v>50.45</v>
      </c>
      <c r="H49" s="2">
        <v>32</v>
      </c>
      <c r="I49" s="1">
        <f>(17.75+18.7+18.2)/3</f>
        <v>18.216666666666669</v>
      </c>
      <c r="J49">
        <v>21</v>
      </c>
      <c r="K49">
        <v>4</v>
      </c>
      <c r="L49">
        <v>21</v>
      </c>
    </row>
    <row r="50" spans="1:12" x14ac:dyDescent="0.6">
      <c r="A50">
        <v>601342</v>
      </c>
      <c r="B50">
        <v>6</v>
      </c>
      <c r="C50">
        <v>1342</v>
      </c>
      <c r="D50" t="s">
        <v>217</v>
      </c>
      <c r="E50" t="s">
        <v>218</v>
      </c>
      <c r="F50" s="5">
        <v>7481299</v>
      </c>
      <c r="G50" s="2">
        <f>(54.7+49)/2</f>
        <v>51.85</v>
      </c>
      <c r="H50" s="2">
        <v>34</v>
      </c>
      <c r="I50" s="1">
        <f>(15+16.7+17.6+18.4)/4</f>
        <v>16.924999999999997</v>
      </c>
      <c r="J50">
        <v>21</v>
      </c>
      <c r="K50">
        <v>4</v>
      </c>
      <c r="L50">
        <v>50</v>
      </c>
    </row>
    <row r="51" spans="1:12" x14ac:dyDescent="0.6">
      <c r="A51">
        <v>600531</v>
      </c>
      <c r="B51">
        <v>6</v>
      </c>
      <c r="C51">
        <v>531</v>
      </c>
      <c r="D51" t="s">
        <v>86</v>
      </c>
      <c r="E51" t="s">
        <v>87</v>
      </c>
      <c r="F51" s="5">
        <v>7408391</v>
      </c>
      <c r="G51" s="2">
        <v>36</v>
      </c>
      <c r="H51" s="2">
        <v>33</v>
      </c>
      <c r="I51" s="1">
        <v>18.8</v>
      </c>
      <c r="J51">
        <v>4</v>
      </c>
      <c r="K51">
        <v>4</v>
      </c>
      <c r="L51">
        <v>4</v>
      </c>
    </row>
    <row r="52" spans="1:12" x14ac:dyDescent="0.6">
      <c r="A52">
        <v>690196</v>
      </c>
      <c r="B52">
        <v>6</v>
      </c>
      <c r="C52">
        <v>90196</v>
      </c>
      <c r="D52" t="s">
        <v>1309</v>
      </c>
      <c r="E52" t="s">
        <v>1310</v>
      </c>
      <c r="F52" s="5">
        <v>7053220</v>
      </c>
      <c r="G52" s="2" t="s">
        <v>447</v>
      </c>
      <c r="H52" s="2" t="s">
        <v>447</v>
      </c>
      <c r="I52" s="1" t="s">
        <v>447</v>
      </c>
      <c r="J52" t="s">
        <v>447</v>
      </c>
      <c r="K52" t="s">
        <v>447</v>
      </c>
      <c r="L52" t="s">
        <v>447</v>
      </c>
    </row>
    <row r="53" spans="1:12" x14ac:dyDescent="0.6">
      <c r="A53">
        <v>600111</v>
      </c>
      <c r="B53">
        <v>6</v>
      </c>
      <c r="C53">
        <v>111</v>
      </c>
      <c r="D53" t="s">
        <v>647</v>
      </c>
      <c r="E53" t="s">
        <v>648</v>
      </c>
      <c r="F53" s="5">
        <v>7052580</v>
      </c>
      <c r="G53" s="2">
        <v>57</v>
      </c>
      <c r="H53" s="2">
        <f>(57.4+45)/2</f>
        <v>51.2</v>
      </c>
      <c r="I53" s="1">
        <f>(21.85+20.5+17.5+21.21+21.4+20.4)/6</f>
        <v>20.47666666666667</v>
      </c>
      <c r="J53">
        <v>4</v>
      </c>
      <c r="K53">
        <v>21</v>
      </c>
      <c r="L53">
        <v>21</v>
      </c>
    </row>
    <row r="54" spans="1:12" x14ac:dyDescent="0.6">
      <c r="A54">
        <v>600416</v>
      </c>
      <c r="B54">
        <v>6</v>
      </c>
      <c r="C54">
        <v>416</v>
      </c>
      <c r="D54" t="s">
        <v>1062</v>
      </c>
      <c r="E54" t="s">
        <v>1063</v>
      </c>
      <c r="F54" s="5">
        <v>6736180</v>
      </c>
      <c r="G54" s="2" t="s">
        <v>447</v>
      </c>
      <c r="H54" s="2" t="s">
        <v>447</v>
      </c>
      <c r="I54" s="1">
        <v>16.850000000000001</v>
      </c>
      <c r="J54" t="s">
        <v>447</v>
      </c>
      <c r="K54" t="s">
        <v>447</v>
      </c>
      <c r="L54">
        <v>1</v>
      </c>
    </row>
    <row r="55" spans="1:12" x14ac:dyDescent="0.6">
      <c r="A55">
        <v>690011</v>
      </c>
      <c r="B55">
        <v>6</v>
      </c>
      <c r="C55">
        <v>90011</v>
      </c>
      <c r="D55" t="s">
        <v>1157</v>
      </c>
      <c r="E55" t="s">
        <v>1158</v>
      </c>
      <c r="F55" s="5">
        <v>6177946</v>
      </c>
      <c r="G55" s="2">
        <f>(10+6+14.7+12)/4</f>
        <v>10.675000000000001</v>
      </c>
      <c r="H55" s="2" t="s">
        <v>447</v>
      </c>
      <c r="I55" s="1">
        <f>(15.8+16.78)/2</f>
        <v>16.29</v>
      </c>
      <c r="J55">
        <v>24</v>
      </c>
      <c r="K55" t="s">
        <v>447</v>
      </c>
      <c r="L55">
        <v>52</v>
      </c>
    </row>
    <row r="56" spans="1:12" x14ac:dyDescent="0.6">
      <c r="A56">
        <v>600324</v>
      </c>
      <c r="B56">
        <v>6</v>
      </c>
      <c r="C56">
        <v>324</v>
      </c>
      <c r="D56" t="s">
        <v>930</v>
      </c>
      <c r="E56" t="s">
        <v>931</v>
      </c>
      <c r="F56" s="5">
        <v>6032426</v>
      </c>
      <c r="G56" s="2">
        <v>53</v>
      </c>
      <c r="H56" s="2">
        <v>41</v>
      </c>
      <c r="I56" s="1">
        <v>17.8</v>
      </c>
      <c r="J56">
        <v>4</v>
      </c>
      <c r="K56">
        <v>4</v>
      </c>
      <c r="L56">
        <v>4</v>
      </c>
    </row>
    <row r="57" spans="1:12" x14ac:dyDescent="0.6">
      <c r="A57">
        <v>600030</v>
      </c>
      <c r="B57">
        <v>6</v>
      </c>
      <c r="C57">
        <v>30</v>
      </c>
      <c r="D57" t="s">
        <v>592</v>
      </c>
      <c r="E57" t="s">
        <v>593</v>
      </c>
      <c r="F57" s="5">
        <v>5986037</v>
      </c>
      <c r="G57" s="2">
        <f>(52.6+53)/2</f>
        <v>52.8</v>
      </c>
      <c r="H57" s="2">
        <v>41</v>
      </c>
      <c r="I57" s="1">
        <f>(17.5+18+17.8)/3</f>
        <v>17.766666666666666</v>
      </c>
      <c r="J57">
        <v>21</v>
      </c>
      <c r="K57">
        <v>4</v>
      </c>
      <c r="L57">
        <v>21</v>
      </c>
    </row>
    <row r="58" spans="1:12" x14ac:dyDescent="0.6">
      <c r="A58">
        <v>600487</v>
      </c>
      <c r="B58">
        <v>6</v>
      </c>
      <c r="C58">
        <v>487</v>
      </c>
      <c r="D58" t="s">
        <v>517</v>
      </c>
      <c r="E58" t="s">
        <v>518</v>
      </c>
      <c r="F58" s="5">
        <v>5904785</v>
      </c>
      <c r="G58" s="2" t="s">
        <v>447</v>
      </c>
      <c r="H58" s="2" t="s">
        <v>447</v>
      </c>
      <c r="I58" s="1">
        <v>17.899999999999999</v>
      </c>
      <c r="J58" t="s">
        <v>447</v>
      </c>
      <c r="K58" t="s">
        <v>447</v>
      </c>
      <c r="L58">
        <v>17</v>
      </c>
    </row>
    <row r="59" spans="1:12" x14ac:dyDescent="0.6">
      <c r="A59">
        <v>690033</v>
      </c>
      <c r="B59">
        <v>6</v>
      </c>
      <c r="C59">
        <v>90033</v>
      </c>
      <c r="D59" t="s">
        <v>1179</v>
      </c>
      <c r="E59" t="s">
        <v>1180</v>
      </c>
      <c r="F59" s="5">
        <v>5901514</v>
      </c>
      <c r="G59" s="2">
        <v>18</v>
      </c>
      <c r="H59" s="2" t="s">
        <v>447</v>
      </c>
      <c r="I59" s="1">
        <v>10.8</v>
      </c>
      <c r="J59">
        <v>4</v>
      </c>
      <c r="K59" t="s">
        <v>447</v>
      </c>
      <c r="L59">
        <v>4</v>
      </c>
    </row>
    <row r="60" spans="1:12" x14ac:dyDescent="0.6">
      <c r="A60">
        <v>690016</v>
      </c>
      <c r="B60">
        <v>6</v>
      </c>
      <c r="C60">
        <v>90016</v>
      </c>
      <c r="D60" t="s">
        <v>1161</v>
      </c>
      <c r="E60" t="s">
        <v>1162</v>
      </c>
      <c r="F60" s="5">
        <v>5811502</v>
      </c>
      <c r="G60" s="2">
        <v>12.5</v>
      </c>
      <c r="H60" s="2" t="s">
        <v>447</v>
      </c>
      <c r="I60" s="1">
        <v>16.5</v>
      </c>
      <c r="J60">
        <v>7</v>
      </c>
      <c r="K60" t="s">
        <v>447</v>
      </c>
      <c r="L60">
        <v>17</v>
      </c>
    </row>
    <row r="61" spans="1:12" x14ac:dyDescent="0.6">
      <c r="A61">
        <v>600323</v>
      </c>
      <c r="B61">
        <v>6</v>
      </c>
      <c r="C61">
        <v>323</v>
      </c>
      <c r="D61" t="s">
        <v>928</v>
      </c>
      <c r="E61" t="s">
        <v>929</v>
      </c>
      <c r="F61" s="5">
        <v>5563882</v>
      </c>
      <c r="G61" s="2">
        <f>(54.7+61.1+62.3+57.8+53)/5</f>
        <v>57.780000000000008</v>
      </c>
      <c r="H61" s="2">
        <v>26</v>
      </c>
      <c r="I61" s="1">
        <f>(16.75+18.3+17.8)/3</f>
        <v>17.616666666666664</v>
      </c>
      <c r="J61">
        <v>21</v>
      </c>
      <c r="K61">
        <v>15</v>
      </c>
      <c r="L61">
        <v>21</v>
      </c>
    </row>
    <row r="62" spans="1:12" x14ac:dyDescent="0.6">
      <c r="A62">
        <v>600371</v>
      </c>
      <c r="B62">
        <v>6</v>
      </c>
      <c r="C62">
        <v>371</v>
      </c>
      <c r="D62" t="s">
        <v>995</v>
      </c>
      <c r="E62" t="s">
        <v>996</v>
      </c>
      <c r="F62" s="5">
        <v>5527309</v>
      </c>
      <c r="G62" s="2">
        <v>52</v>
      </c>
      <c r="H62" s="2">
        <v>46</v>
      </c>
      <c r="I62" s="1">
        <v>19.7</v>
      </c>
      <c r="J62">
        <v>4</v>
      </c>
      <c r="K62">
        <v>4</v>
      </c>
      <c r="L62">
        <v>4</v>
      </c>
    </row>
    <row r="63" spans="1:12" x14ac:dyDescent="0.6">
      <c r="A63">
        <v>600260</v>
      </c>
      <c r="B63">
        <v>6</v>
      </c>
      <c r="C63">
        <v>260</v>
      </c>
      <c r="D63" t="s">
        <v>879</v>
      </c>
      <c r="E63" t="s">
        <v>880</v>
      </c>
      <c r="F63" s="5">
        <v>5448581</v>
      </c>
      <c r="G63" s="2">
        <v>57</v>
      </c>
      <c r="H63" s="2" t="s">
        <v>447</v>
      </c>
      <c r="I63" s="1">
        <f>(8.2+7.5+19.1+8.8)/4</f>
        <v>10.899999999999999</v>
      </c>
      <c r="J63">
        <v>4</v>
      </c>
      <c r="K63" t="s">
        <v>447</v>
      </c>
      <c r="L63">
        <v>21</v>
      </c>
    </row>
    <row r="64" spans="1:12" x14ac:dyDescent="0.6">
      <c r="A64">
        <v>600326</v>
      </c>
      <c r="B64">
        <v>6</v>
      </c>
      <c r="C64">
        <v>326</v>
      </c>
      <c r="D64" t="s">
        <v>934</v>
      </c>
      <c r="E64" t="s">
        <v>935</v>
      </c>
      <c r="F64" s="5">
        <v>5272368</v>
      </c>
      <c r="G64" s="2">
        <f>(53+49)/2</f>
        <v>51</v>
      </c>
      <c r="H64" s="2">
        <f>(52.75+38+41+31.9)/4</f>
        <v>40.912500000000001</v>
      </c>
      <c r="I64" s="1">
        <f>(16.5+17.8+16.1)/3</f>
        <v>16.8</v>
      </c>
      <c r="J64">
        <v>32</v>
      </c>
      <c r="K64">
        <v>38</v>
      </c>
      <c r="L64">
        <v>33</v>
      </c>
    </row>
    <row r="65" spans="1:12" x14ac:dyDescent="0.6">
      <c r="A65">
        <v>601530</v>
      </c>
      <c r="B65">
        <v>6</v>
      </c>
      <c r="C65">
        <v>1530</v>
      </c>
      <c r="D65" t="s">
        <v>295</v>
      </c>
      <c r="E65" t="s">
        <v>296</v>
      </c>
      <c r="F65" s="5">
        <v>5255912</v>
      </c>
      <c r="G65" s="2">
        <v>65</v>
      </c>
      <c r="H65" s="2">
        <v>53</v>
      </c>
      <c r="I65" s="1">
        <v>20.2</v>
      </c>
      <c r="J65">
        <v>4</v>
      </c>
      <c r="K65">
        <v>4</v>
      </c>
      <c r="L65">
        <v>4</v>
      </c>
    </row>
    <row r="66" spans="1:12" x14ac:dyDescent="0.6">
      <c r="A66">
        <v>600428</v>
      </c>
      <c r="B66">
        <v>6</v>
      </c>
      <c r="C66">
        <v>428</v>
      </c>
      <c r="D66" t="s">
        <v>1084</v>
      </c>
      <c r="E66" t="s">
        <v>1085</v>
      </c>
      <c r="F66" s="5">
        <v>5123955</v>
      </c>
      <c r="G66" s="2">
        <v>60.2</v>
      </c>
      <c r="H66" s="2" t="s">
        <v>447</v>
      </c>
      <c r="I66" s="1">
        <v>16</v>
      </c>
      <c r="J66">
        <v>1</v>
      </c>
      <c r="K66" t="s">
        <v>447</v>
      </c>
      <c r="L66">
        <v>1</v>
      </c>
    </row>
    <row r="67" spans="1:12" x14ac:dyDescent="0.6">
      <c r="A67">
        <v>600243</v>
      </c>
      <c r="B67">
        <v>6</v>
      </c>
      <c r="C67">
        <v>243</v>
      </c>
      <c r="D67" t="s">
        <v>859</v>
      </c>
      <c r="E67" t="s">
        <v>860</v>
      </c>
      <c r="F67" s="5">
        <v>5002815</v>
      </c>
      <c r="G67" s="2">
        <v>62</v>
      </c>
      <c r="H67" s="2">
        <f>(50+50+48)/3</f>
        <v>49.333333333333336</v>
      </c>
      <c r="I67" s="1">
        <f>(20.5+21.3+20.5)/3</f>
        <v>20.766666666666666</v>
      </c>
      <c r="J67">
        <v>4</v>
      </c>
      <c r="K67">
        <v>44</v>
      </c>
      <c r="L67">
        <v>21</v>
      </c>
    </row>
    <row r="68" spans="1:12" x14ac:dyDescent="0.6">
      <c r="A68">
        <v>690269</v>
      </c>
      <c r="B68">
        <v>6</v>
      </c>
      <c r="C68">
        <v>90269</v>
      </c>
      <c r="D68" t="s">
        <v>1357</v>
      </c>
      <c r="E68" t="s">
        <v>1358</v>
      </c>
      <c r="F68" s="5">
        <v>4942287</v>
      </c>
      <c r="G68" s="2">
        <f>(35+36)/2</f>
        <v>35.5</v>
      </c>
      <c r="H68" s="2" t="s">
        <v>447</v>
      </c>
      <c r="I68" s="1">
        <v>16.8</v>
      </c>
      <c r="J68">
        <v>22</v>
      </c>
      <c r="K68" t="s">
        <v>447</v>
      </c>
      <c r="L68">
        <v>4</v>
      </c>
    </row>
    <row r="69" spans="1:12" x14ac:dyDescent="0.6">
      <c r="A69">
        <v>690445</v>
      </c>
      <c r="B69">
        <v>6</v>
      </c>
      <c r="C69">
        <v>90445</v>
      </c>
      <c r="D69" t="s">
        <v>64</v>
      </c>
      <c r="E69" t="s">
        <v>65</v>
      </c>
      <c r="F69" s="5">
        <v>4863774</v>
      </c>
      <c r="G69" s="2">
        <f>(10+6+9.8)/3</f>
        <v>8.6</v>
      </c>
      <c r="H69" s="2" t="s">
        <v>447</v>
      </c>
      <c r="I69" s="1">
        <f>(15.8+16.78)/2</f>
        <v>16.29</v>
      </c>
      <c r="J69">
        <v>20</v>
      </c>
      <c r="K69" t="s">
        <v>447</v>
      </c>
      <c r="L69">
        <v>52</v>
      </c>
    </row>
    <row r="70" spans="1:12" x14ac:dyDescent="0.6">
      <c r="A70">
        <v>600131</v>
      </c>
      <c r="B70">
        <v>6</v>
      </c>
      <c r="C70">
        <v>131</v>
      </c>
      <c r="D70" t="s">
        <v>673</v>
      </c>
      <c r="E70" t="s">
        <v>674</v>
      </c>
      <c r="F70" s="5">
        <v>4830909</v>
      </c>
      <c r="G70" s="2">
        <v>67</v>
      </c>
      <c r="H70" s="2">
        <v>57</v>
      </c>
      <c r="I70" s="1">
        <f>(19.7+20)/2</f>
        <v>19.850000000000001</v>
      </c>
      <c r="J70">
        <v>4</v>
      </c>
      <c r="K70">
        <v>4</v>
      </c>
      <c r="L70">
        <v>21</v>
      </c>
    </row>
    <row r="71" spans="1:12" x14ac:dyDescent="0.6">
      <c r="A71">
        <v>601505</v>
      </c>
      <c r="B71">
        <v>6</v>
      </c>
      <c r="C71">
        <v>1505</v>
      </c>
      <c r="D71" t="s">
        <v>283</v>
      </c>
      <c r="E71" t="s">
        <v>284</v>
      </c>
      <c r="F71" s="5">
        <v>4262774</v>
      </c>
      <c r="G71" s="2">
        <v>65</v>
      </c>
      <c r="H71" s="2">
        <v>53</v>
      </c>
      <c r="I71" s="1">
        <v>20.2</v>
      </c>
      <c r="J71">
        <v>4</v>
      </c>
      <c r="K71">
        <v>4</v>
      </c>
      <c r="L71">
        <v>4</v>
      </c>
    </row>
    <row r="72" spans="1:12" x14ac:dyDescent="0.6">
      <c r="A72">
        <v>601664</v>
      </c>
      <c r="B72">
        <v>6</v>
      </c>
      <c r="C72">
        <v>1664</v>
      </c>
      <c r="D72" t="s">
        <v>337</v>
      </c>
      <c r="E72" t="s">
        <v>338</v>
      </c>
      <c r="F72" s="5">
        <v>4215285</v>
      </c>
      <c r="G72" s="2">
        <v>62</v>
      </c>
      <c r="H72" s="2">
        <f>(51+51)/2</f>
        <v>51</v>
      </c>
      <c r="I72" s="1">
        <f>(10.7+18+20.2)/3</f>
        <v>16.3</v>
      </c>
      <c r="J72">
        <v>4</v>
      </c>
      <c r="K72">
        <v>21</v>
      </c>
      <c r="L72">
        <v>21</v>
      </c>
    </row>
    <row r="73" spans="1:12" x14ac:dyDescent="0.6">
      <c r="A73">
        <v>601594</v>
      </c>
      <c r="B73">
        <v>6</v>
      </c>
      <c r="C73">
        <v>1594</v>
      </c>
      <c r="D73" t="s">
        <v>313</v>
      </c>
      <c r="E73" t="s">
        <v>314</v>
      </c>
      <c r="F73" s="5">
        <v>4014964</v>
      </c>
      <c r="G73" s="2" t="s">
        <v>447</v>
      </c>
      <c r="H73" s="2" t="s">
        <v>447</v>
      </c>
      <c r="I73" s="1" t="s">
        <v>447</v>
      </c>
      <c r="J73" t="s">
        <v>447</v>
      </c>
      <c r="K73" t="s">
        <v>447</v>
      </c>
      <c r="L73" t="s">
        <v>447</v>
      </c>
    </row>
    <row r="74" spans="1:12" x14ac:dyDescent="0.6">
      <c r="A74">
        <v>600516</v>
      </c>
      <c r="B74">
        <v>6</v>
      </c>
      <c r="C74">
        <v>516</v>
      </c>
      <c r="D74" t="s">
        <v>559</v>
      </c>
      <c r="E74" t="s">
        <v>560</v>
      </c>
      <c r="F74" s="5">
        <v>3954651</v>
      </c>
      <c r="G74" s="2">
        <f>(56.1+49)/2</f>
        <v>52.55</v>
      </c>
      <c r="H74" s="2">
        <f>(34+30)/2</f>
        <v>32</v>
      </c>
      <c r="I74" s="1">
        <f>(12.75+14.4+13+14.37)/4</f>
        <v>13.629999999999999</v>
      </c>
      <c r="J74">
        <v>21</v>
      </c>
      <c r="K74">
        <v>22</v>
      </c>
      <c r="L74">
        <v>50</v>
      </c>
    </row>
    <row r="75" spans="1:12" x14ac:dyDescent="0.6">
      <c r="A75">
        <v>600504</v>
      </c>
      <c r="B75">
        <v>6</v>
      </c>
      <c r="C75">
        <v>504</v>
      </c>
      <c r="D75" t="s">
        <v>540</v>
      </c>
      <c r="E75" t="s">
        <v>541</v>
      </c>
      <c r="F75" s="5">
        <v>3911814</v>
      </c>
      <c r="G75" s="2">
        <v>50.2</v>
      </c>
      <c r="H75" s="2">
        <f>(48+30+29.6)/3</f>
        <v>35.866666666666667</v>
      </c>
      <c r="I75" s="1">
        <f>(18.25+8.8+19.2)/3</f>
        <v>15.416666666666666</v>
      </c>
      <c r="J75">
        <v>9</v>
      </c>
      <c r="K75">
        <v>39</v>
      </c>
      <c r="L75">
        <v>31</v>
      </c>
    </row>
    <row r="76" spans="1:12" x14ac:dyDescent="0.6">
      <c r="A76">
        <v>690143</v>
      </c>
      <c r="B76">
        <v>6</v>
      </c>
      <c r="C76">
        <v>90143</v>
      </c>
      <c r="D76" t="s">
        <v>1271</v>
      </c>
      <c r="E76" t="s">
        <v>1272</v>
      </c>
      <c r="F76" s="5">
        <v>3837487</v>
      </c>
      <c r="G76" s="2" t="s">
        <v>447</v>
      </c>
      <c r="H76" s="2" t="s">
        <v>447</v>
      </c>
      <c r="I76" s="1" t="s">
        <v>447</v>
      </c>
      <c r="J76" t="s">
        <v>447</v>
      </c>
      <c r="K76" t="s">
        <v>447</v>
      </c>
      <c r="L76" t="s">
        <v>447</v>
      </c>
    </row>
    <row r="77" spans="1:12" x14ac:dyDescent="0.6">
      <c r="A77">
        <v>600096</v>
      </c>
      <c r="B77">
        <v>6</v>
      </c>
      <c r="C77">
        <v>96</v>
      </c>
      <c r="D77" t="s">
        <v>633</v>
      </c>
      <c r="E77" t="s">
        <v>634</v>
      </c>
      <c r="F77" s="5">
        <v>3836304</v>
      </c>
      <c r="G77" s="2">
        <v>58</v>
      </c>
      <c r="H77" s="2">
        <v>30</v>
      </c>
      <c r="I77" s="1">
        <f>(23+23.7)/2</f>
        <v>23.35</v>
      </c>
      <c r="J77">
        <v>4</v>
      </c>
      <c r="K77">
        <v>4</v>
      </c>
      <c r="L77">
        <v>21</v>
      </c>
    </row>
    <row r="78" spans="1:12" x14ac:dyDescent="0.6">
      <c r="A78">
        <v>690052</v>
      </c>
      <c r="B78">
        <v>6</v>
      </c>
      <c r="C78">
        <v>90052</v>
      </c>
      <c r="D78" t="s">
        <v>1197</v>
      </c>
      <c r="E78" t="s">
        <v>1198</v>
      </c>
      <c r="F78" s="5">
        <v>3833564</v>
      </c>
      <c r="G78" s="2" t="s">
        <v>447</v>
      </c>
      <c r="H78" s="2" t="s">
        <v>447</v>
      </c>
      <c r="I78" s="1">
        <f>(18.06+15.55)/2</f>
        <v>16.805</v>
      </c>
      <c r="J78" t="s">
        <v>447</v>
      </c>
      <c r="K78" t="s">
        <v>447</v>
      </c>
      <c r="L78">
        <v>55</v>
      </c>
    </row>
    <row r="79" spans="1:12" x14ac:dyDescent="0.6">
      <c r="A79">
        <v>600548</v>
      </c>
      <c r="B79">
        <v>6</v>
      </c>
      <c r="C79">
        <v>548</v>
      </c>
      <c r="D79" t="s">
        <v>92</v>
      </c>
      <c r="E79" t="s">
        <v>93</v>
      </c>
      <c r="F79" s="5">
        <v>3723453</v>
      </c>
      <c r="G79" s="2">
        <v>62</v>
      </c>
      <c r="H79" s="2">
        <v>51</v>
      </c>
      <c r="I79" s="1">
        <v>20.2</v>
      </c>
      <c r="J79">
        <v>4</v>
      </c>
      <c r="K79">
        <v>4</v>
      </c>
      <c r="L79">
        <v>4</v>
      </c>
    </row>
    <row r="80" spans="1:12" x14ac:dyDescent="0.6">
      <c r="A80">
        <v>601825</v>
      </c>
      <c r="B80">
        <v>6</v>
      </c>
      <c r="C80">
        <v>1825</v>
      </c>
      <c r="D80" t="s">
        <v>347</v>
      </c>
      <c r="E80" t="s">
        <v>348</v>
      </c>
      <c r="F80" s="5">
        <v>3601716</v>
      </c>
      <c r="G80" s="2" t="s">
        <v>447</v>
      </c>
      <c r="H80" s="2">
        <v>43.3</v>
      </c>
      <c r="I80" s="1">
        <f>(14.75+16.9)/2</f>
        <v>15.824999999999999</v>
      </c>
      <c r="J80" t="s">
        <v>447</v>
      </c>
      <c r="K80">
        <v>1</v>
      </c>
      <c r="L80">
        <v>1</v>
      </c>
    </row>
    <row r="81" spans="1:12" x14ac:dyDescent="0.6">
      <c r="A81">
        <v>690275</v>
      </c>
      <c r="B81">
        <v>6</v>
      </c>
      <c r="C81">
        <v>90275</v>
      </c>
      <c r="D81" t="s">
        <v>1369</v>
      </c>
      <c r="E81" t="s">
        <v>1370</v>
      </c>
      <c r="F81" s="5">
        <v>3578678</v>
      </c>
      <c r="G81" s="2">
        <f>(18+32)/2</f>
        <v>25</v>
      </c>
      <c r="H81" s="2" t="s">
        <v>447</v>
      </c>
      <c r="I81" s="1">
        <v>10.8</v>
      </c>
      <c r="J81">
        <v>25</v>
      </c>
      <c r="K81" t="s">
        <v>447</v>
      </c>
      <c r="L81">
        <v>4</v>
      </c>
    </row>
    <row r="82" spans="1:12" x14ac:dyDescent="0.6">
      <c r="A82">
        <v>600121</v>
      </c>
      <c r="B82">
        <v>6</v>
      </c>
      <c r="C82">
        <v>121</v>
      </c>
      <c r="D82" t="s">
        <v>665</v>
      </c>
      <c r="E82" t="s">
        <v>666</v>
      </c>
      <c r="F82" s="5">
        <v>3510900</v>
      </c>
      <c r="G82" s="2">
        <f>(71.8+67)/2</f>
        <v>69.400000000000006</v>
      </c>
      <c r="H82" s="2">
        <v>57</v>
      </c>
      <c r="I82" s="1">
        <f>(20.8+21.05+21+17.6+20)/5</f>
        <v>20.09</v>
      </c>
      <c r="J82">
        <v>21</v>
      </c>
      <c r="K82">
        <v>4</v>
      </c>
      <c r="L82">
        <v>21</v>
      </c>
    </row>
    <row r="83" spans="1:12" x14ac:dyDescent="0.6">
      <c r="A83">
        <v>601455</v>
      </c>
      <c r="B83">
        <v>6</v>
      </c>
      <c r="C83">
        <v>1455</v>
      </c>
      <c r="D83" t="s">
        <v>259</v>
      </c>
      <c r="E83" t="s">
        <v>260</v>
      </c>
      <c r="F83" s="5">
        <v>3441980</v>
      </c>
      <c r="G83" s="2" t="s">
        <v>447</v>
      </c>
      <c r="H83" s="2" t="s">
        <v>447</v>
      </c>
      <c r="I83" s="1">
        <f>(17.4+21.3)/2</f>
        <v>19.350000000000001</v>
      </c>
      <c r="J83" t="s">
        <v>447</v>
      </c>
      <c r="K83" t="s">
        <v>447</v>
      </c>
      <c r="L83">
        <v>1</v>
      </c>
    </row>
    <row r="84" spans="1:12" x14ac:dyDescent="0.6">
      <c r="A84">
        <v>601508</v>
      </c>
      <c r="B84">
        <v>6</v>
      </c>
      <c r="C84">
        <v>1508</v>
      </c>
      <c r="D84" t="s">
        <v>285</v>
      </c>
      <c r="E84" t="s">
        <v>286</v>
      </c>
      <c r="F84" s="5">
        <v>3402623</v>
      </c>
      <c r="G84" s="2">
        <v>65</v>
      </c>
      <c r="H84" s="2">
        <v>53</v>
      </c>
      <c r="I84" s="1">
        <v>20.2</v>
      </c>
      <c r="J84">
        <v>4</v>
      </c>
      <c r="K84">
        <v>4</v>
      </c>
      <c r="L84">
        <v>4</v>
      </c>
    </row>
    <row r="85" spans="1:12" x14ac:dyDescent="0.6">
      <c r="A85">
        <v>600320</v>
      </c>
      <c r="B85">
        <v>6</v>
      </c>
      <c r="C85">
        <v>320</v>
      </c>
      <c r="D85" t="s">
        <v>922</v>
      </c>
      <c r="E85" t="s">
        <v>923</v>
      </c>
      <c r="F85" s="5">
        <v>3295776</v>
      </c>
      <c r="G85" s="2">
        <f>(51.5+49)/2</f>
        <v>50.25</v>
      </c>
      <c r="H85" s="2">
        <v>28</v>
      </c>
      <c r="I85" s="1">
        <f>(15.4+18.9+18.4)/3</f>
        <v>17.566666666666666</v>
      </c>
      <c r="J85">
        <v>21</v>
      </c>
      <c r="K85">
        <v>4</v>
      </c>
      <c r="L85">
        <v>21</v>
      </c>
    </row>
    <row r="86" spans="1:12" x14ac:dyDescent="0.6">
      <c r="A86">
        <v>600298</v>
      </c>
      <c r="B86">
        <v>6</v>
      </c>
      <c r="C86">
        <v>298</v>
      </c>
      <c r="D86" t="s">
        <v>887</v>
      </c>
      <c r="E86" t="s">
        <v>888</v>
      </c>
      <c r="F86" s="5">
        <v>3145368</v>
      </c>
      <c r="G86" s="2" t="s">
        <v>447</v>
      </c>
      <c r="H86" s="2" t="s">
        <v>447</v>
      </c>
      <c r="I86" s="1">
        <f>(20+17.05)/2</f>
        <v>18.524999999999999</v>
      </c>
      <c r="J86" t="s">
        <v>447</v>
      </c>
      <c r="K86" t="s">
        <v>447</v>
      </c>
      <c r="L86">
        <v>1</v>
      </c>
    </row>
    <row r="87" spans="1:12" x14ac:dyDescent="0.6">
      <c r="A87">
        <v>690088</v>
      </c>
      <c r="B87">
        <v>6</v>
      </c>
      <c r="C87">
        <v>90088</v>
      </c>
      <c r="D87" t="s">
        <v>1235</v>
      </c>
      <c r="E87" t="s">
        <v>1236</v>
      </c>
      <c r="F87" s="5">
        <v>3115464</v>
      </c>
      <c r="G87" s="2">
        <f>(65+79+59)/3</f>
        <v>67.666666666666671</v>
      </c>
      <c r="H87" s="2" t="s">
        <v>447</v>
      </c>
      <c r="I87" s="1">
        <f>(17.9+19+14.9)/3</f>
        <v>17.266666666666666</v>
      </c>
      <c r="J87">
        <v>35</v>
      </c>
      <c r="K87" t="s">
        <v>447</v>
      </c>
      <c r="L87">
        <v>53</v>
      </c>
    </row>
    <row r="88" spans="1:12" x14ac:dyDescent="0.6">
      <c r="A88">
        <v>604239</v>
      </c>
      <c r="B88">
        <v>6</v>
      </c>
      <c r="C88">
        <v>4239</v>
      </c>
      <c r="D88" t="s">
        <v>787</v>
      </c>
      <c r="E88" t="s">
        <v>788</v>
      </c>
      <c r="F88" s="5">
        <v>3103040</v>
      </c>
      <c r="G88" s="2">
        <f>(49.4+49)/2</f>
        <v>49.2</v>
      </c>
      <c r="H88" s="2">
        <v>34</v>
      </c>
      <c r="I88" s="1">
        <f>(15.45+15.5+17.6)/3</f>
        <v>16.183333333333334</v>
      </c>
      <c r="J88">
        <v>21</v>
      </c>
      <c r="K88">
        <v>4</v>
      </c>
      <c r="L88">
        <v>21</v>
      </c>
    </row>
    <row r="89" spans="1:12" x14ac:dyDescent="0.6">
      <c r="A89">
        <v>600520</v>
      </c>
      <c r="B89">
        <v>6</v>
      </c>
      <c r="C89">
        <v>520</v>
      </c>
      <c r="D89" t="s">
        <v>68</v>
      </c>
      <c r="E89" t="s">
        <v>69</v>
      </c>
      <c r="F89" s="5">
        <v>3102130</v>
      </c>
      <c r="G89" s="2">
        <v>49</v>
      </c>
      <c r="H89" s="2">
        <f>(42+34+25+35)/4</f>
        <v>34</v>
      </c>
      <c r="I89" s="1">
        <f>(15+14.9+17.6)/3</f>
        <v>15.833333333333334</v>
      </c>
      <c r="J89">
        <v>4</v>
      </c>
      <c r="K89">
        <v>48</v>
      </c>
      <c r="L89">
        <v>21</v>
      </c>
    </row>
    <row r="90" spans="1:12" x14ac:dyDescent="0.6">
      <c r="A90">
        <v>600329</v>
      </c>
      <c r="B90">
        <v>6</v>
      </c>
      <c r="C90">
        <v>329</v>
      </c>
      <c r="D90" t="s">
        <v>938</v>
      </c>
      <c r="E90" t="s">
        <v>939</v>
      </c>
      <c r="F90" s="5">
        <v>3021077</v>
      </c>
      <c r="G90" s="2">
        <v>52.7</v>
      </c>
      <c r="H90" s="2" t="s">
        <v>447</v>
      </c>
      <c r="I90" s="1">
        <v>16.899999999999999</v>
      </c>
      <c r="J90">
        <v>1</v>
      </c>
      <c r="K90" t="s">
        <v>447</v>
      </c>
      <c r="L90">
        <v>1</v>
      </c>
    </row>
    <row r="91" spans="1:12" x14ac:dyDescent="0.6">
      <c r="A91">
        <v>601939</v>
      </c>
      <c r="B91">
        <v>6</v>
      </c>
      <c r="C91">
        <v>1939</v>
      </c>
      <c r="D91" t="s">
        <v>722</v>
      </c>
      <c r="E91" t="s">
        <v>723</v>
      </c>
      <c r="F91" s="5">
        <v>2983303</v>
      </c>
      <c r="G91" s="2">
        <v>52</v>
      </c>
      <c r="H91" s="2">
        <f>(53.8+52)/2</f>
        <v>52.9</v>
      </c>
      <c r="I91" s="1">
        <f>(22+20.4+21.3)/3</f>
        <v>21.233333333333334</v>
      </c>
      <c r="J91">
        <v>4</v>
      </c>
      <c r="K91">
        <v>21</v>
      </c>
      <c r="L91">
        <v>21</v>
      </c>
    </row>
    <row r="92" spans="1:12" x14ac:dyDescent="0.6">
      <c r="A92">
        <v>690060</v>
      </c>
      <c r="B92">
        <v>6</v>
      </c>
      <c r="C92">
        <v>90060</v>
      </c>
      <c r="D92" t="s">
        <v>1207</v>
      </c>
      <c r="E92" t="s">
        <v>1208</v>
      </c>
      <c r="F92" s="5">
        <v>2917721</v>
      </c>
      <c r="G92" s="2">
        <v>24</v>
      </c>
      <c r="H92" s="2" t="s">
        <v>447</v>
      </c>
      <c r="I92" s="1">
        <v>11.2</v>
      </c>
      <c r="J92">
        <v>4</v>
      </c>
      <c r="K92" t="s">
        <v>447</v>
      </c>
      <c r="L92">
        <v>4</v>
      </c>
    </row>
    <row r="93" spans="1:12" x14ac:dyDescent="0.6">
      <c r="A93">
        <v>690265</v>
      </c>
      <c r="B93">
        <v>6</v>
      </c>
      <c r="C93">
        <v>90265</v>
      </c>
      <c r="D93" t="s">
        <v>1353</v>
      </c>
      <c r="E93" t="s">
        <v>1354</v>
      </c>
      <c r="F93" s="5">
        <v>2894792</v>
      </c>
      <c r="G93" s="2">
        <v>57</v>
      </c>
      <c r="H93" s="2" t="s">
        <v>447</v>
      </c>
      <c r="I93" s="1">
        <f>(20.5+20.3)/2</f>
        <v>20.399999999999999</v>
      </c>
      <c r="J93">
        <v>4</v>
      </c>
      <c r="K93" t="s">
        <v>447</v>
      </c>
      <c r="L93">
        <v>52</v>
      </c>
    </row>
    <row r="94" spans="1:12" x14ac:dyDescent="0.6">
      <c r="A94">
        <v>607620</v>
      </c>
      <c r="B94">
        <v>6</v>
      </c>
      <c r="C94">
        <v>7620</v>
      </c>
      <c r="D94" t="s">
        <v>1121</v>
      </c>
      <c r="E94" t="s">
        <v>1122</v>
      </c>
      <c r="F94" s="5">
        <v>2813391</v>
      </c>
      <c r="G94" s="2">
        <v>44</v>
      </c>
      <c r="H94" s="2" t="s">
        <v>447</v>
      </c>
      <c r="I94" s="1">
        <v>19.8</v>
      </c>
      <c r="J94">
        <v>1</v>
      </c>
      <c r="K94" t="s">
        <v>447</v>
      </c>
      <c r="L94">
        <v>1</v>
      </c>
    </row>
    <row r="95" spans="1:12" x14ac:dyDescent="0.6">
      <c r="A95">
        <v>600374</v>
      </c>
      <c r="B95">
        <v>6</v>
      </c>
      <c r="C95">
        <v>374</v>
      </c>
      <c r="D95" t="s">
        <v>999</v>
      </c>
      <c r="E95" t="s">
        <v>1000</v>
      </c>
      <c r="F95" s="5">
        <v>2732651</v>
      </c>
      <c r="G95" s="2">
        <f>(55.15+52)/2</f>
        <v>53.575000000000003</v>
      </c>
      <c r="H95" s="2">
        <v>52</v>
      </c>
      <c r="I95" s="1">
        <f>(21.25+21.9+21.3)/3</f>
        <v>21.483333333333334</v>
      </c>
      <c r="J95">
        <v>21</v>
      </c>
      <c r="K95">
        <v>4</v>
      </c>
      <c r="L95">
        <v>21</v>
      </c>
    </row>
    <row r="96" spans="1:12" x14ac:dyDescent="0.6">
      <c r="A96">
        <v>606479</v>
      </c>
      <c r="B96">
        <v>6</v>
      </c>
      <c r="C96">
        <v>6479</v>
      </c>
      <c r="D96" t="s">
        <v>855</v>
      </c>
      <c r="E96" t="s">
        <v>856</v>
      </c>
      <c r="F96" s="5">
        <v>2720735</v>
      </c>
      <c r="G96" s="2">
        <v>53</v>
      </c>
      <c r="H96" s="2" t="s">
        <v>447</v>
      </c>
      <c r="I96" s="1">
        <v>20.399999999999999</v>
      </c>
      <c r="J96">
        <v>1</v>
      </c>
      <c r="K96" t="s">
        <v>447</v>
      </c>
      <c r="L96">
        <v>1</v>
      </c>
    </row>
    <row r="97" spans="1:12" x14ac:dyDescent="0.6">
      <c r="A97">
        <v>601470</v>
      </c>
      <c r="B97">
        <v>6</v>
      </c>
      <c r="C97">
        <v>1470</v>
      </c>
      <c r="D97" t="s">
        <v>267</v>
      </c>
      <c r="E97" t="s">
        <v>268</v>
      </c>
      <c r="F97" s="5">
        <v>2580013</v>
      </c>
      <c r="G97" s="2">
        <v>56</v>
      </c>
      <c r="H97" s="2">
        <v>50</v>
      </c>
      <c r="I97" s="1">
        <v>17.100000000000001</v>
      </c>
      <c r="J97">
        <v>4</v>
      </c>
      <c r="K97">
        <v>4</v>
      </c>
      <c r="L97">
        <v>4</v>
      </c>
    </row>
    <row r="98" spans="1:12" x14ac:dyDescent="0.6">
      <c r="A98">
        <v>690379</v>
      </c>
      <c r="B98">
        <v>6</v>
      </c>
      <c r="C98">
        <v>90379</v>
      </c>
      <c r="D98" t="s">
        <v>22</v>
      </c>
      <c r="E98" t="s">
        <v>23</v>
      </c>
      <c r="F98" s="5">
        <v>2571967</v>
      </c>
      <c r="G98" s="2" t="s">
        <v>447</v>
      </c>
      <c r="H98" s="2" t="s">
        <v>447</v>
      </c>
      <c r="I98" s="1" t="s">
        <v>447</v>
      </c>
      <c r="J98" t="s">
        <v>447</v>
      </c>
      <c r="K98" t="s">
        <v>447</v>
      </c>
      <c r="L98" t="s">
        <v>447</v>
      </c>
    </row>
    <row r="99" spans="1:12" x14ac:dyDescent="0.6">
      <c r="A99">
        <v>600148</v>
      </c>
      <c r="B99">
        <v>6</v>
      </c>
      <c r="C99">
        <v>148</v>
      </c>
      <c r="D99" t="s">
        <v>699</v>
      </c>
      <c r="E99" t="s">
        <v>700</v>
      </c>
      <c r="F99" s="5">
        <v>2566252</v>
      </c>
      <c r="G99" s="2">
        <f>(10+47.6)/2</f>
        <v>28.8</v>
      </c>
      <c r="H99" s="2" t="s">
        <v>447</v>
      </c>
      <c r="I99" s="1">
        <f>(24.2+23.8+23.7)/3</f>
        <v>23.900000000000002</v>
      </c>
      <c r="J99">
        <v>1</v>
      </c>
      <c r="K99" t="s">
        <v>447</v>
      </c>
      <c r="L99">
        <v>1</v>
      </c>
    </row>
    <row r="100" spans="1:12" x14ac:dyDescent="0.6">
      <c r="A100">
        <v>600113</v>
      </c>
      <c r="B100">
        <v>6</v>
      </c>
      <c r="C100">
        <v>113</v>
      </c>
      <c r="D100" t="s">
        <v>649</v>
      </c>
      <c r="E100" t="s">
        <v>650</v>
      </c>
      <c r="F100" s="5">
        <v>2433653</v>
      </c>
      <c r="G100" s="2" t="s">
        <v>447</v>
      </c>
      <c r="H100" s="2" t="s">
        <v>447</v>
      </c>
      <c r="I100" s="1">
        <f>(22.9+24.7)/2</f>
        <v>23.799999999999997</v>
      </c>
      <c r="J100" t="s">
        <v>447</v>
      </c>
      <c r="K100" t="s">
        <v>447</v>
      </c>
      <c r="L100">
        <v>49</v>
      </c>
    </row>
    <row r="101" spans="1:12" x14ac:dyDescent="0.6">
      <c r="A101">
        <v>600033</v>
      </c>
      <c r="B101">
        <v>6</v>
      </c>
      <c r="C101">
        <v>33</v>
      </c>
      <c r="D101" t="s">
        <v>596</v>
      </c>
      <c r="E101" t="s">
        <v>597</v>
      </c>
      <c r="F101" s="5">
        <v>2394417</v>
      </c>
      <c r="G101" s="2" t="s">
        <v>447</v>
      </c>
      <c r="H101" s="2" t="s">
        <v>447</v>
      </c>
      <c r="I101" s="1">
        <f>(18.8+18.99)/2</f>
        <v>18.895</v>
      </c>
      <c r="J101" t="s">
        <v>447</v>
      </c>
      <c r="K101" t="s">
        <v>447</v>
      </c>
      <c r="L101">
        <v>49</v>
      </c>
    </row>
    <row r="102" spans="1:12" x14ac:dyDescent="0.6">
      <c r="A102">
        <v>608556</v>
      </c>
      <c r="B102">
        <v>6</v>
      </c>
      <c r="C102">
        <v>8556</v>
      </c>
      <c r="D102" t="s">
        <v>1127</v>
      </c>
      <c r="E102" t="s">
        <v>1128</v>
      </c>
      <c r="F102" s="5">
        <v>2363348</v>
      </c>
      <c r="G102" s="2" t="s">
        <v>447</v>
      </c>
      <c r="H102" s="2">
        <f>(47.5+35)/2</f>
        <v>41.25</v>
      </c>
      <c r="I102" s="1">
        <v>18.84</v>
      </c>
      <c r="J102" t="s">
        <v>447</v>
      </c>
      <c r="K102">
        <v>47</v>
      </c>
      <c r="L102">
        <v>16</v>
      </c>
    </row>
    <row r="103" spans="1:12" x14ac:dyDescent="0.6">
      <c r="A103">
        <v>690050</v>
      </c>
      <c r="B103">
        <v>6</v>
      </c>
      <c r="C103">
        <v>90050</v>
      </c>
      <c r="D103" t="s">
        <v>1193</v>
      </c>
      <c r="E103" t="s">
        <v>1194</v>
      </c>
      <c r="F103" s="5">
        <v>2358029</v>
      </c>
      <c r="G103" s="2" t="s">
        <v>447</v>
      </c>
      <c r="H103" s="2" t="s">
        <v>447</v>
      </c>
      <c r="I103" s="1" t="s">
        <v>447</v>
      </c>
      <c r="J103" t="s">
        <v>447</v>
      </c>
      <c r="K103" t="s">
        <v>447</v>
      </c>
      <c r="L103" t="s">
        <v>447</v>
      </c>
    </row>
    <row r="104" spans="1:12" x14ac:dyDescent="0.6">
      <c r="A104">
        <v>600226</v>
      </c>
      <c r="B104">
        <v>6</v>
      </c>
      <c r="C104">
        <v>226</v>
      </c>
      <c r="D104" t="s">
        <v>421</v>
      </c>
      <c r="E104" t="s">
        <v>422</v>
      </c>
      <c r="F104" s="5">
        <v>2267750</v>
      </c>
      <c r="G104" s="2">
        <v>67.900000000000006</v>
      </c>
      <c r="H104" s="2" t="s">
        <v>447</v>
      </c>
      <c r="I104" s="1">
        <v>18</v>
      </c>
      <c r="J104">
        <v>1</v>
      </c>
      <c r="K104" t="s">
        <v>447</v>
      </c>
      <c r="L104">
        <v>1</v>
      </c>
    </row>
    <row r="105" spans="1:12" x14ac:dyDescent="0.6">
      <c r="A105">
        <v>601510</v>
      </c>
      <c r="B105">
        <v>6</v>
      </c>
      <c r="C105">
        <v>1510</v>
      </c>
      <c r="D105" t="s">
        <v>287</v>
      </c>
      <c r="E105" t="s">
        <v>288</v>
      </c>
      <c r="F105" s="5">
        <v>2256690</v>
      </c>
      <c r="G105" s="2" t="s">
        <v>447</v>
      </c>
      <c r="H105" s="2" t="s">
        <v>447</v>
      </c>
      <c r="I105" s="1" t="s">
        <v>447</v>
      </c>
      <c r="J105" t="s">
        <v>447</v>
      </c>
      <c r="K105" t="s">
        <v>447</v>
      </c>
      <c r="L105" t="s">
        <v>447</v>
      </c>
    </row>
    <row r="106" spans="1:12" x14ac:dyDescent="0.6">
      <c r="A106">
        <v>690010</v>
      </c>
      <c r="B106">
        <v>6</v>
      </c>
      <c r="C106">
        <v>90010</v>
      </c>
      <c r="D106" t="s">
        <v>1155</v>
      </c>
      <c r="E106" t="s">
        <v>1156</v>
      </c>
      <c r="F106" s="5">
        <v>2155456</v>
      </c>
      <c r="G106" s="2">
        <v>30</v>
      </c>
      <c r="H106" s="2" t="s">
        <v>447</v>
      </c>
      <c r="I106" s="1">
        <v>18.8</v>
      </c>
      <c r="J106">
        <v>15</v>
      </c>
      <c r="K106" t="s">
        <v>447</v>
      </c>
      <c r="L106">
        <v>16</v>
      </c>
    </row>
    <row r="107" spans="1:12" x14ac:dyDescent="0.6">
      <c r="A107">
        <v>600147</v>
      </c>
      <c r="B107">
        <v>6</v>
      </c>
      <c r="C107">
        <v>147</v>
      </c>
      <c r="D107" t="s">
        <v>697</v>
      </c>
      <c r="E107" t="s">
        <v>698</v>
      </c>
      <c r="F107" s="5">
        <v>2140175</v>
      </c>
      <c r="G107" s="2">
        <f>(63.6+58)/2</f>
        <v>60.8</v>
      </c>
      <c r="H107" s="2">
        <v>30</v>
      </c>
      <c r="I107" s="1">
        <f>(18.8+23.3+23.7)/3</f>
        <v>21.933333333333334</v>
      </c>
      <c r="J107">
        <v>21</v>
      </c>
      <c r="K107">
        <v>4</v>
      </c>
      <c r="L107">
        <v>21</v>
      </c>
    </row>
    <row r="108" spans="1:12" x14ac:dyDescent="0.6">
      <c r="A108">
        <v>690087</v>
      </c>
      <c r="B108">
        <v>6</v>
      </c>
      <c r="C108">
        <v>90087</v>
      </c>
      <c r="D108" t="s">
        <v>1233</v>
      </c>
      <c r="E108" t="s">
        <v>1234</v>
      </c>
      <c r="F108" s="5">
        <v>2095813</v>
      </c>
      <c r="G108" s="2">
        <v>20</v>
      </c>
      <c r="H108" s="2" t="s">
        <v>447</v>
      </c>
      <c r="I108" s="1" t="s">
        <v>447</v>
      </c>
      <c r="J108">
        <v>7</v>
      </c>
      <c r="K108" t="s">
        <v>447</v>
      </c>
      <c r="L108" t="s">
        <v>447</v>
      </c>
    </row>
    <row r="109" spans="1:12" x14ac:dyDescent="0.6">
      <c r="A109">
        <v>606426</v>
      </c>
      <c r="B109">
        <v>6</v>
      </c>
      <c r="C109">
        <v>6426</v>
      </c>
      <c r="D109" t="s">
        <v>851</v>
      </c>
      <c r="E109" t="s">
        <v>852</v>
      </c>
      <c r="F109" s="5">
        <v>1964310</v>
      </c>
      <c r="G109" s="2" t="s">
        <v>447</v>
      </c>
      <c r="H109" s="2" t="s">
        <v>447</v>
      </c>
      <c r="I109" s="1">
        <v>20.2</v>
      </c>
      <c r="J109" t="s">
        <v>447</v>
      </c>
      <c r="K109" t="s">
        <v>447</v>
      </c>
      <c r="L109">
        <v>17</v>
      </c>
    </row>
    <row r="110" spans="1:12" x14ac:dyDescent="0.6">
      <c r="A110">
        <v>690151</v>
      </c>
      <c r="B110">
        <v>6</v>
      </c>
      <c r="C110">
        <v>90151</v>
      </c>
      <c r="D110" t="s">
        <v>1275</v>
      </c>
      <c r="E110" t="s">
        <v>1276</v>
      </c>
      <c r="F110" s="5">
        <v>1938995</v>
      </c>
      <c r="G110" s="2">
        <v>57</v>
      </c>
      <c r="H110" s="2" t="s">
        <v>447</v>
      </c>
      <c r="I110" s="1">
        <v>20.5</v>
      </c>
      <c r="J110">
        <v>4</v>
      </c>
      <c r="K110" t="s">
        <v>447</v>
      </c>
      <c r="L110">
        <v>4</v>
      </c>
    </row>
    <row r="111" spans="1:12" x14ac:dyDescent="0.6">
      <c r="A111">
        <v>600381</v>
      </c>
      <c r="B111">
        <v>6</v>
      </c>
      <c r="C111">
        <v>381</v>
      </c>
      <c r="D111" t="s">
        <v>1007</v>
      </c>
      <c r="E111" t="s">
        <v>1008</v>
      </c>
      <c r="F111" s="5">
        <v>1931286</v>
      </c>
      <c r="G111" s="2">
        <v>53</v>
      </c>
      <c r="H111" s="2">
        <v>46</v>
      </c>
      <c r="I111" s="1">
        <f>(21.4+22)/2</f>
        <v>21.7</v>
      </c>
      <c r="J111">
        <v>4</v>
      </c>
      <c r="K111">
        <v>4</v>
      </c>
      <c r="L111">
        <v>21</v>
      </c>
    </row>
    <row r="112" spans="1:12" x14ac:dyDescent="0.6">
      <c r="A112">
        <v>601596</v>
      </c>
      <c r="B112">
        <v>6</v>
      </c>
      <c r="C112">
        <v>1596</v>
      </c>
      <c r="D112" t="s">
        <v>317</v>
      </c>
      <c r="E112" t="s">
        <v>318</v>
      </c>
      <c r="F112" s="5">
        <v>1928992</v>
      </c>
      <c r="G112" s="2" t="s">
        <v>447</v>
      </c>
      <c r="H112" s="2" t="s">
        <v>447</v>
      </c>
      <c r="I112" s="1" t="s">
        <v>447</v>
      </c>
      <c r="J112" t="s">
        <v>447</v>
      </c>
      <c r="K112" t="s">
        <v>447</v>
      </c>
      <c r="L112" t="s">
        <v>447</v>
      </c>
    </row>
    <row r="113" spans="1:12" x14ac:dyDescent="0.6">
      <c r="A113">
        <v>690270</v>
      </c>
      <c r="B113">
        <v>6</v>
      </c>
      <c r="C113">
        <v>90270</v>
      </c>
      <c r="D113" t="s">
        <v>1359</v>
      </c>
      <c r="E113" t="s">
        <v>1360</v>
      </c>
      <c r="F113" s="5">
        <v>1926610</v>
      </c>
      <c r="G113" s="2">
        <v>18</v>
      </c>
      <c r="H113" s="2" t="s">
        <v>447</v>
      </c>
      <c r="I113" s="1">
        <v>10.8</v>
      </c>
      <c r="J113">
        <v>4</v>
      </c>
      <c r="K113" t="s">
        <v>447</v>
      </c>
      <c r="L113">
        <v>4</v>
      </c>
    </row>
    <row r="114" spans="1:12" x14ac:dyDescent="0.6">
      <c r="A114">
        <v>690273</v>
      </c>
      <c r="B114">
        <v>6</v>
      </c>
      <c r="C114">
        <v>90273</v>
      </c>
      <c r="D114" t="s">
        <v>1365</v>
      </c>
      <c r="E114" t="s">
        <v>1366</v>
      </c>
      <c r="F114" s="5">
        <v>1923957</v>
      </c>
      <c r="G114" s="2" t="s">
        <v>447</v>
      </c>
      <c r="H114" s="2" t="s">
        <v>447</v>
      </c>
      <c r="I114" s="1" t="s">
        <v>447</v>
      </c>
      <c r="J114" t="s">
        <v>447</v>
      </c>
      <c r="K114" t="s">
        <v>447</v>
      </c>
      <c r="L114" t="s">
        <v>447</v>
      </c>
    </row>
    <row r="115" spans="1:12" x14ac:dyDescent="0.6">
      <c r="A115">
        <v>600525</v>
      </c>
      <c r="B115">
        <v>6</v>
      </c>
      <c r="C115">
        <v>525</v>
      </c>
      <c r="D115" t="s">
        <v>74</v>
      </c>
      <c r="E115" t="s">
        <v>75</v>
      </c>
      <c r="F115" s="5">
        <v>1907859</v>
      </c>
      <c r="G115" s="2" t="s">
        <v>447</v>
      </c>
      <c r="H115" s="2">
        <v>35</v>
      </c>
      <c r="I115" s="1">
        <v>18.100000000000001</v>
      </c>
      <c r="J115" t="s">
        <v>447</v>
      </c>
      <c r="K115">
        <v>15</v>
      </c>
      <c r="L115">
        <v>1</v>
      </c>
    </row>
    <row r="116" spans="1:12" x14ac:dyDescent="0.6">
      <c r="A116">
        <v>690042</v>
      </c>
      <c r="B116">
        <v>6</v>
      </c>
      <c r="C116">
        <v>90042</v>
      </c>
      <c r="D116" t="s">
        <v>1185</v>
      </c>
      <c r="E116" t="s">
        <v>1186</v>
      </c>
      <c r="F116" s="5">
        <v>1904454</v>
      </c>
      <c r="G116" s="2">
        <v>57</v>
      </c>
      <c r="H116" s="2" t="s">
        <v>447</v>
      </c>
      <c r="I116" s="1">
        <v>20.5</v>
      </c>
      <c r="J116">
        <v>4</v>
      </c>
      <c r="K116" t="s">
        <v>447</v>
      </c>
      <c r="L116">
        <v>4</v>
      </c>
    </row>
    <row r="117" spans="1:12" x14ac:dyDescent="0.6">
      <c r="A117">
        <v>600489</v>
      </c>
      <c r="B117">
        <v>6</v>
      </c>
      <c r="C117">
        <v>489</v>
      </c>
      <c r="D117" t="s">
        <v>521</v>
      </c>
      <c r="E117" t="s">
        <v>522</v>
      </c>
      <c r="F117" s="5">
        <v>1898993</v>
      </c>
      <c r="G117" s="2">
        <f>(60.15+59)/2</f>
        <v>59.575000000000003</v>
      </c>
      <c r="H117" s="2">
        <f>(43.2+46)/2</f>
        <v>44.6</v>
      </c>
      <c r="I117" s="1">
        <f>(21.7+21.75+19.65+18.4+20.1)/5</f>
        <v>20.32</v>
      </c>
      <c r="J117">
        <v>21</v>
      </c>
      <c r="K117">
        <v>21</v>
      </c>
      <c r="L117">
        <v>21</v>
      </c>
    </row>
    <row r="118" spans="1:12" x14ac:dyDescent="0.6">
      <c r="A118">
        <v>690091</v>
      </c>
      <c r="B118">
        <v>6</v>
      </c>
      <c r="C118">
        <v>90091</v>
      </c>
      <c r="D118" t="s">
        <v>1241</v>
      </c>
      <c r="E118" t="s">
        <v>1242</v>
      </c>
      <c r="F118" s="5">
        <v>1878721</v>
      </c>
      <c r="G118" s="2" t="s">
        <v>447</v>
      </c>
      <c r="H118" s="2" t="s">
        <v>447</v>
      </c>
      <c r="I118" s="1">
        <v>19.45</v>
      </c>
      <c r="J118" t="s">
        <v>447</v>
      </c>
      <c r="K118" t="s">
        <v>447</v>
      </c>
      <c r="L118">
        <v>17</v>
      </c>
    </row>
    <row r="119" spans="1:12" x14ac:dyDescent="0.6">
      <c r="A119">
        <v>600139</v>
      </c>
      <c r="B119">
        <v>6</v>
      </c>
      <c r="C119">
        <v>139</v>
      </c>
      <c r="D119" t="s">
        <v>681</v>
      </c>
      <c r="E119" t="s">
        <v>682</v>
      </c>
      <c r="F119" s="5">
        <v>1839125</v>
      </c>
      <c r="G119" s="2">
        <f>(36+36.9)/2</f>
        <v>36.450000000000003</v>
      </c>
      <c r="H119" s="2">
        <v>35</v>
      </c>
      <c r="I119" s="1">
        <f>(18+16.6+15)/3</f>
        <v>16.533333333333335</v>
      </c>
      <c r="J119">
        <v>34</v>
      </c>
      <c r="K119">
        <v>15</v>
      </c>
      <c r="L119">
        <v>31</v>
      </c>
    </row>
    <row r="120" spans="1:12" x14ac:dyDescent="0.6">
      <c r="A120">
        <v>600785</v>
      </c>
      <c r="B120">
        <v>6</v>
      </c>
      <c r="C120">
        <v>785</v>
      </c>
      <c r="D120" t="s">
        <v>126</v>
      </c>
      <c r="E120" t="s">
        <v>127</v>
      </c>
      <c r="F120" s="5">
        <v>1829708</v>
      </c>
      <c r="G120" s="2">
        <v>50</v>
      </c>
      <c r="H120" s="2">
        <v>34</v>
      </c>
      <c r="I120" s="1">
        <f>(20.8+19.8)/2</f>
        <v>20.3</v>
      </c>
      <c r="J120">
        <v>4</v>
      </c>
      <c r="K120">
        <v>4</v>
      </c>
      <c r="L120">
        <v>21</v>
      </c>
    </row>
    <row r="121" spans="1:12" x14ac:dyDescent="0.6">
      <c r="A121">
        <v>690241</v>
      </c>
      <c r="B121">
        <v>6</v>
      </c>
      <c r="C121">
        <v>90241</v>
      </c>
      <c r="D121" t="s">
        <v>1337</v>
      </c>
      <c r="E121" t="s">
        <v>1338</v>
      </c>
      <c r="F121" s="5">
        <v>1818392</v>
      </c>
      <c r="G121" s="2">
        <f>(26+24)/2</f>
        <v>25</v>
      </c>
      <c r="H121" s="2" t="s">
        <v>447</v>
      </c>
      <c r="I121" s="1">
        <v>11.2</v>
      </c>
      <c r="J121">
        <v>22</v>
      </c>
      <c r="K121" t="s">
        <v>447</v>
      </c>
      <c r="L121">
        <v>4</v>
      </c>
    </row>
    <row r="122" spans="1:12" x14ac:dyDescent="0.6">
      <c r="A122">
        <v>600051</v>
      </c>
      <c r="B122">
        <v>6</v>
      </c>
      <c r="C122">
        <v>51</v>
      </c>
      <c r="D122" t="s">
        <v>605</v>
      </c>
      <c r="E122" t="s">
        <v>606</v>
      </c>
      <c r="F122" s="5">
        <v>1795055</v>
      </c>
      <c r="G122" s="2" t="s">
        <v>447</v>
      </c>
      <c r="H122" s="2" t="s">
        <v>447</v>
      </c>
      <c r="I122" s="1">
        <f>(19+18.99)/2</f>
        <v>18.994999999999997</v>
      </c>
      <c r="J122" t="s">
        <v>447</v>
      </c>
      <c r="K122" t="s">
        <v>447</v>
      </c>
      <c r="L122">
        <v>49</v>
      </c>
    </row>
    <row r="123" spans="1:12" x14ac:dyDescent="0.6">
      <c r="A123">
        <v>600716</v>
      </c>
      <c r="B123">
        <v>6</v>
      </c>
      <c r="C123">
        <v>716</v>
      </c>
      <c r="D123" t="s">
        <v>118</v>
      </c>
      <c r="E123" t="s">
        <v>119</v>
      </c>
      <c r="F123" s="5">
        <v>1774214</v>
      </c>
      <c r="G123" s="2" t="s">
        <v>447</v>
      </c>
      <c r="H123" s="2" t="s">
        <v>447</v>
      </c>
      <c r="I123" s="1">
        <v>15.7</v>
      </c>
      <c r="J123" t="s">
        <v>447</v>
      </c>
      <c r="K123" t="s">
        <v>447</v>
      </c>
      <c r="L123">
        <v>1</v>
      </c>
    </row>
    <row r="124" spans="1:12" x14ac:dyDescent="0.6">
      <c r="A124">
        <v>600245</v>
      </c>
      <c r="B124">
        <v>6</v>
      </c>
      <c r="C124">
        <v>245</v>
      </c>
      <c r="D124" t="s">
        <v>863</v>
      </c>
      <c r="E124" t="s">
        <v>864</v>
      </c>
      <c r="F124" s="5">
        <v>1694786</v>
      </c>
      <c r="G124" s="2">
        <v>62</v>
      </c>
      <c r="H124" s="2">
        <f>(51+50+48)/3</f>
        <v>49.666666666666664</v>
      </c>
      <c r="I124" s="1">
        <f>(21.6+20.5)/2</f>
        <v>21.05</v>
      </c>
      <c r="J124">
        <v>4</v>
      </c>
      <c r="K124">
        <v>44</v>
      </c>
      <c r="L124">
        <v>21</v>
      </c>
    </row>
    <row r="125" spans="1:12" x14ac:dyDescent="0.6">
      <c r="A125">
        <v>690272</v>
      </c>
      <c r="B125">
        <v>6</v>
      </c>
      <c r="C125">
        <v>90272</v>
      </c>
      <c r="D125" t="s">
        <v>1363</v>
      </c>
      <c r="E125" t="s">
        <v>1364</v>
      </c>
      <c r="F125" s="5">
        <v>1668704</v>
      </c>
      <c r="G125" s="2">
        <v>57</v>
      </c>
      <c r="H125" s="2" t="s">
        <v>447</v>
      </c>
      <c r="I125" s="1">
        <f>(20.5+20.3)/2</f>
        <v>20.399999999999999</v>
      </c>
      <c r="J125" t="s">
        <v>447</v>
      </c>
      <c r="K125" t="s">
        <v>447</v>
      </c>
      <c r="L125">
        <v>52</v>
      </c>
    </row>
    <row r="126" spans="1:12" x14ac:dyDescent="0.6">
      <c r="A126">
        <v>600396</v>
      </c>
      <c r="B126">
        <v>6</v>
      </c>
      <c r="C126">
        <v>396</v>
      </c>
      <c r="D126" t="s">
        <v>1031</v>
      </c>
      <c r="E126" t="s">
        <v>1032</v>
      </c>
      <c r="F126" s="5">
        <v>1639434</v>
      </c>
      <c r="G126" s="2" t="s">
        <v>447</v>
      </c>
      <c r="H126" s="2">
        <v>36.6</v>
      </c>
      <c r="I126" s="1">
        <v>19.350000000000001</v>
      </c>
      <c r="J126" t="s">
        <v>447</v>
      </c>
      <c r="K126">
        <v>1</v>
      </c>
      <c r="L126">
        <v>1</v>
      </c>
    </row>
    <row r="127" spans="1:12" x14ac:dyDescent="0.6">
      <c r="A127">
        <v>600387</v>
      </c>
      <c r="B127">
        <v>6</v>
      </c>
      <c r="C127">
        <v>387</v>
      </c>
      <c r="D127" t="s">
        <v>1017</v>
      </c>
      <c r="E127" t="s">
        <v>1018</v>
      </c>
      <c r="F127" s="5">
        <v>1626561</v>
      </c>
      <c r="G127" s="2">
        <v>47.9</v>
      </c>
      <c r="H127" s="2" t="s">
        <v>447</v>
      </c>
      <c r="I127" s="1">
        <v>21.95</v>
      </c>
      <c r="J127">
        <v>1</v>
      </c>
      <c r="K127" t="s">
        <v>447</v>
      </c>
      <c r="L127">
        <v>1</v>
      </c>
    </row>
    <row r="128" spans="1:12" x14ac:dyDescent="0.6">
      <c r="A128">
        <v>600319</v>
      </c>
      <c r="B128">
        <v>6</v>
      </c>
      <c r="C128">
        <v>319</v>
      </c>
      <c r="D128" t="s">
        <v>920</v>
      </c>
      <c r="E128" t="s">
        <v>921</v>
      </c>
      <c r="F128" s="5">
        <v>1597484</v>
      </c>
      <c r="G128" s="2">
        <v>38.299999999999997</v>
      </c>
      <c r="H128" s="2" t="s">
        <v>447</v>
      </c>
      <c r="I128" s="1">
        <v>17.7</v>
      </c>
      <c r="J128">
        <v>1</v>
      </c>
      <c r="K128" t="s">
        <v>447</v>
      </c>
      <c r="L128">
        <v>1</v>
      </c>
    </row>
    <row r="129" spans="1:12" x14ac:dyDescent="0.6">
      <c r="A129">
        <v>690055</v>
      </c>
      <c r="B129">
        <v>6</v>
      </c>
      <c r="C129">
        <v>90055</v>
      </c>
      <c r="D129" t="s">
        <v>1203</v>
      </c>
      <c r="E129" t="s">
        <v>1204</v>
      </c>
      <c r="F129" s="5">
        <v>1593257</v>
      </c>
      <c r="G129" s="2" t="s">
        <v>447</v>
      </c>
      <c r="H129" s="2" t="s">
        <v>447</v>
      </c>
      <c r="I129" s="1" t="s">
        <v>447</v>
      </c>
      <c r="J129" t="s">
        <v>447</v>
      </c>
      <c r="K129" t="s">
        <v>447</v>
      </c>
      <c r="L129" t="s">
        <v>447</v>
      </c>
    </row>
    <row r="130" spans="1:12" x14ac:dyDescent="0.6">
      <c r="A130">
        <v>601278</v>
      </c>
      <c r="B130">
        <v>6</v>
      </c>
      <c r="C130">
        <v>1278</v>
      </c>
      <c r="D130" t="s">
        <v>195</v>
      </c>
      <c r="E130" t="s">
        <v>196</v>
      </c>
      <c r="F130" s="5">
        <v>1577448</v>
      </c>
      <c r="G130" s="2">
        <v>52</v>
      </c>
      <c r="H130" s="2">
        <v>46</v>
      </c>
      <c r="I130" s="1">
        <v>19.7</v>
      </c>
      <c r="J130">
        <v>4</v>
      </c>
      <c r="K130">
        <v>4</v>
      </c>
      <c r="L130">
        <v>4</v>
      </c>
    </row>
    <row r="131" spans="1:12" x14ac:dyDescent="0.6">
      <c r="A131">
        <v>690218</v>
      </c>
      <c r="B131">
        <v>6</v>
      </c>
      <c r="C131">
        <v>90218</v>
      </c>
      <c r="D131" t="s">
        <v>1325</v>
      </c>
      <c r="E131" t="s">
        <v>1326</v>
      </c>
      <c r="F131" s="5">
        <v>1564100</v>
      </c>
      <c r="G131" s="2">
        <f>(26+24)/2</f>
        <v>25</v>
      </c>
      <c r="H131" s="2" t="s">
        <v>447</v>
      </c>
      <c r="I131" s="1">
        <v>11.2</v>
      </c>
      <c r="J131">
        <v>22</v>
      </c>
      <c r="K131" t="s">
        <v>447</v>
      </c>
      <c r="L131">
        <v>4</v>
      </c>
    </row>
    <row r="132" spans="1:12" x14ac:dyDescent="0.6">
      <c r="A132">
        <v>600006</v>
      </c>
      <c r="B132">
        <v>6</v>
      </c>
      <c r="C132">
        <v>6</v>
      </c>
      <c r="D132" t="s">
        <v>578</v>
      </c>
      <c r="E132" t="s">
        <v>579</v>
      </c>
      <c r="F132" s="5">
        <v>1559658</v>
      </c>
      <c r="G132" s="2" t="s">
        <v>447</v>
      </c>
      <c r="H132" s="2">
        <v>55.2</v>
      </c>
      <c r="I132" s="1">
        <f>(21.45+18.5+18.5)/3</f>
        <v>19.483333333333334</v>
      </c>
      <c r="J132" t="s">
        <v>447</v>
      </c>
      <c r="K132">
        <v>1</v>
      </c>
      <c r="L132">
        <v>49</v>
      </c>
    </row>
    <row r="133" spans="1:12" x14ac:dyDescent="0.6">
      <c r="A133">
        <v>600145</v>
      </c>
      <c r="B133">
        <v>6</v>
      </c>
      <c r="C133">
        <v>145</v>
      </c>
      <c r="D133" t="s">
        <v>693</v>
      </c>
      <c r="E133" t="s">
        <v>694</v>
      </c>
      <c r="F133" s="5">
        <v>1551616</v>
      </c>
      <c r="G133" s="2">
        <v>58</v>
      </c>
      <c r="H133" s="2">
        <v>30</v>
      </c>
      <c r="I133" s="1">
        <f>(23.5+23.7)/2</f>
        <v>23.6</v>
      </c>
      <c r="J133">
        <v>4</v>
      </c>
      <c r="K133">
        <v>4</v>
      </c>
      <c r="L133">
        <v>21</v>
      </c>
    </row>
    <row r="134" spans="1:12" x14ac:dyDescent="0.6">
      <c r="A134">
        <v>600514</v>
      </c>
      <c r="B134">
        <v>6</v>
      </c>
      <c r="C134">
        <v>514</v>
      </c>
      <c r="D134" t="s">
        <v>557</v>
      </c>
      <c r="E134" t="s">
        <v>558</v>
      </c>
      <c r="F134" s="5">
        <v>1541333</v>
      </c>
      <c r="G134" s="2">
        <v>61.8</v>
      </c>
      <c r="H134" s="2">
        <f>(41+52)/2</f>
        <v>46.5</v>
      </c>
      <c r="I134" s="1">
        <f>(19.05+20.8+20.81)/3</f>
        <v>20.22</v>
      </c>
      <c r="J134">
        <v>1</v>
      </c>
      <c r="K134">
        <v>37</v>
      </c>
      <c r="L134">
        <v>49</v>
      </c>
    </row>
    <row r="135" spans="1:12" x14ac:dyDescent="0.6">
      <c r="A135">
        <v>600115</v>
      </c>
      <c r="B135">
        <v>6</v>
      </c>
      <c r="C135">
        <v>115</v>
      </c>
      <c r="D135" t="s">
        <v>653</v>
      </c>
      <c r="E135" t="s">
        <v>654</v>
      </c>
      <c r="F135" s="5">
        <v>1514696</v>
      </c>
      <c r="G135" s="2" t="s">
        <v>447</v>
      </c>
      <c r="H135" s="2" t="s">
        <v>447</v>
      </c>
      <c r="I135" s="1">
        <f>(22.95+24.7)/2</f>
        <v>23.824999999999999</v>
      </c>
      <c r="J135" t="s">
        <v>447</v>
      </c>
      <c r="K135" t="s">
        <v>447</v>
      </c>
      <c r="L135">
        <v>49</v>
      </c>
    </row>
    <row r="136" spans="1:12" x14ac:dyDescent="0.6">
      <c r="A136">
        <v>600463</v>
      </c>
      <c r="B136">
        <v>6</v>
      </c>
      <c r="C136">
        <v>463</v>
      </c>
      <c r="D136" t="s">
        <v>476</v>
      </c>
      <c r="E136" t="s">
        <v>477</v>
      </c>
      <c r="F136" s="5">
        <v>1513762</v>
      </c>
      <c r="G136" s="2" t="s">
        <v>447</v>
      </c>
      <c r="H136" s="2" t="s">
        <v>447</v>
      </c>
      <c r="I136" s="1" t="s">
        <v>447</v>
      </c>
      <c r="J136" t="s">
        <v>447</v>
      </c>
      <c r="K136" t="s">
        <v>447</v>
      </c>
      <c r="L136" t="s">
        <v>447</v>
      </c>
    </row>
    <row r="137" spans="1:12" x14ac:dyDescent="0.6">
      <c r="A137">
        <v>600521</v>
      </c>
      <c r="B137">
        <v>6</v>
      </c>
      <c r="C137">
        <v>521</v>
      </c>
      <c r="D137" t="s">
        <v>70</v>
      </c>
      <c r="E137" t="s">
        <v>71</v>
      </c>
      <c r="F137" s="5">
        <v>1427063</v>
      </c>
      <c r="G137" s="2" t="s">
        <v>447</v>
      </c>
      <c r="H137" s="2">
        <v>35</v>
      </c>
      <c r="I137" s="1">
        <v>20.399999999999999</v>
      </c>
      <c r="J137" t="s">
        <v>447</v>
      </c>
      <c r="K137">
        <v>15</v>
      </c>
      <c r="L137">
        <v>1</v>
      </c>
    </row>
    <row r="138" spans="1:12" x14ac:dyDescent="0.6">
      <c r="A138">
        <v>601484</v>
      </c>
      <c r="B138">
        <v>6</v>
      </c>
      <c r="C138">
        <v>1484</v>
      </c>
      <c r="D138" t="s">
        <v>277</v>
      </c>
      <c r="E138" t="s">
        <v>278</v>
      </c>
      <c r="F138" s="5">
        <v>1411419</v>
      </c>
      <c r="G138" s="2" t="s">
        <v>447</v>
      </c>
      <c r="H138" s="2" t="s">
        <v>447</v>
      </c>
      <c r="I138" s="1" t="s">
        <v>447</v>
      </c>
      <c r="J138" t="s">
        <v>447</v>
      </c>
      <c r="K138" t="s">
        <v>447</v>
      </c>
      <c r="L138" t="s">
        <v>447</v>
      </c>
    </row>
    <row r="139" spans="1:12" x14ac:dyDescent="0.6">
      <c r="A139">
        <v>690065</v>
      </c>
      <c r="B139">
        <v>6</v>
      </c>
      <c r="C139">
        <v>90065</v>
      </c>
      <c r="D139" t="s">
        <v>1211</v>
      </c>
      <c r="E139" t="s">
        <v>1212</v>
      </c>
      <c r="F139" s="5">
        <v>1397165</v>
      </c>
      <c r="G139" s="2">
        <v>10</v>
      </c>
      <c r="H139" s="2" t="s">
        <v>447</v>
      </c>
      <c r="I139" s="1">
        <v>15.9</v>
      </c>
      <c r="J139">
        <v>2</v>
      </c>
      <c r="K139" t="s">
        <v>447</v>
      </c>
      <c r="L139">
        <v>16</v>
      </c>
    </row>
    <row r="140" spans="1:12" x14ac:dyDescent="0.6">
      <c r="A140">
        <v>602501</v>
      </c>
      <c r="B140">
        <v>6</v>
      </c>
      <c r="C140">
        <v>2501</v>
      </c>
      <c r="D140" t="s">
        <v>740</v>
      </c>
      <c r="E140" t="s">
        <v>741</v>
      </c>
      <c r="F140" s="5">
        <v>1366583</v>
      </c>
      <c r="G140" s="2">
        <v>46.3</v>
      </c>
      <c r="H140" s="2" t="s">
        <v>447</v>
      </c>
      <c r="I140" s="1">
        <f>(15.8+17.6)/2</f>
        <v>16.700000000000003</v>
      </c>
      <c r="J140">
        <v>1</v>
      </c>
      <c r="K140" t="s">
        <v>447</v>
      </c>
      <c r="L140">
        <v>1</v>
      </c>
    </row>
    <row r="141" spans="1:12" x14ac:dyDescent="0.6">
      <c r="A141">
        <v>600302</v>
      </c>
      <c r="B141">
        <v>6</v>
      </c>
      <c r="C141">
        <v>302</v>
      </c>
      <c r="D141" t="s">
        <v>895</v>
      </c>
      <c r="F141" s="5">
        <v>1347947</v>
      </c>
      <c r="H141" s="2" t="s">
        <v>447</v>
      </c>
      <c r="I141" s="1">
        <v>16.399999999999999</v>
      </c>
      <c r="J141" t="s">
        <v>447</v>
      </c>
      <c r="K141" t="s">
        <v>447</v>
      </c>
      <c r="L141">
        <v>17</v>
      </c>
    </row>
    <row r="142" spans="1:12" x14ac:dyDescent="0.6">
      <c r="A142">
        <v>600384</v>
      </c>
      <c r="B142">
        <v>6</v>
      </c>
      <c r="C142">
        <v>384</v>
      </c>
      <c r="D142" t="s">
        <v>1011</v>
      </c>
      <c r="E142" t="s">
        <v>1012</v>
      </c>
      <c r="F142" s="5">
        <v>1343872</v>
      </c>
      <c r="G142" s="2" t="s">
        <v>447</v>
      </c>
      <c r="H142" s="2">
        <v>46.5</v>
      </c>
      <c r="I142" s="1">
        <f>(22.3+20.3+18.5)/3</f>
        <v>20.366666666666667</v>
      </c>
      <c r="J142" t="s">
        <v>447</v>
      </c>
      <c r="K142">
        <v>1</v>
      </c>
      <c r="L142">
        <v>1</v>
      </c>
    </row>
    <row r="143" spans="1:12" x14ac:dyDescent="0.6">
      <c r="A143">
        <v>600491</v>
      </c>
      <c r="B143">
        <v>6</v>
      </c>
      <c r="C143">
        <v>491</v>
      </c>
      <c r="D143" t="s">
        <v>525</v>
      </c>
      <c r="E143" t="s">
        <v>526</v>
      </c>
      <c r="F143" s="5">
        <v>1331487</v>
      </c>
      <c r="G143" s="2" t="s">
        <v>447</v>
      </c>
      <c r="H143" s="2">
        <v>64</v>
      </c>
      <c r="I143" s="1">
        <f>(18.85+19.3)/2</f>
        <v>19.075000000000003</v>
      </c>
      <c r="J143" t="s">
        <v>447</v>
      </c>
      <c r="K143">
        <v>1</v>
      </c>
      <c r="L143">
        <v>1</v>
      </c>
    </row>
    <row r="144" spans="1:12" x14ac:dyDescent="0.6">
      <c r="A144">
        <v>690133</v>
      </c>
      <c r="B144">
        <v>6</v>
      </c>
      <c r="C144">
        <v>90133</v>
      </c>
      <c r="D144" t="s">
        <v>1269</v>
      </c>
      <c r="E144" t="s">
        <v>1270</v>
      </c>
      <c r="F144" s="5">
        <v>1326981</v>
      </c>
      <c r="G144" s="2">
        <v>57</v>
      </c>
      <c r="H144" s="2" t="s">
        <v>447</v>
      </c>
      <c r="I144" s="1">
        <v>20.5</v>
      </c>
      <c r="J144">
        <v>4</v>
      </c>
      <c r="K144" t="s">
        <v>447</v>
      </c>
      <c r="L144">
        <v>4</v>
      </c>
    </row>
    <row r="145" spans="1:12" x14ac:dyDescent="0.6">
      <c r="A145">
        <v>600434</v>
      </c>
      <c r="B145">
        <v>6</v>
      </c>
      <c r="C145">
        <v>434</v>
      </c>
      <c r="D145" t="s">
        <v>1092</v>
      </c>
      <c r="F145" s="5">
        <v>1296368</v>
      </c>
      <c r="G145" s="2" t="s">
        <v>447</v>
      </c>
      <c r="H145" s="2" t="s">
        <v>447</v>
      </c>
      <c r="I145" s="1" t="s">
        <v>447</v>
      </c>
      <c r="J145" t="s">
        <v>447</v>
      </c>
      <c r="K145" t="s">
        <v>447</v>
      </c>
      <c r="L145" t="s">
        <v>447</v>
      </c>
    </row>
    <row r="146" spans="1:12" x14ac:dyDescent="0.6">
      <c r="A146">
        <v>600364</v>
      </c>
      <c r="B146">
        <v>6</v>
      </c>
      <c r="C146">
        <v>364</v>
      </c>
      <c r="D146" t="s">
        <v>985</v>
      </c>
      <c r="E146" t="s">
        <v>986</v>
      </c>
      <c r="F146" s="5">
        <v>1287137</v>
      </c>
      <c r="G146" s="2">
        <v>54</v>
      </c>
      <c r="H146" s="2" t="s">
        <v>447</v>
      </c>
      <c r="I146" s="1">
        <f>(19.7+20+20.04)/3</f>
        <v>19.913333333333334</v>
      </c>
      <c r="J146">
        <v>1</v>
      </c>
      <c r="K146" t="s">
        <v>447</v>
      </c>
      <c r="L146">
        <v>49</v>
      </c>
    </row>
    <row r="147" spans="1:12" x14ac:dyDescent="0.6">
      <c r="A147">
        <v>600218</v>
      </c>
      <c r="B147">
        <v>6</v>
      </c>
      <c r="C147">
        <v>218</v>
      </c>
      <c r="D147" t="s">
        <v>413</v>
      </c>
      <c r="E147" t="s">
        <v>414</v>
      </c>
      <c r="F147" s="5">
        <v>1278174</v>
      </c>
      <c r="G147" s="2">
        <v>67.2</v>
      </c>
      <c r="H147" s="2" t="s">
        <v>447</v>
      </c>
      <c r="I147" s="1">
        <v>20.3</v>
      </c>
      <c r="J147">
        <v>1</v>
      </c>
      <c r="K147" t="s">
        <v>447</v>
      </c>
      <c r="L147">
        <v>1</v>
      </c>
    </row>
    <row r="148" spans="1:12" x14ac:dyDescent="0.6">
      <c r="A148">
        <v>601456</v>
      </c>
      <c r="B148">
        <v>6</v>
      </c>
      <c r="C148">
        <v>1456</v>
      </c>
      <c r="D148" t="s">
        <v>261</v>
      </c>
      <c r="E148" t="s">
        <v>262</v>
      </c>
      <c r="F148" s="5">
        <v>1266912</v>
      </c>
      <c r="G148" s="2" t="s">
        <v>447</v>
      </c>
      <c r="H148" s="2" t="s">
        <v>447</v>
      </c>
      <c r="I148" s="1" t="s">
        <v>447</v>
      </c>
      <c r="J148" t="s">
        <v>447</v>
      </c>
      <c r="K148" t="s">
        <v>447</v>
      </c>
      <c r="L148" t="s">
        <v>447</v>
      </c>
    </row>
    <row r="149" spans="1:12" x14ac:dyDescent="0.6">
      <c r="A149">
        <v>690404</v>
      </c>
      <c r="B149">
        <v>6</v>
      </c>
      <c r="C149">
        <v>90404</v>
      </c>
      <c r="D149" t="s">
        <v>38</v>
      </c>
      <c r="E149" t="s">
        <v>39</v>
      </c>
      <c r="F149" s="5">
        <v>1263451</v>
      </c>
      <c r="G149" s="2">
        <v>18</v>
      </c>
      <c r="H149" s="2" t="s">
        <v>447</v>
      </c>
      <c r="I149" s="1">
        <v>10.8</v>
      </c>
      <c r="J149" t="s">
        <v>447</v>
      </c>
      <c r="K149" t="s">
        <v>447</v>
      </c>
      <c r="L149" t="s">
        <v>447</v>
      </c>
    </row>
    <row r="150" spans="1:12" x14ac:dyDescent="0.6">
      <c r="A150">
        <v>601453</v>
      </c>
      <c r="B150">
        <v>6</v>
      </c>
      <c r="C150">
        <v>1453</v>
      </c>
      <c r="D150" t="s">
        <v>255</v>
      </c>
      <c r="E150" t="s">
        <v>256</v>
      </c>
      <c r="F150" s="5">
        <v>1259710</v>
      </c>
      <c r="G150" s="2" t="s">
        <v>447</v>
      </c>
      <c r="H150" s="2" t="s">
        <v>447</v>
      </c>
      <c r="I150" s="1" t="s">
        <v>447</v>
      </c>
      <c r="J150" t="s">
        <v>447</v>
      </c>
      <c r="K150" t="s">
        <v>447</v>
      </c>
      <c r="L150" t="s">
        <v>447</v>
      </c>
    </row>
    <row r="151" spans="1:12" x14ac:dyDescent="0.6">
      <c r="A151">
        <v>600512</v>
      </c>
      <c r="B151">
        <v>6</v>
      </c>
      <c r="C151">
        <v>512</v>
      </c>
      <c r="D151" t="s">
        <v>553</v>
      </c>
      <c r="E151" t="s">
        <v>554</v>
      </c>
      <c r="F151" s="5">
        <v>1258329</v>
      </c>
      <c r="G151" s="2">
        <f>(59.55+62.8)/2</f>
        <v>61.174999999999997</v>
      </c>
      <c r="H151" s="2">
        <v>35</v>
      </c>
      <c r="I151" s="1">
        <f>(12.15+13.4+12.9)/3</f>
        <v>12.816666666666668</v>
      </c>
      <c r="J151">
        <v>31</v>
      </c>
      <c r="K151">
        <v>2</v>
      </c>
      <c r="L151">
        <v>31</v>
      </c>
    </row>
    <row r="152" spans="1:12" x14ac:dyDescent="0.6">
      <c r="A152">
        <v>600026</v>
      </c>
      <c r="B152">
        <v>6</v>
      </c>
      <c r="C152">
        <v>26</v>
      </c>
      <c r="D152" t="s">
        <v>586</v>
      </c>
      <c r="E152" t="s">
        <v>587</v>
      </c>
      <c r="F152" s="5">
        <v>1232163</v>
      </c>
      <c r="G152" s="2" t="s">
        <v>447</v>
      </c>
      <c r="H152" s="2" t="s">
        <v>447</v>
      </c>
      <c r="I152" s="1">
        <v>17.7</v>
      </c>
      <c r="J152" t="s">
        <v>447</v>
      </c>
      <c r="K152" t="s">
        <v>447</v>
      </c>
      <c r="L152">
        <v>1</v>
      </c>
    </row>
    <row r="153" spans="1:12" x14ac:dyDescent="0.6">
      <c r="A153">
        <v>600203</v>
      </c>
      <c r="B153">
        <v>6</v>
      </c>
      <c r="C153">
        <v>203</v>
      </c>
      <c r="D153" t="s">
        <v>713</v>
      </c>
      <c r="E153" t="s">
        <v>714</v>
      </c>
      <c r="F153" s="5">
        <v>1226567</v>
      </c>
      <c r="G153" s="2" t="s">
        <v>447</v>
      </c>
      <c r="H153" s="2" t="s">
        <v>447</v>
      </c>
      <c r="I153" s="1">
        <f>(21.15+21+16.4)/3</f>
        <v>19.516666666666666</v>
      </c>
      <c r="J153" t="s">
        <v>447</v>
      </c>
      <c r="K153" t="s">
        <v>447</v>
      </c>
      <c r="L153">
        <v>1</v>
      </c>
    </row>
    <row r="154" spans="1:12" x14ac:dyDescent="0.6">
      <c r="A154">
        <v>600315</v>
      </c>
      <c r="B154">
        <v>6</v>
      </c>
      <c r="C154">
        <v>315</v>
      </c>
      <c r="D154" t="s">
        <v>914</v>
      </c>
      <c r="E154" t="s">
        <v>915</v>
      </c>
      <c r="F154" s="5">
        <v>1181609</v>
      </c>
      <c r="G154" s="2" t="s">
        <v>447</v>
      </c>
      <c r="H154" s="2" t="s">
        <v>447</v>
      </c>
      <c r="I154" s="1">
        <v>15.1</v>
      </c>
      <c r="J154" t="s">
        <v>447</v>
      </c>
      <c r="K154" t="s">
        <v>447</v>
      </c>
      <c r="L154">
        <v>1</v>
      </c>
    </row>
    <row r="155" spans="1:12" x14ac:dyDescent="0.6">
      <c r="A155">
        <v>690071</v>
      </c>
      <c r="B155">
        <v>6</v>
      </c>
      <c r="C155">
        <v>90071</v>
      </c>
      <c r="D155" t="s">
        <v>1219</v>
      </c>
      <c r="E155" t="s">
        <v>1220</v>
      </c>
      <c r="F155" s="5">
        <v>1163207</v>
      </c>
      <c r="G155" s="2" t="s">
        <v>447</v>
      </c>
      <c r="H155" s="2" t="s">
        <v>447</v>
      </c>
      <c r="I155" s="1">
        <v>18.899999999999999</v>
      </c>
      <c r="J155" t="s">
        <v>447</v>
      </c>
      <c r="K155" t="s">
        <v>447</v>
      </c>
      <c r="L155">
        <v>17</v>
      </c>
    </row>
    <row r="156" spans="1:12" x14ac:dyDescent="0.6">
      <c r="A156">
        <v>601947</v>
      </c>
      <c r="B156">
        <v>6</v>
      </c>
      <c r="C156">
        <v>1947</v>
      </c>
      <c r="D156" t="s">
        <v>724</v>
      </c>
      <c r="E156" t="s">
        <v>725</v>
      </c>
      <c r="F156" s="5">
        <v>1154299</v>
      </c>
      <c r="G156" s="2" t="s">
        <v>447</v>
      </c>
      <c r="H156" s="2">
        <v>56.3</v>
      </c>
      <c r="I156" s="1">
        <f>(19.5+21.2+19)/3</f>
        <v>19.900000000000002</v>
      </c>
      <c r="J156" t="s">
        <v>447</v>
      </c>
      <c r="K156">
        <v>1</v>
      </c>
      <c r="L156">
        <v>1</v>
      </c>
    </row>
    <row r="157" spans="1:12" x14ac:dyDescent="0.6">
      <c r="A157">
        <v>600474</v>
      </c>
      <c r="B157">
        <v>6</v>
      </c>
      <c r="C157">
        <v>474</v>
      </c>
      <c r="D157" t="s">
        <v>492</v>
      </c>
      <c r="E157" t="s">
        <v>493</v>
      </c>
      <c r="F157" s="5">
        <v>1153794</v>
      </c>
      <c r="G157" s="2" t="s">
        <v>447</v>
      </c>
      <c r="H157" s="2" t="s">
        <v>447</v>
      </c>
      <c r="I157" s="1">
        <v>17.3</v>
      </c>
      <c r="J157" t="s">
        <v>447</v>
      </c>
      <c r="K157" t="s">
        <v>447</v>
      </c>
      <c r="L157">
        <v>1</v>
      </c>
    </row>
    <row r="158" spans="1:12" x14ac:dyDescent="0.6">
      <c r="A158">
        <v>601583</v>
      </c>
      <c r="B158">
        <v>6</v>
      </c>
      <c r="C158">
        <v>1583</v>
      </c>
      <c r="D158" t="s">
        <v>299</v>
      </c>
      <c r="E158" t="s">
        <v>300</v>
      </c>
      <c r="F158" s="5">
        <v>1135543</v>
      </c>
      <c r="G158" s="2" t="s">
        <v>447</v>
      </c>
      <c r="H158" s="2" t="s">
        <v>447</v>
      </c>
      <c r="I158" s="1">
        <f>(16.9+19.4)/2</f>
        <v>18.149999999999999</v>
      </c>
      <c r="J158" t="s">
        <v>447</v>
      </c>
      <c r="K158" t="s">
        <v>447</v>
      </c>
      <c r="L158">
        <v>49</v>
      </c>
    </row>
    <row r="159" spans="1:12" x14ac:dyDescent="0.6">
      <c r="A159">
        <v>690271</v>
      </c>
      <c r="B159">
        <v>6</v>
      </c>
      <c r="C159">
        <v>90271</v>
      </c>
      <c r="D159" t="s">
        <v>1361</v>
      </c>
      <c r="E159" t="s">
        <v>1362</v>
      </c>
      <c r="F159" s="5">
        <v>1130225</v>
      </c>
      <c r="G159" s="2">
        <v>67</v>
      </c>
      <c r="H159" s="2" t="s">
        <v>447</v>
      </c>
      <c r="I159" s="1">
        <v>17.899999999999999</v>
      </c>
      <c r="J159">
        <v>4</v>
      </c>
      <c r="K159" t="s">
        <v>447</v>
      </c>
      <c r="L159">
        <v>4</v>
      </c>
    </row>
    <row r="160" spans="1:12" x14ac:dyDescent="0.6">
      <c r="A160">
        <v>601047</v>
      </c>
      <c r="B160">
        <v>6</v>
      </c>
      <c r="C160">
        <v>1047</v>
      </c>
      <c r="D160" t="s">
        <v>171</v>
      </c>
      <c r="E160" t="s">
        <v>172</v>
      </c>
      <c r="F160" s="5">
        <v>1116981</v>
      </c>
      <c r="G160" s="2" t="s">
        <v>447</v>
      </c>
      <c r="H160" s="2" t="s">
        <v>447</v>
      </c>
      <c r="I160" s="1">
        <v>22.7</v>
      </c>
      <c r="J160" t="s">
        <v>447</v>
      </c>
      <c r="K160" t="s">
        <v>447</v>
      </c>
      <c r="L160">
        <v>1</v>
      </c>
    </row>
    <row r="161" spans="1:12" x14ac:dyDescent="0.6">
      <c r="A161">
        <v>600507</v>
      </c>
      <c r="B161">
        <v>6</v>
      </c>
      <c r="C161">
        <v>507</v>
      </c>
      <c r="D161" t="s">
        <v>546</v>
      </c>
      <c r="E161" t="s">
        <v>547</v>
      </c>
      <c r="F161" s="5">
        <v>1109795</v>
      </c>
      <c r="G161" s="2" t="s">
        <v>447</v>
      </c>
      <c r="H161" s="2">
        <v>28.45</v>
      </c>
      <c r="I161" s="1">
        <f>(19.65+19.8)/2</f>
        <v>19.725000000000001</v>
      </c>
      <c r="J161" t="s">
        <v>447</v>
      </c>
      <c r="K161">
        <v>1</v>
      </c>
      <c r="L161">
        <v>1</v>
      </c>
    </row>
    <row r="162" spans="1:12" x14ac:dyDescent="0.6">
      <c r="A162">
        <v>690119</v>
      </c>
      <c r="B162">
        <v>6</v>
      </c>
      <c r="C162">
        <v>90119</v>
      </c>
      <c r="D162" t="s">
        <v>1255</v>
      </c>
      <c r="E162" t="s">
        <v>1256</v>
      </c>
      <c r="F162" s="5">
        <v>1070870</v>
      </c>
      <c r="G162" s="2" t="s">
        <v>447</v>
      </c>
      <c r="H162" s="2" t="s">
        <v>447</v>
      </c>
      <c r="I162" s="1" t="s">
        <v>447</v>
      </c>
      <c r="J162" t="s">
        <v>447</v>
      </c>
      <c r="K162" t="s">
        <v>447</v>
      </c>
      <c r="L162" t="s">
        <v>447</v>
      </c>
    </row>
    <row r="163" spans="1:12" x14ac:dyDescent="0.6">
      <c r="A163">
        <v>690199</v>
      </c>
      <c r="B163">
        <v>6</v>
      </c>
      <c r="C163">
        <v>90199</v>
      </c>
      <c r="D163" t="s">
        <v>1313</v>
      </c>
      <c r="E163" t="s">
        <v>1314</v>
      </c>
      <c r="F163" s="5">
        <v>1056035</v>
      </c>
      <c r="G163" s="2">
        <v>18</v>
      </c>
      <c r="H163" s="2" t="s">
        <v>447</v>
      </c>
      <c r="I163" s="1">
        <v>10.8</v>
      </c>
      <c r="J163">
        <v>4</v>
      </c>
      <c r="K163" t="s">
        <v>447</v>
      </c>
      <c r="L163">
        <v>4</v>
      </c>
    </row>
    <row r="164" spans="1:12" x14ac:dyDescent="0.6">
      <c r="A164">
        <v>600368</v>
      </c>
      <c r="B164">
        <v>6</v>
      </c>
      <c r="C164">
        <v>368</v>
      </c>
      <c r="D164" t="s">
        <v>991</v>
      </c>
      <c r="E164" t="s">
        <v>992</v>
      </c>
      <c r="F164" s="5">
        <v>1038262</v>
      </c>
      <c r="G164" s="2" t="s">
        <v>447</v>
      </c>
      <c r="H164" s="2" t="s">
        <v>447</v>
      </c>
      <c r="I164" s="1">
        <v>23.2</v>
      </c>
      <c r="J164" t="s">
        <v>447</v>
      </c>
      <c r="K164" t="s">
        <v>447</v>
      </c>
      <c r="L164">
        <v>1</v>
      </c>
    </row>
    <row r="165" spans="1:12" x14ac:dyDescent="0.6">
      <c r="A165">
        <v>600468</v>
      </c>
      <c r="B165">
        <v>6</v>
      </c>
      <c r="C165">
        <v>468</v>
      </c>
      <c r="D165" t="s">
        <v>486</v>
      </c>
      <c r="E165" t="s">
        <v>487</v>
      </c>
      <c r="F165" s="5">
        <v>1000430</v>
      </c>
      <c r="G165" s="2" t="s">
        <v>447</v>
      </c>
      <c r="H165" s="2" t="s">
        <v>447</v>
      </c>
      <c r="I165" s="1" t="s">
        <v>447</v>
      </c>
      <c r="J165" t="s">
        <v>447</v>
      </c>
      <c r="K165" t="s">
        <v>447</v>
      </c>
      <c r="L165" t="s">
        <v>447</v>
      </c>
    </row>
    <row r="166" spans="1:12" x14ac:dyDescent="0.6">
      <c r="A166">
        <v>600244</v>
      </c>
      <c r="B166">
        <v>6</v>
      </c>
      <c r="C166">
        <v>244</v>
      </c>
      <c r="D166" t="s">
        <v>861</v>
      </c>
      <c r="E166" t="s">
        <v>862</v>
      </c>
      <c r="F166" s="5">
        <v>999536</v>
      </c>
      <c r="G166" s="2">
        <v>55</v>
      </c>
      <c r="H166" s="2">
        <f>(46+48)/2</f>
        <v>47</v>
      </c>
      <c r="I166" s="1">
        <v>19.5</v>
      </c>
      <c r="J166">
        <v>3</v>
      </c>
      <c r="K166">
        <v>43</v>
      </c>
      <c r="L166">
        <v>18</v>
      </c>
    </row>
    <row r="167" spans="1:12" x14ac:dyDescent="0.6">
      <c r="A167">
        <v>600321</v>
      </c>
      <c r="B167">
        <v>6</v>
      </c>
      <c r="C167">
        <v>321</v>
      </c>
      <c r="D167" t="s">
        <v>924</v>
      </c>
      <c r="E167" t="s">
        <v>925</v>
      </c>
      <c r="F167" s="5">
        <v>994358</v>
      </c>
      <c r="G167" s="2" t="s">
        <v>447</v>
      </c>
      <c r="H167" s="2" t="s">
        <v>447</v>
      </c>
      <c r="I167" s="1">
        <v>16.3</v>
      </c>
      <c r="J167" t="s">
        <v>447</v>
      </c>
      <c r="K167" t="s">
        <v>447</v>
      </c>
      <c r="L167">
        <v>17</v>
      </c>
    </row>
    <row r="168" spans="1:12" x14ac:dyDescent="0.6">
      <c r="A168">
        <v>690313</v>
      </c>
      <c r="B168">
        <v>6</v>
      </c>
      <c r="C168">
        <v>90313</v>
      </c>
      <c r="D168" t="s">
        <v>1391</v>
      </c>
      <c r="E168" t="s">
        <v>1392</v>
      </c>
      <c r="F168" s="5">
        <v>987993</v>
      </c>
      <c r="G168" s="2">
        <v>20</v>
      </c>
      <c r="H168" s="2" t="s">
        <v>447</v>
      </c>
      <c r="I168" s="1" t="s">
        <v>447</v>
      </c>
      <c r="J168">
        <v>2</v>
      </c>
      <c r="K168" t="s">
        <v>447</v>
      </c>
      <c r="L168" t="s">
        <v>447</v>
      </c>
    </row>
    <row r="169" spans="1:12" x14ac:dyDescent="0.6">
      <c r="A169">
        <v>600334</v>
      </c>
      <c r="B169">
        <v>6</v>
      </c>
      <c r="C169">
        <v>334</v>
      </c>
      <c r="D169" t="s">
        <v>946</v>
      </c>
      <c r="E169" t="s">
        <v>947</v>
      </c>
      <c r="F169" s="5">
        <v>985533</v>
      </c>
      <c r="G169" s="2">
        <v>51</v>
      </c>
      <c r="H169" s="2">
        <v>35</v>
      </c>
      <c r="I169" s="1">
        <f>(18.5+15.5+14.7)/3</f>
        <v>16.233333333333334</v>
      </c>
      <c r="J169">
        <v>1</v>
      </c>
      <c r="K169">
        <v>1</v>
      </c>
      <c r="L169">
        <v>1</v>
      </c>
    </row>
    <row r="170" spans="1:12" x14ac:dyDescent="0.6">
      <c r="A170">
        <v>690430</v>
      </c>
      <c r="B170">
        <v>6</v>
      </c>
      <c r="C170">
        <v>90430</v>
      </c>
      <c r="D170" t="s">
        <v>50</v>
      </c>
      <c r="E170" t="s">
        <v>51</v>
      </c>
      <c r="F170" s="5">
        <v>982687</v>
      </c>
      <c r="G170" s="2">
        <v>67</v>
      </c>
      <c r="H170" s="2" t="s">
        <v>447</v>
      </c>
      <c r="I170" s="1">
        <v>17.899999999999999</v>
      </c>
      <c r="J170">
        <v>4</v>
      </c>
      <c r="K170" t="s">
        <v>447</v>
      </c>
      <c r="L170">
        <v>4</v>
      </c>
    </row>
    <row r="171" spans="1:12" x14ac:dyDescent="0.6">
      <c r="A171">
        <v>690206</v>
      </c>
      <c r="B171">
        <v>6</v>
      </c>
      <c r="C171">
        <v>90206</v>
      </c>
      <c r="D171" t="s">
        <v>1321</v>
      </c>
      <c r="E171" t="s">
        <v>1322</v>
      </c>
      <c r="F171" s="5">
        <v>979557</v>
      </c>
      <c r="G171" s="2">
        <v>67</v>
      </c>
      <c r="H171" s="2" t="s">
        <v>447</v>
      </c>
      <c r="I171" s="1">
        <v>17.899999999999999</v>
      </c>
      <c r="J171">
        <v>4</v>
      </c>
      <c r="K171" t="s">
        <v>447</v>
      </c>
      <c r="L171">
        <v>4</v>
      </c>
    </row>
    <row r="172" spans="1:12" x14ac:dyDescent="0.6">
      <c r="A172">
        <v>600028</v>
      </c>
      <c r="B172">
        <v>6</v>
      </c>
      <c r="C172">
        <v>28</v>
      </c>
      <c r="D172" t="s">
        <v>588</v>
      </c>
      <c r="E172" t="s">
        <v>589</v>
      </c>
      <c r="F172" s="5">
        <v>968894</v>
      </c>
      <c r="G172" s="2" t="s">
        <v>447</v>
      </c>
      <c r="H172" s="2" t="s">
        <v>447</v>
      </c>
      <c r="I172" s="1" t="s">
        <v>447</v>
      </c>
      <c r="J172" t="s">
        <v>447</v>
      </c>
      <c r="K172" t="s">
        <v>447</v>
      </c>
      <c r="L172" t="s">
        <v>447</v>
      </c>
    </row>
    <row r="173" spans="1:12" x14ac:dyDescent="0.6">
      <c r="A173">
        <v>690085</v>
      </c>
      <c r="B173">
        <v>6</v>
      </c>
      <c r="C173">
        <v>90085</v>
      </c>
      <c r="D173" t="s">
        <v>1231</v>
      </c>
      <c r="E173" t="s">
        <v>1232</v>
      </c>
      <c r="F173" s="5">
        <v>965689</v>
      </c>
      <c r="G173" s="2">
        <v>63</v>
      </c>
      <c r="H173" s="2" t="s">
        <v>447</v>
      </c>
      <c r="I173" s="1">
        <v>17.899999999999999</v>
      </c>
      <c r="J173">
        <v>4</v>
      </c>
      <c r="K173" t="s">
        <v>447</v>
      </c>
      <c r="L173">
        <v>4</v>
      </c>
    </row>
    <row r="174" spans="1:12" x14ac:dyDescent="0.6">
      <c r="A174">
        <v>690169</v>
      </c>
      <c r="B174">
        <v>6</v>
      </c>
      <c r="C174">
        <v>90169</v>
      </c>
      <c r="D174" t="s">
        <v>1293</v>
      </c>
      <c r="E174" t="s">
        <v>1294</v>
      </c>
      <c r="F174" s="5">
        <v>962149</v>
      </c>
      <c r="G174" s="2" t="s">
        <v>447</v>
      </c>
      <c r="H174" s="2" t="s">
        <v>447</v>
      </c>
      <c r="I174" s="1" t="s">
        <v>447</v>
      </c>
      <c r="J174" t="s">
        <v>447</v>
      </c>
      <c r="K174" t="s">
        <v>447</v>
      </c>
      <c r="L174" t="s">
        <v>447</v>
      </c>
    </row>
    <row r="175" spans="1:12" x14ac:dyDescent="0.6">
      <c r="A175">
        <v>690109</v>
      </c>
      <c r="B175">
        <v>6</v>
      </c>
      <c r="C175">
        <v>90109</v>
      </c>
      <c r="D175" t="s">
        <v>1251</v>
      </c>
      <c r="E175" t="s">
        <v>1252</v>
      </c>
      <c r="F175" s="5">
        <v>961391</v>
      </c>
      <c r="G175" s="2" t="s">
        <v>447</v>
      </c>
      <c r="H175" s="2" t="s">
        <v>447</v>
      </c>
      <c r="I175" s="1" t="s">
        <v>447</v>
      </c>
      <c r="J175" t="s">
        <v>447</v>
      </c>
      <c r="K175" t="s">
        <v>447</v>
      </c>
      <c r="L175" t="s">
        <v>447</v>
      </c>
    </row>
    <row r="176" spans="1:12" x14ac:dyDescent="0.6">
      <c r="A176">
        <v>600497</v>
      </c>
      <c r="B176">
        <v>6</v>
      </c>
      <c r="C176">
        <v>497</v>
      </c>
      <c r="D176" t="s">
        <v>533</v>
      </c>
      <c r="F176" s="5">
        <v>949427</v>
      </c>
      <c r="G176" s="2" t="s">
        <v>447</v>
      </c>
      <c r="H176" s="2">
        <v>70.599999999999994</v>
      </c>
      <c r="I176" s="1">
        <v>18.55</v>
      </c>
      <c r="J176" t="s">
        <v>447</v>
      </c>
      <c r="K176">
        <v>1</v>
      </c>
      <c r="L176">
        <v>1</v>
      </c>
    </row>
    <row r="177" spans="1:12" x14ac:dyDescent="0.6">
      <c r="A177">
        <v>601595</v>
      </c>
      <c r="B177">
        <v>6</v>
      </c>
      <c r="C177">
        <v>1595</v>
      </c>
      <c r="D177" t="s">
        <v>315</v>
      </c>
      <c r="E177" t="s">
        <v>316</v>
      </c>
      <c r="F177" s="5">
        <v>947162</v>
      </c>
      <c r="G177" s="2" t="s">
        <v>447</v>
      </c>
      <c r="H177" s="2" t="s">
        <v>447</v>
      </c>
      <c r="I177" s="1" t="s">
        <v>447</v>
      </c>
      <c r="J177" t="s">
        <v>447</v>
      </c>
      <c r="K177" t="s">
        <v>447</v>
      </c>
      <c r="L177" t="s">
        <v>447</v>
      </c>
    </row>
    <row r="178" spans="1:12" x14ac:dyDescent="0.6">
      <c r="A178">
        <v>690176</v>
      </c>
      <c r="B178">
        <v>6</v>
      </c>
      <c r="C178">
        <v>90176</v>
      </c>
      <c r="D178" t="s">
        <v>1295</v>
      </c>
      <c r="E178" t="s">
        <v>1296</v>
      </c>
      <c r="F178" s="5">
        <v>946307</v>
      </c>
      <c r="G178" s="2">
        <v>18</v>
      </c>
      <c r="H178" s="2" t="s">
        <v>447</v>
      </c>
      <c r="I178" s="1">
        <v>10.8</v>
      </c>
      <c r="J178">
        <v>4</v>
      </c>
      <c r="K178" t="s">
        <v>447</v>
      </c>
      <c r="L178">
        <v>4</v>
      </c>
    </row>
    <row r="179" spans="1:12" x14ac:dyDescent="0.6">
      <c r="A179">
        <v>600109</v>
      </c>
      <c r="B179">
        <v>6</v>
      </c>
      <c r="C179">
        <v>109</v>
      </c>
      <c r="D179" t="s">
        <v>645</v>
      </c>
      <c r="E179" t="s">
        <v>646</v>
      </c>
      <c r="F179" s="5">
        <v>943380</v>
      </c>
      <c r="G179" s="2" t="s">
        <v>447</v>
      </c>
      <c r="H179" s="2" t="s">
        <v>447</v>
      </c>
      <c r="I179" s="1">
        <v>21.6</v>
      </c>
      <c r="J179" t="s">
        <v>447</v>
      </c>
      <c r="K179" t="s">
        <v>447</v>
      </c>
      <c r="L179">
        <v>1</v>
      </c>
    </row>
    <row r="180" spans="1:12" x14ac:dyDescent="0.6">
      <c r="A180">
        <v>600322</v>
      </c>
      <c r="B180">
        <v>6</v>
      </c>
      <c r="C180">
        <v>322</v>
      </c>
      <c r="D180" t="s">
        <v>926</v>
      </c>
      <c r="E180" t="s">
        <v>927</v>
      </c>
      <c r="F180" s="5">
        <v>921199</v>
      </c>
      <c r="G180" s="2" t="s">
        <v>447</v>
      </c>
      <c r="H180" s="2">
        <v>35.15</v>
      </c>
      <c r="I180" s="1">
        <v>16</v>
      </c>
      <c r="J180" t="s">
        <v>447</v>
      </c>
      <c r="K180">
        <v>1</v>
      </c>
      <c r="L180">
        <v>1</v>
      </c>
    </row>
    <row r="181" spans="1:12" x14ac:dyDescent="0.6">
      <c r="A181">
        <v>600400</v>
      </c>
      <c r="B181">
        <v>6</v>
      </c>
      <c r="C181">
        <v>400</v>
      </c>
      <c r="D181" t="s">
        <v>1039</v>
      </c>
      <c r="E181" t="s">
        <v>1040</v>
      </c>
      <c r="F181" s="5">
        <v>914972</v>
      </c>
      <c r="G181" s="2" t="s">
        <v>447</v>
      </c>
      <c r="H181" s="2">
        <v>38</v>
      </c>
      <c r="I181" s="1">
        <v>17.8</v>
      </c>
      <c r="J181" t="s">
        <v>447</v>
      </c>
      <c r="K181">
        <v>1</v>
      </c>
      <c r="L181">
        <v>1</v>
      </c>
    </row>
    <row r="182" spans="1:12" x14ac:dyDescent="0.6">
      <c r="A182">
        <v>600356</v>
      </c>
      <c r="B182">
        <v>6</v>
      </c>
      <c r="C182">
        <v>356</v>
      </c>
      <c r="D182" t="s">
        <v>975</v>
      </c>
      <c r="E182" t="s">
        <v>976</v>
      </c>
      <c r="F182" s="5">
        <v>897695</v>
      </c>
      <c r="G182" s="2" t="s">
        <v>447</v>
      </c>
      <c r="H182" s="2">
        <v>61.9</v>
      </c>
      <c r="I182" s="1">
        <v>21.6</v>
      </c>
      <c r="J182" t="s">
        <v>447</v>
      </c>
      <c r="K182">
        <v>1</v>
      </c>
      <c r="L182">
        <v>1</v>
      </c>
    </row>
    <row r="183" spans="1:12" x14ac:dyDescent="0.6">
      <c r="A183">
        <v>690337</v>
      </c>
      <c r="B183">
        <v>6</v>
      </c>
      <c r="C183">
        <v>90337</v>
      </c>
      <c r="D183" t="s">
        <v>1415</v>
      </c>
      <c r="E183" t="s">
        <v>1416</v>
      </c>
      <c r="F183" s="5">
        <v>890548</v>
      </c>
      <c r="G183" s="2">
        <v>21</v>
      </c>
      <c r="H183" s="2" t="s">
        <v>447</v>
      </c>
      <c r="I183" s="1" t="s">
        <v>447</v>
      </c>
      <c r="J183">
        <v>12</v>
      </c>
      <c r="K183" t="s">
        <v>447</v>
      </c>
      <c r="L183" t="s">
        <v>447</v>
      </c>
    </row>
    <row r="184" spans="1:12" x14ac:dyDescent="0.6">
      <c r="A184">
        <v>690081</v>
      </c>
      <c r="B184">
        <v>6</v>
      </c>
      <c r="C184">
        <v>90081</v>
      </c>
      <c r="D184" t="s">
        <v>1229</v>
      </c>
      <c r="E184" t="s">
        <v>1230</v>
      </c>
      <c r="F184" s="5">
        <v>886679</v>
      </c>
      <c r="G184" s="2" t="s">
        <v>447</v>
      </c>
      <c r="H184" s="2" t="s">
        <v>447</v>
      </c>
      <c r="I184" s="1" t="s">
        <v>447</v>
      </c>
      <c r="J184" t="s">
        <v>447</v>
      </c>
      <c r="K184" t="s">
        <v>447</v>
      </c>
      <c r="L184" t="s">
        <v>447</v>
      </c>
    </row>
    <row r="185" spans="1:12" x14ac:dyDescent="0.6">
      <c r="A185">
        <v>690180</v>
      </c>
      <c r="B185">
        <v>6</v>
      </c>
      <c r="C185">
        <v>90180</v>
      </c>
      <c r="D185" t="s">
        <v>1297</v>
      </c>
      <c r="E185" t="s">
        <v>1298</v>
      </c>
      <c r="F185" s="5">
        <v>881671</v>
      </c>
      <c r="G185" s="2" t="s">
        <v>447</v>
      </c>
      <c r="H185" s="2" t="s">
        <v>447</v>
      </c>
      <c r="I185" s="1" t="s">
        <v>447</v>
      </c>
      <c r="J185" t="s">
        <v>447</v>
      </c>
      <c r="K185" t="s">
        <v>447</v>
      </c>
      <c r="L185" t="s">
        <v>447</v>
      </c>
    </row>
    <row r="186" spans="1:12" x14ac:dyDescent="0.6">
      <c r="A186">
        <v>601608</v>
      </c>
      <c r="B186">
        <v>6</v>
      </c>
      <c r="C186">
        <v>1608</v>
      </c>
      <c r="D186" t="s">
        <v>321</v>
      </c>
      <c r="E186" t="s">
        <v>322</v>
      </c>
      <c r="F186" s="5">
        <v>878279</v>
      </c>
      <c r="G186" s="2" t="s">
        <v>447</v>
      </c>
      <c r="H186" s="2" t="s">
        <v>447</v>
      </c>
      <c r="I186" s="1" t="s">
        <v>447</v>
      </c>
      <c r="J186" t="s">
        <v>447</v>
      </c>
      <c r="K186" t="s">
        <v>447</v>
      </c>
      <c r="L186" t="s">
        <v>447</v>
      </c>
    </row>
    <row r="187" spans="1:12" x14ac:dyDescent="0.6">
      <c r="A187">
        <v>600518</v>
      </c>
      <c r="B187">
        <v>6</v>
      </c>
      <c r="C187">
        <v>518</v>
      </c>
      <c r="D187" t="s">
        <v>563</v>
      </c>
      <c r="E187" t="s">
        <v>564</v>
      </c>
      <c r="F187" s="5">
        <v>871690</v>
      </c>
      <c r="G187" s="2" t="s">
        <v>447</v>
      </c>
      <c r="H187" s="2" t="s">
        <v>447</v>
      </c>
      <c r="I187" s="1" t="s">
        <v>447</v>
      </c>
      <c r="J187" t="s">
        <v>447</v>
      </c>
      <c r="K187" t="s">
        <v>447</v>
      </c>
      <c r="L187" t="s">
        <v>447</v>
      </c>
    </row>
    <row r="188" spans="1:12" x14ac:dyDescent="0.6">
      <c r="A188">
        <v>690115</v>
      </c>
      <c r="B188">
        <v>6</v>
      </c>
      <c r="C188">
        <v>90115</v>
      </c>
      <c r="D188" t="s">
        <v>1253</v>
      </c>
      <c r="E188" t="s">
        <v>1254</v>
      </c>
      <c r="F188" s="5">
        <v>863526</v>
      </c>
      <c r="G188" s="2">
        <f>(28+20.9)/2</f>
        <v>24.45</v>
      </c>
      <c r="H188" s="2" t="s">
        <v>447</v>
      </c>
      <c r="I188" s="1">
        <v>17.41</v>
      </c>
      <c r="J188">
        <v>37</v>
      </c>
      <c r="K188" t="s">
        <v>447</v>
      </c>
      <c r="L188">
        <v>16</v>
      </c>
    </row>
    <row r="189" spans="1:12" x14ac:dyDescent="0.6">
      <c r="A189">
        <v>601351</v>
      </c>
      <c r="B189">
        <v>6</v>
      </c>
      <c r="C189">
        <v>1351</v>
      </c>
      <c r="D189" t="s">
        <v>225</v>
      </c>
      <c r="E189" t="s">
        <v>226</v>
      </c>
      <c r="F189" s="5">
        <v>850463</v>
      </c>
      <c r="G189" s="2" t="s">
        <v>447</v>
      </c>
      <c r="H189" s="2">
        <v>63.5</v>
      </c>
      <c r="I189" s="1" t="s">
        <v>447</v>
      </c>
      <c r="J189" t="s">
        <v>447</v>
      </c>
      <c r="K189">
        <v>1</v>
      </c>
      <c r="L189" t="s">
        <v>447</v>
      </c>
    </row>
    <row r="190" spans="1:12" x14ac:dyDescent="0.6">
      <c r="A190">
        <v>690156</v>
      </c>
      <c r="B190">
        <v>6</v>
      </c>
      <c r="C190">
        <v>90156</v>
      </c>
      <c r="D190" t="s">
        <v>1277</v>
      </c>
      <c r="E190" t="s">
        <v>1278</v>
      </c>
      <c r="F190" s="5">
        <v>848782</v>
      </c>
      <c r="G190" s="2">
        <f>(10+6)/2</f>
        <v>8</v>
      </c>
      <c r="H190" s="2" t="s">
        <v>447</v>
      </c>
      <c r="I190" s="1">
        <f>(15.8+16.78)/2</f>
        <v>16.29</v>
      </c>
      <c r="J190">
        <v>22</v>
      </c>
      <c r="K190" t="s">
        <v>447</v>
      </c>
      <c r="L190">
        <v>52</v>
      </c>
    </row>
    <row r="191" spans="1:12" x14ac:dyDescent="0.6">
      <c r="A191">
        <v>601659</v>
      </c>
      <c r="B191">
        <v>6</v>
      </c>
      <c r="C191">
        <v>1659</v>
      </c>
      <c r="D191" t="s">
        <v>333</v>
      </c>
      <c r="E191" t="s">
        <v>334</v>
      </c>
      <c r="F191" s="5">
        <v>836493</v>
      </c>
      <c r="G191" s="2">
        <v>63.8</v>
      </c>
      <c r="H191" s="2" t="s">
        <v>447</v>
      </c>
      <c r="I191" s="1">
        <v>18.7</v>
      </c>
      <c r="J191">
        <v>1</v>
      </c>
      <c r="K191" t="s">
        <v>447</v>
      </c>
      <c r="L191">
        <v>1</v>
      </c>
    </row>
    <row r="192" spans="1:12" x14ac:dyDescent="0.6">
      <c r="A192">
        <v>600346</v>
      </c>
      <c r="B192">
        <v>6</v>
      </c>
      <c r="C192">
        <v>346</v>
      </c>
      <c r="D192" t="s">
        <v>962</v>
      </c>
      <c r="E192" t="s">
        <v>963</v>
      </c>
      <c r="F192" s="5">
        <v>834402</v>
      </c>
      <c r="G192" s="2" t="s">
        <v>447</v>
      </c>
      <c r="H192" s="2" t="s">
        <v>447</v>
      </c>
      <c r="I192" s="1">
        <f>(20.1+17.8)/2</f>
        <v>18.950000000000003</v>
      </c>
      <c r="J192" t="s">
        <v>447</v>
      </c>
      <c r="K192" t="s">
        <v>447</v>
      </c>
      <c r="L192">
        <v>1</v>
      </c>
    </row>
    <row r="193" spans="1:12" x14ac:dyDescent="0.6">
      <c r="A193">
        <v>600488</v>
      </c>
      <c r="B193">
        <v>6</v>
      </c>
      <c r="C193">
        <v>488</v>
      </c>
      <c r="D193" t="s">
        <v>519</v>
      </c>
      <c r="E193" t="s">
        <v>520</v>
      </c>
      <c r="F193" s="5">
        <v>831612</v>
      </c>
      <c r="G193" s="2" t="s">
        <v>447</v>
      </c>
      <c r="H193" s="2" t="s">
        <v>447</v>
      </c>
      <c r="I193" s="1" t="s">
        <v>447</v>
      </c>
      <c r="J193" t="s">
        <v>447</v>
      </c>
      <c r="K193" t="s">
        <v>447</v>
      </c>
      <c r="L193" t="s">
        <v>447</v>
      </c>
    </row>
    <row r="194" spans="1:12" x14ac:dyDescent="0.6">
      <c r="A194">
        <v>600332</v>
      </c>
      <c r="B194">
        <v>6</v>
      </c>
      <c r="C194">
        <v>332</v>
      </c>
      <c r="D194" t="s">
        <v>942</v>
      </c>
      <c r="E194" t="s">
        <v>943</v>
      </c>
      <c r="F194" s="5">
        <v>828482</v>
      </c>
      <c r="G194" s="2">
        <v>53</v>
      </c>
      <c r="H194" s="2" t="s">
        <v>447</v>
      </c>
      <c r="I194" s="1">
        <v>19</v>
      </c>
      <c r="J194">
        <v>2</v>
      </c>
      <c r="K194" t="s">
        <v>447</v>
      </c>
      <c r="L194">
        <v>1</v>
      </c>
    </row>
    <row r="195" spans="1:12" x14ac:dyDescent="0.6">
      <c r="A195">
        <v>601458</v>
      </c>
      <c r="B195">
        <v>6</v>
      </c>
      <c r="C195">
        <v>1458</v>
      </c>
      <c r="D195" t="s">
        <v>263</v>
      </c>
      <c r="E195" t="s">
        <v>264</v>
      </c>
      <c r="F195" s="5">
        <v>827487</v>
      </c>
      <c r="G195" s="2" t="s">
        <v>447</v>
      </c>
      <c r="H195" s="2" t="s">
        <v>447</v>
      </c>
      <c r="I195" s="1" t="s">
        <v>447</v>
      </c>
      <c r="J195" t="s">
        <v>447</v>
      </c>
      <c r="K195" t="s">
        <v>447</v>
      </c>
      <c r="L195" t="s">
        <v>447</v>
      </c>
    </row>
    <row r="196" spans="1:12" x14ac:dyDescent="0.6">
      <c r="A196">
        <v>601367</v>
      </c>
      <c r="B196">
        <v>6</v>
      </c>
      <c r="C196">
        <v>1367</v>
      </c>
      <c r="D196" t="s">
        <v>237</v>
      </c>
      <c r="E196" t="s">
        <v>238</v>
      </c>
      <c r="F196" s="5">
        <v>817170</v>
      </c>
      <c r="G196" s="2" t="s">
        <v>447</v>
      </c>
      <c r="H196" s="2" t="s">
        <v>447</v>
      </c>
      <c r="I196" s="1" t="s">
        <v>447</v>
      </c>
      <c r="J196" t="s">
        <v>447</v>
      </c>
      <c r="K196" t="s">
        <v>447</v>
      </c>
      <c r="L196" t="s">
        <v>447</v>
      </c>
    </row>
    <row r="197" spans="1:12" x14ac:dyDescent="0.6">
      <c r="A197">
        <v>690219</v>
      </c>
      <c r="B197">
        <v>6</v>
      </c>
      <c r="C197">
        <v>90219</v>
      </c>
      <c r="D197" t="s">
        <v>1327</v>
      </c>
      <c r="E197" t="s">
        <v>1328</v>
      </c>
      <c r="F197" s="5">
        <v>816758</v>
      </c>
      <c r="G197" s="2">
        <v>57</v>
      </c>
      <c r="H197" s="2" t="s">
        <v>447</v>
      </c>
      <c r="I197" s="1">
        <v>20.5</v>
      </c>
      <c r="J197">
        <v>4</v>
      </c>
      <c r="K197" t="s">
        <v>447</v>
      </c>
      <c r="L197">
        <v>4</v>
      </c>
    </row>
    <row r="198" spans="1:12" x14ac:dyDescent="0.6">
      <c r="A198">
        <v>600482</v>
      </c>
      <c r="B198">
        <v>6</v>
      </c>
      <c r="C198">
        <v>482</v>
      </c>
      <c r="D198" t="s">
        <v>508</v>
      </c>
      <c r="E198" t="s">
        <v>509</v>
      </c>
      <c r="F198" s="5">
        <v>803842</v>
      </c>
      <c r="G198" s="2" t="s">
        <v>447</v>
      </c>
      <c r="H198" s="2">
        <v>40</v>
      </c>
      <c r="I198" s="1">
        <f>(19+19.9)/2</f>
        <v>19.45</v>
      </c>
      <c r="J198" t="s">
        <v>447</v>
      </c>
      <c r="K198">
        <v>1</v>
      </c>
      <c r="L198">
        <v>1</v>
      </c>
    </row>
    <row r="199" spans="1:12" x14ac:dyDescent="0.6">
      <c r="A199">
        <v>600223</v>
      </c>
      <c r="B199">
        <v>6</v>
      </c>
      <c r="C199">
        <v>223</v>
      </c>
      <c r="D199" t="s">
        <v>419</v>
      </c>
      <c r="E199" t="s">
        <v>420</v>
      </c>
      <c r="F199" s="5">
        <v>803562</v>
      </c>
      <c r="G199" s="2">
        <v>59.5</v>
      </c>
      <c r="H199" s="2" t="s">
        <v>447</v>
      </c>
      <c r="I199" s="1">
        <v>19.8</v>
      </c>
      <c r="J199">
        <v>1</v>
      </c>
      <c r="K199" t="s">
        <v>447</v>
      </c>
      <c r="L199">
        <v>1</v>
      </c>
    </row>
    <row r="200" spans="1:12" x14ac:dyDescent="0.6">
      <c r="A200">
        <v>600313</v>
      </c>
      <c r="B200">
        <v>6</v>
      </c>
      <c r="C200">
        <v>313</v>
      </c>
      <c r="D200" t="s">
        <v>910</v>
      </c>
      <c r="E200" t="s">
        <v>911</v>
      </c>
      <c r="F200" s="5">
        <v>801638</v>
      </c>
      <c r="G200" s="2">
        <v>54.4</v>
      </c>
      <c r="H200" s="2" t="s">
        <v>447</v>
      </c>
      <c r="I200" s="1">
        <f>(16.4+16.1)/2</f>
        <v>16.25</v>
      </c>
      <c r="J200">
        <v>1</v>
      </c>
      <c r="K200" t="s">
        <v>447</v>
      </c>
      <c r="L200">
        <v>1</v>
      </c>
    </row>
    <row r="201" spans="1:12" x14ac:dyDescent="0.6">
      <c r="A201">
        <v>690296</v>
      </c>
      <c r="B201">
        <v>6</v>
      </c>
      <c r="C201">
        <v>90296</v>
      </c>
      <c r="D201" t="s">
        <v>1381</v>
      </c>
      <c r="E201" t="s">
        <v>1382</v>
      </c>
      <c r="F201" s="5">
        <v>775136</v>
      </c>
      <c r="G201" s="2">
        <v>71</v>
      </c>
      <c r="H201" s="2" t="s">
        <v>447</v>
      </c>
      <c r="I201" s="1">
        <v>15.58</v>
      </c>
      <c r="J201">
        <v>2</v>
      </c>
      <c r="K201" t="s">
        <v>447</v>
      </c>
      <c r="L201">
        <v>16</v>
      </c>
    </row>
    <row r="202" spans="1:12" x14ac:dyDescent="0.6">
      <c r="A202">
        <v>600438</v>
      </c>
      <c r="B202">
        <v>6</v>
      </c>
      <c r="C202">
        <v>438</v>
      </c>
      <c r="D202" t="s">
        <v>1095</v>
      </c>
      <c r="E202" t="s">
        <v>1096</v>
      </c>
      <c r="F202" s="5">
        <v>743406</v>
      </c>
      <c r="G202" s="2" t="s">
        <v>447</v>
      </c>
      <c r="H202" s="2" t="s">
        <v>447</v>
      </c>
      <c r="I202" s="1" t="s">
        <v>447</v>
      </c>
      <c r="J202" t="s">
        <v>447</v>
      </c>
      <c r="K202" t="s">
        <v>447</v>
      </c>
      <c r="L202" t="s">
        <v>447</v>
      </c>
    </row>
    <row r="203" spans="1:12" x14ac:dyDescent="0.6">
      <c r="A203">
        <v>600312</v>
      </c>
      <c r="B203">
        <v>6</v>
      </c>
      <c r="C203">
        <v>312</v>
      </c>
      <c r="D203" t="s">
        <v>908</v>
      </c>
      <c r="E203" t="s">
        <v>909</v>
      </c>
      <c r="F203" s="5">
        <v>729009</v>
      </c>
      <c r="G203" s="2">
        <v>50.3</v>
      </c>
      <c r="H203" s="2">
        <v>32</v>
      </c>
      <c r="I203" s="1">
        <f>(17.5+17.2)/2</f>
        <v>17.350000000000001</v>
      </c>
      <c r="J203">
        <v>1</v>
      </c>
      <c r="K203">
        <v>15</v>
      </c>
      <c r="L203">
        <v>1</v>
      </c>
    </row>
    <row r="204" spans="1:12" x14ac:dyDescent="0.6">
      <c r="A204">
        <v>601627</v>
      </c>
      <c r="B204">
        <v>6</v>
      </c>
      <c r="C204">
        <v>1627</v>
      </c>
      <c r="D204" t="s">
        <v>329</v>
      </c>
      <c r="E204" t="s">
        <v>330</v>
      </c>
      <c r="F204" s="5">
        <v>727854</v>
      </c>
      <c r="G204" s="2" t="s">
        <v>447</v>
      </c>
      <c r="H204" s="2">
        <v>59.6</v>
      </c>
      <c r="I204" s="1">
        <v>20.75</v>
      </c>
      <c r="J204" t="s">
        <v>447</v>
      </c>
      <c r="K204">
        <v>1</v>
      </c>
      <c r="L204">
        <v>1</v>
      </c>
    </row>
    <row r="205" spans="1:12" x14ac:dyDescent="0.6">
      <c r="A205">
        <v>690411</v>
      </c>
      <c r="B205">
        <v>6</v>
      </c>
      <c r="C205">
        <v>90411</v>
      </c>
      <c r="D205" t="s">
        <v>42</v>
      </c>
      <c r="E205" t="s">
        <v>43</v>
      </c>
      <c r="F205" s="5">
        <v>725532</v>
      </c>
      <c r="G205" s="2">
        <v>37</v>
      </c>
      <c r="H205" s="2" t="s">
        <v>447</v>
      </c>
      <c r="I205" s="1" t="s">
        <v>447</v>
      </c>
      <c r="J205">
        <v>2</v>
      </c>
      <c r="K205" t="s">
        <v>447</v>
      </c>
      <c r="L205" t="s">
        <v>447</v>
      </c>
    </row>
    <row r="206" spans="1:12" x14ac:dyDescent="0.6">
      <c r="A206">
        <v>600695</v>
      </c>
      <c r="B206">
        <v>6</v>
      </c>
      <c r="C206">
        <v>695</v>
      </c>
      <c r="D206" t="s">
        <v>114</v>
      </c>
      <c r="E206" t="s">
        <v>115</v>
      </c>
      <c r="F206" s="5">
        <v>703752</v>
      </c>
      <c r="G206" s="2">
        <v>44</v>
      </c>
      <c r="H206" s="2">
        <v>23</v>
      </c>
      <c r="I206" s="1">
        <f>(16.5+15.7)/2</f>
        <v>16.100000000000001</v>
      </c>
      <c r="J206">
        <v>1</v>
      </c>
      <c r="K206">
        <v>2</v>
      </c>
      <c r="L206">
        <v>1</v>
      </c>
    </row>
    <row r="207" spans="1:12" x14ac:dyDescent="0.6">
      <c r="A207">
        <v>600123</v>
      </c>
      <c r="B207">
        <v>6</v>
      </c>
      <c r="C207">
        <v>123</v>
      </c>
      <c r="D207" t="s">
        <v>667</v>
      </c>
      <c r="E207" t="s">
        <v>668</v>
      </c>
      <c r="F207" s="5">
        <v>701437</v>
      </c>
      <c r="G207" s="2">
        <v>66.7</v>
      </c>
      <c r="H207" s="2">
        <v>69.849999999999994</v>
      </c>
      <c r="I207" s="1">
        <f>(20.25+20.15+20.9+19.7+20.3)/5</f>
        <v>20.259999999999998</v>
      </c>
      <c r="J207">
        <v>1</v>
      </c>
      <c r="K207">
        <v>1</v>
      </c>
      <c r="L207">
        <v>1</v>
      </c>
    </row>
    <row r="208" spans="1:12" x14ac:dyDescent="0.6">
      <c r="A208">
        <v>690268</v>
      </c>
      <c r="B208">
        <v>6</v>
      </c>
      <c r="C208">
        <v>90268</v>
      </c>
      <c r="D208" t="s">
        <v>1355</v>
      </c>
      <c r="E208" t="s">
        <v>1356</v>
      </c>
      <c r="F208" s="5">
        <v>657449</v>
      </c>
      <c r="G208" s="2">
        <v>57</v>
      </c>
      <c r="H208" s="2" t="s">
        <v>447</v>
      </c>
      <c r="I208" s="1">
        <f>(20.5+20.3)/2</f>
        <v>20.399999999999999</v>
      </c>
      <c r="J208">
        <v>4</v>
      </c>
      <c r="K208" t="s">
        <v>447</v>
      </c>
      <c r="L208">
        <v>52</v>
      </c>
    </row>
    <row r="209" spans="1:12" x14ac:dyDescent="0.6">
      <c r="A209">
        <v>601519</v>
      </c>
      <c r="B209">
        <v>6</v>
      </c>
      <c r="C209">
        <v>1519</v>
      </c>
      <c r="D209" t="s">
        <v>291</v>
      </c>
      <c r="E209" t="s">
        <v>292</v>
      </c>
      <c r="F209" s="5">
        <v>655477</v>
      </c>
      <c r="G209" s="2" t="s">
        <v>447</v>
      </c>
      <c r="H209" s="2" t="s">
        <v>447</v>
      </c>
      <c r="I209" s="1" t="s">
        <v>447</v>
      </c>
      <c r="J209" t="s">
        <v>447</v>
      </c>
      <c r="K209" t="s">
        <v>447</v>
      </c>
      <c r="L209" t="s">
        <v>447</v>
      </c>
    </row>
    <row r="210" spans="1:12" x14ac:dyDescent="0.6">
      <c r="A210">
        <v>690201</v>
      </c>
      <c r="B210">
        <v>6</v>
      </c>
      <c r="C210">
        <v>90201</v>
      </c>
      <c r="D210" t="s">
        <v>1315</v>
      </c>
      <c r="E210" t="s">
        <v>1316</v>
      </c>
      <c r="F210" s="5">
        <v>651621</v>
      </c>
      <c r="G210" s="2">
        <f>(25+14.7)/2</f>
        <v>19.850000000000001</v>
      </c>
      <c r="H210" s="2" t="s">
        <v>447</v>
      </c>
      <c r="I210" s="1" t="s">
        <v>447</v>
      </c>
      <c r="J210">
        <v>37</v>
      </c>
      <c r="K210" t="s">
        <v>447</v>
      </c>
      <c r="L210" t="s">
        <v>447</v>
      </c>
    </row>
    <row r="211" spans="1:12" x14ac:dyDescent="0.6">
      <c r="A211">
        <v>690078</v>
      </c>
      <c r="B211">
        <v>6</v>
      </c>
      <c r="C211">
        <v>90078</v>
      </c>
      <c r="D211" t="s">
        <v>1227</v>
      </c>
      <c r="E211" t="s">
        <v>1228</v>
      </c>
      <c r="F211" s="5">
        <v>644978</v>
      </c>
      <c r="G211" s="2">
        <v>8</v>
      </c>
      <c r="H211" s="2" t="s">
        <v>447</v>
      </c>
      <c r="I211" s="1" t="s">
        <v>447</v>
      </c>
      <c r="J211">
        <v>10</v>
      </c>
      <c r="K211" t="s">
        <v>447</v>
      </c>
      <c r="L211" t="s">
        <v>447</v>
      </c>
    </row>
    <row r="212" spans="1:12" x14ac:dyDescent="0.6">
      <c r="A212">
        <v>600372</v>
      </c>
      <c r="B212">
        <v>6</v>
      </c>
      <c r="C212">
        <v>372</v>
      </c>
      <c r="D212" t="s">
        <v>997</v>
      </c>
      <c r="E212" t="s">
        <v>998</v>
      </c>
      <c r="F212" s="5">
        <v>644635</v>
      </c>
      <c r="G212" s="2" t="s">
        <v>447</v>
      </c>
      <c r="H212" s="2" t="s">
        <v>447</v>
      </c>
      <c r="I212" s="1" t="s">
        <v>447</v>
      </c>
      <c r="J212" t="s">
        <v>447</v>
      </c>
      <c r="K212" t="s">
        <v>447</v>
      </c>
      <c r="L212" t="s">
        <v>447</v>
      </c>
    </row>
    <row r="213" spans="1:12" x14ac:dyDescent="0.6">
      <c r="A213">
        <v>600390</v>
      </c>
      <c r="B213">
        <v>6</v>
      </c>
      <c r="C213">
        <v>390</v>
      </c>
      <c r="D213" t="s">
        <v>1021</v>
      </c>
      <c r="E213" t="s">
        <v>1022</v>
      </c>
      <c r="F213" s="5">
        <v>632909</v>
      </c>
      <c r="G213" s="2" t="s">
        <v>447</v>
      </c>
      <c r="H213" s="2">
        <v>35.700000000000003</v>
      </c>
      <c r="I213" s="1" t="s">
        <v>447</v>
      </c>
      <c r="J213" t="s">
        <v>447</v>
      </c>
      <c r="K213">
        <v>1</v>
      </c>
      <c r="L213" t="s">
        <v>447</v>
      </c>
    </row>
    <row r="214" spans="1:12" x14ac:dyDescent="0.6">
      <c r="A214">
        <v>600524</v>
      </c>
      <c r="B214">
        <v>6</v>
      </c>
      <c r="C214">
        <v>524</v>
      </c>
      <c r="D214" t="s">
        <v>72</v>
      </c>
      <c r="E214" t="s">
        <v>73</v>
      </c>
      <c r="F214" s="5">
        <v>629120</v>
      </c>
      <c r="G214" s="2" t="s">
        <v>447</v>
      </c>
      <c r="H214" s="2">
        <v>35</v>
      </c>
      <c r="I214" s="1">
        <v>18.84</v>
      </c>
      <c r="J214" t="s">
        <v>447</v>
      </c>
      <c r="K214">
        <v>15</v>
      </c>
      <c r="L214">
        <v>16</v>
      </c>
    </row>
    <row r="215" spans="1:12" x14ac:dyDescent="0.6">
      <c r="A215">
        <v>600077</v>
      </c>
      <c r="B215">
        <v>6</v>
      </c>
      <c r="C215">
        <v>77</v>
      </c>
      <c r="D215" t="s">
        <v>621</v>
      </c>
      <c r="E215" t="s">
        <v>622</v>
      </c>
      <c r="F215" s="5">
        <v>626911</v>
      </c>
      <c r="G215" s="2">
        <v>58.7</v>
      </c>
      <c r="H215" s="2" t="s">
        <v>447</v>
      </c>
      <c r="I215" s="1">
        <v>22</v>
      </c>
      <c r="J215">
        <v>1</v>
      </c>
      <c r="K215" t="s">
        <v>447</v>
      </c>
      <c r="L215">
        <v>1</v>
      </c>
    </row>
    <row r="216" spans="1:12" x14ac:dyDescent="0.6">
      <c r="A216">
        <v>600388</v>
      </c>
      <c r="B216">
        <v>6</v>
      </c>
      <c r="C216">
        <v>388</v>
      </c>
      <c r="D216" t="s">
        <v>1019</v>
      </c>
      <c r="E216" t="s">
        <v>1020</v>
      </c>
      <c r="F216" s="5">
        <v>622084</v>
      </c>
      <c r="G216" s="2" t="s">
        <v>447</v>
      </c>
      <c r="H216" s="2" t="s">
        <v>447</v>
      </c>
      <c r="I216" s="1">
        <v>21.5</v>
      </c>
      <c r="J216" t="s">
        <v>447</v>
      </c>
      <c r="K216" t="s">
        <v>447</v>
      </c>
      <c r="L216">
        <v>1</v>
      </c>
    </row>
    <row r="217" spans="1:12" x14ac:dyDescent="0.6">
      <c r="A217">
        <v>600340</v>
      </c>
      <c r="B217">
        <v>6</v>
      </c>
      <c r="C217">
        <v>340</v>
      </c>
      <c r="D217" t="s">
        <v>954</v>
      </c>
      <c r="E217" t="s">
        <v>955</v>
      </c>
      <c r="F217" s="5">
        <v>608097</v>
      </c>
      <c r="G217" s="2">
        <f>(47.8+59.3)/2</f>
        <v>53.55</v>
      </c>
      <c r="H217" s="2" t="s">
        <v>447</v>
      </c>
      <c r="I217" s="1">
        <f>(19.4+21.2)/2</f>
        <v>20.299999999999997</v>
      </c>
      <c r="J217">
        <v>1</v>
      </c>
      <c r="K217" t="s">
        <v>447</v>
      </c>
      <c r="L217">
        <v>1</v>
      </c>
    </row>
    <row r="218" spans="1:12" x14ac:dyDescent="0.6">
      <c r="A218">
        <v>600941</v>
      </c>
      <c r="B218">
        <v>6</v>
      </c>
      <c r="C218">
        <v>941</v>
      </c>
      <c r="D218" t="s">
        <v>156</v>
      </c>
      <c r="F218" s="5">
        <v>605256</v>
      </c>
      <c r="G218" s="2">
        <v>51.5</v>
      </c>
      <c r="H218" s="2" t="s">
        <v>447</v>
      </c>
      <c r="I218" s="1">
        <v>19.8</v>
      </c>
      <c r="J218">
        <v>1</v>
      </c>
      <c r="K218" t="s">
        <v>447</v>
      </c>
      <c r="L218">
        <v>1</v>
      </c>
    </row>
    <row r="219" spans="1:12" x14ac:dyDescent="0.6">
      <c r="A219">
        <v>601383</v>
      </c>
      <c r="B219">
        <v>6</v>
      </c>
      <c r="C219">
        <v>1383</v>
      </c>
      <c r="D219" t="s">
        <v>247</v>
      </c>
      <c r="E219" t="s">
        <v>248</v>
      </c>
      <c r="F219" s="5">
        <v>595414</v>
      </c>
      <c r="G219" s="2">
        <v>65.2</v>
      </c>
      <c r="H219" s="2" t="s">
        <v>447</v>
      </c>
      <c r="I219" s="1">
        <v>19</v>
      </c>
      <c r="J219">
        <v>1</v>
      </c>
      <c r="K219" t="s">
        <v>447</v>
      </c>
      <c r="L219">
        <v>1</v>
      </c>
    </row>
    <row r="220" spans="1:12" x14ac:dyDescent="0.6">
      <c r="A220">
        <v>600301</v>
      </c>
      <c r="B220">
        <v>6</v>
      </c>
      <c r="C220">
        <v>301</v>
      </c>
      <c r="D220" t="s">
        <v>893</v>
      </c>
      <c r="E220" t="s">
        <v>894</v>
      </c>
      <c r="F220" s="5">
        <v>592459</v>
      </c>
      <c r="G220" s="2">
        <v>58</v>
      </c>
      <c r="H220" s="2" t="s">
        <v>447</v>
      </c>
      <c r="I220" s="1">
        <v>18.100000000000001</v>
      </c>
      <c r="J220">
        <v>1</v>
      </c>
      <c r="K220" t="s">
        <v>447</v>
      </c>
      <c r="L220">
        <v>1</v>
      </c>
    </row>
    <row r="221" spans="1:12" x14ac:dyDescent="0.6">
      <c r="A221">
        <v>610303</v>
      </c>
      <c r="B221">
        <v>6</v>
      </c>
      <c r="C221">
        <v>10303</v>
      </c>
      <c r="D221" t="s">
        <v>1133</v>
      </c>
      <c r="E221" t="s">
        <v>1134</v>
      </c>
      <c r="F221" s="5">
        <v>588861</v>
      </c>
      <c r="G221" s="2" t="s">
        <v>447</v>
      </c>
      <c r="H221" s="2" t="s">
        <v>447</v>
      </c>
      <c r="I221" s="1" t="s">
        <v>447</v>
      </c>
      <c r="J221" t="s">
        <v>447</v>
      </c>
      <c r="K221" t="s">
        <v>447</v>
      </c>
      <c r="L221" t="s">
        <v>447</v>
      </c>
    </row>
    <row r="222" spans="1:12" x14ac:dyDescent="0.6">
      <c r="A222">
        <v>690227</v>
      </c>
      <c r="B222">
        <v>6</v>
      </c>
      <c r="C222">
        <v>90227</v>
      </c>
      <c r="D222" t="s">
        <v>1329</v>
      </c>
      <c r="E222" t="s">
        <v>1330</v>
      </c>
      <c r="F222" s="5">
        <v>584260</v>
      </c>
      <c r="G222" s="2">
        <v>71</v>
      </c>
      <c r="H222" s="2" t="s">
        <v>447</v>
      </c>
      <c r="I222" s="1">
        <v>15.58</v>
      </c>
      <c r="J222">
        <v>2</v>
      </c>
      <c r="K222" t="s">
        <v>447</v>
      </c>
      <c r="L222">
        <v>16</v>
      </c>
    </row>
    <row r="223" spans="1:12" x14ac:dyDescent="0.6">
      <c r="A223">
        <v>600407</v>
      </c>
      <c r="B223">
        <v>6</v>
      </c>
      <c r="C223">
        <v>407</v>
      </c>
      <c r="D223" t="s">
        <v>1049</v>
      </c>
      <c r="F223" s="5">
        <v>583544</v>
      </c>
      <c r="G223" s="2" t="s">
        <v>447</v>
      </c>
      <c r="H223" s="2" t="s">
        <v>447</v>
      </c>
      <c r="I223" s="1">
        <v>17.850000000000001</v>
      </c>
      <c r="J223" t="s">
        <v>447</v>
      </c>
      <c r="K223" t="s">
        <v>447</v>
      </c>
      <c r="L223">
        <v>1</v>
      </c>
    </row>
    <row r="224" spans="1:12" x14ac:dyDescent="0.6">
      <c r="A224">
        <v>601593</v>
      </c>
      <c r="B224">
        <v>6</v>
      </c>
      <c r="C224">
        <v>1593</v>
      </c>
      <c r="D224" t="s">
        <v>311</v>
      </c>
      <c r="E224" t="s">
        <v>312</v>
      </c>
      <c r="F224" s="5">
        <v>580068</v>
      </c>
      <c r="G224" s="2" t="s">
        <v>447</v>
      </c>
      <c r="H224" s="2" t="s">
        <v>447</v>
      </c>
      <c r="I224" s="1" t="s">
        <v>447</v>
      </c>
      <c r="J224" t="s">
        <v>447</v>
      </c>
      <c r="K224" t="s">
        <v>447</v>
      </c>
      <c r="L224" t="s">
        <v>447</v>
      </c>
    </row>
    <row r="225" spans="1:12" x14ac:dyDescent="0.6">
      <c r="A225">
        <v>690032</v>
      </c>
      <c r="B225">
        <v>6</v>
      </c>
      <c r="C225">
        <v>90032</v>
      </c>
      <c r="D225" t="s">
        <v>1177</v>
      </c>
      <c r="E225" t="s">
        <v>1178</v>
      </c>
      <c r="F225" s="5">
        <v>564888</v>
      </c>
      <c r="G225" s="2" t="s">
        <v>447</v>
      </c>
      <c r="H225" s="2" t="s">
        <v>447</v>
      </c>
      <c r="I225" s="1" t="s">
        <v>447</v>
      </c>
      <c r="J225" t="s">
        <v>447</v>
      </c>
      <c r="K225" t="s">
        <v>447</v>
      </c>
      <c r="L225" t="s">
        <v>447</v>
      </c>
    </row>
    <row r="226" spans="1:12" x14ac:dyDescent="0.6">
      <c r="A226">
        <v>624237</v>
      </c>
      <c r="B226">
        <v>6</v>
      </c>
      <c r="C226">
        <v>24237</v>
      </c>
      <c r="D226" t="s">
        <v>1149</v>
      </c>
      <c r="E226" t="s">
        <v>1150</v>
      </c>
      <c r="F226" s="5">
        <v>564334</v>
      </c>
      <c r="G226" s="2">
        <v>47.7</v>
      </c>
      <c r="H226" s="2">
        <f>(28+26)/2</f>
        <v>27</v>
      </c>
      <c r="I226" s="1">
        <v>18.3</v>
      </c>
      <c r="J226">
        <v>9</v>
      </c>
      <c r="K226">
        <v>37</v>
      </c>
      <c r="L226">
        <v>9</v>
      </c>
    </row>
    <row r="227" spans="1:12" x14ac:dyDescent="0.6">
      <c r="A227">
        <v>600236</v>
      </c>
      <c r="B227">
        <v>6</v>
      </c>
      <c r="C227">
        <v>236</v>
      </c>
      <c r="D227" t="s">
        <v>437</v>
      </c>
      <c r="E227" t="s">
        <v>438</v>
      </c>
      <c r="F227" s="5">
        <v>538580</v>
      </c>
      <c r="G227" s="2" t="s">
        <v>447</v>
      </c>
      <c r="H227" s="2">
        <f>(67+48)/2</f>
        <v>57.5</v>
      </c>
      <c r="I227" s="1">
        <v>20.2</v>
      </c>
      <c r="J227" t="s">
        <v>447</v>
      </c>
      <c r="K227">
        <v>43</v>
      </c>
      <c r="L227">
        <v>1</v>
      </c>
    </row>
    <row r="228" spans="1:12" x14ac:dyDescent="0.6">
      <c r="A228">
        <v>690069</v>
      </c>
      <c r="B228">
        <v>6</v>
      </c>
      <c r="C228">
        <v>90069</v>
      </c>
      <c r="D228" t="s">
        <v>1215</v>
      </c>
      <c r="E228" t="s">
        <v>1216</v>
      </c>
      <c r="F228" s="5">
        <v>538515</v>
      </c>
      <c r="G228" s="2" t="s">
        <v>447</v>
      </c>
      <c r="H228" s="2" t="s">
        <v>447</v>
      </c>
      <c r="I228" s="1" t="s">
        <v>447</v>
      </c>
      <c r="J228" t="s">
        <v>447</v>
      </c>
      <c r="K228" t="s">
        <v>447</v>
      </c>
      <c r="L228" t="s">
        <v>447</v>
      </c>
    </row>
    <row r="229" spans="1:12" x14ac:dyDescent="0.6">
      <c r="A229">
        <v>600452</v>
      </c>
      <c r="B229">
        <v>6</v>
      </c>
      <c r="C229">
        <v>452</v>
      </c>
      <c r="D229" t="s">
        <v>463</v>
      </c>
      <c r="E229" t="s">
        <v>464</v>
      </c>
      <c r="F229" s="5">
        <v>517141</v>
      </c>
      <c r="G229" s="2" t="s">
        <v>447</v>
      </c>
      <c r="H229" s="2" t="s">
        <v>447</v>
      </c>
      <c r="I229" s="1">
        <v>17.5</v>
      </c>
      <c r="J229" t="s">
        <v>447</v>
      </c>
      <c r="K229" t="s">
        <v>447</v>
      </c>
      <c r="L229">
        <v>1</v>
      </c>
    </row>
    <row r="230" spans="1:12" x14ac:dyDescent="0.6">
      <c r="A230">
        <v>610307</v>
      </c>
      <c r="B230">
        <v>6</v>
      </c>
      <c r="C230">
        <v>10307</v>
      </c>
      <c r="D230" t="s">
        <v>1135</v>
      </c>
      <c r="E230" t="s">
        <v>1136</v>
      </c>
      <c r="F230" s="5">
        <v>506010</v>
      </c>
      <c r="G230" s="2" t="s">
        <v>447</v>
      </c>
      <c r="H230" s="2" t="s">
        <v>447</v>
      </c>
      <c r="I230" s="1" t="s">
        <v>447</v>
      </c>
      <c r="J230" t="s">
        <v>447</v>
      </c>
      <c r="K230" t="s">
        <v>447</v>
      </c>
      <c r="L230" t="s">
        <v>447</v>
      </c>
    </row>
    <row r="231" spans="1:12" x14ac:dyDescent="0.6">
      <c r="A231">
        <v>604589</v>
      </c>
      <c r="B231">
        <v>6</v>
      </c>
      <c r="C231">
        <v>4589</v>
      </c>
      <c r="D231" t="s">
        <v>807</v>
      </c>
      <c r="E231" t="s">
        <v>808</v>
      </c>
      <c r="F231" s="5">
        <v>501904</v>
      </c>
      <c r="G231" s="2">
        <v>48.8</v>
      </c>
      <c r="H231" s="2" t="s">
        <v>447</v>
      </c>
      <c r="I231" s="1">
        <v>17.8</v>
      </c>
      <c r="J231">
        <v>1</v>
      </c>
      <c r="K231" t="s">
        <v>447</v>
      </c>
      <c r="L231">
        <v>1</v>
      </c>
    </row>
    <row r="232" spans="1:12" x14ac:dyDescent="0.6">
      <c r="A232">
        <v>601371</v>
      </c>
      <c r="B232">
        <v>6</v>
      </c>
      <c r="C232">
        <v>1371</v>
      </c>
      <c r="D232" t="s">
        <v>241</v>
      </c>
      <c r="E232" t="s">
        <v>242</v>
      </c>
      <c r="F232" s="5">
        <v>500132</v>
      </c>
      <c r="G232" s="2">
        <v>54.1</v>
      </c>
      <c r="I232" s="1">
        <f>(17.85+21.5+20.81)/3</f>
        <v>20.053333333333331</v>
      </c>
      <c r="J232">
        <v>1</v>
      </c>
      <c r="L232">
        <v>49</v>
      </c>
    </row>
    <row r="233" spans="1:12" x14ac:dyDescent="0.6">
      <c r="A233">
        <v>600034</v>
      </c>
      <c r="B233">
        <v>6</v>
      </c>
      <c r="C233">
        <v>34</v>
      </c>
      <c r="D233" t="s">
        <v>598</v>
      </c>
      <c r="E233" t="s">
        <v>599</v>
      </c>
      <c r="F233" s="5">
        <v>492315</v>
      </c>
      <c r="G233" s="2" t="s">
        <v>447</v>
      </c>
      <c r="H233" s="2">
        <v>34</v>
      </c>
      <c r="I233" s="1">
        <v>18.399999999999999</v>
      </c>
      <c r="J233" t="s">
        <v>447</v>
      </c>
      <c r="K233">
        <v>15</v>
      </c>
      <c r="L233">
        <v>17</v>
      </c>
    </row>
    <row r="234" spans="1:12" x14ac:dyDescent="0.6">
      <c r="A234">
        <v>601341</v>
      </c>
      <c r="B234">
        <v>6</v>
      </c>
      <c r="C234">
        <v>1341</v>
      </c>
      <c r="D234" t="s">
        <v>215</v>
      </c>
      <c r="E234" t="s">
        <v>216</v>
      </c>
      <c r="F234" s="5">
        <v>492117</v>
      </c>
      <c r="G234" s="2">
        <v>47.9</v>
      </c>
      <c r="H234" s="2">
        <f>(28.5+35)/2</f>
        <v>31.75</v>
      </c>
      <c r="I234" s="1">
        <f>(16.4+17.1)/2</f>
        <v>16.75</v>
      </c>
      <c r="J234">
        <v>9</v>
      </c>
      <c r="K234">
        <v>45</v>
      </c>
      <c r="L234">
        <v>31</v>
      </c>
    </row>
    <row r="235" spans="1:12" x14ac:dyDescent="0.6">
      <c r="A235">
        <v>600940</v>
      </c>
      <c r="B235">
        <v>6</v>
      </c>
      <c r="C235">
        <v>940</v>
      </c>
      <c r="D235" t="s">
        <v>154</v>
      </c>
      <c r="E235" t="s">
        <v>155</v>
      </c>
      <c r="F235" s="5">
        <v>486870</v>
      </c>
      <c r="G235" s="2" t="s">
        <v>447</v>
      </c>
      <c r="H235" s="2" t="s">
        <v>447</v>
      </c>
      <c r="I235" s="1" t="s">
        <v>447</v>
      </c>
      <c r="J235" t="s">
        <v>447</v>
      </c>
      <c r="K235" t="s">
        <v>447</v>
      </c>
      <c r="L235" t="s">
        <v>447</v>
      </c>
    </row>
    <row r="236" spans="1:12" x14ac:dyDescent="0.6">
      <c r="A236">
        <v>690123</v>
      </c>
      <c r="B236">
        <v>6</v>
      </c>
      <c r="C236">
        <v>90123</v>
      </c>
      <c r="D236" t="s">
        <v>1261</v>
      </c>
      <c r="E236" t="s">
        <v>1262</v>
      </c>
      <c r="F236" s="5">
        <v>484241</v>
      </c>
      <c r="G236" s="2">
        <v>10</v>
      </c>
      <c r="H236" s="2" t="s">
        <v>447</v>
      </c>
      <c r="I236" s="1" t="s">
        <v>447</v>
      </c>
      <c r="J236">
        <v>7</v>
      </c>
      <c r="K236" t="s">
        <v>447</v>
      </c>
      <c r="L236" t="s">
        <v>447</v>
      </c>
    </row>
    <row r="237" spans="1:12" x14ac:dyDescent="0.6">
      <c r="A237">
        <v>600126</v>
      </c>
      <c r="B237">
        <v>6</v>
      </c>
      <c r="C237">
        <v>126</v>
      </c>
      <c r="D237" t="s">
        <v>671</v>
      </c>
      <c r="E237" t="s">
        <v>672</v>
      </c>
      <c r="F237" s="5">
        <v>483500</v>
      </c>
      <c r="G237" s="2">
        <f>(71.2+62)/2</f>
        <v>66.599999999999994</v>
      </c>
      <c r="H237" s="2" t="s">
        <v>447</v>
      </c>
      <c r="I237" s="1">
        <f>(21.6+21.1+19.3)/3</f>
        <v>20.666666666666668</v>
      </c>
      <c r="J237">
        <v>1</v>
      </c>
      <c r="K237" t="s">
        <v>447</v>
      </c>
      <c r="L237">
        <v>1</v>
      </c>
    </row>
    <row r="238" spans="1:12" x14ac:dyDescent="0.6">
      <c r="A238">
        <v>600097</v>
      </c>
      <c r="B238">
        <v>6</v>
      </c>
      <c r="C238">
        <v>97</v>
      </c>
      <c r="D238" t="s">
        <v>635</v>
      </c>
      <c r="E238" t="s">
        <v>636</v>
      </c>
      <c r="F238" s="5">
        <v>475636</v>
      </c>
      <c r="G238" s="2" t="s">
        <v>447</v>
      </c>
      <c r="H238" s="2" t="s">
        <v>447</v>
      </c>
      <c r="I238" s="1">
        <v>24.5</v>
      </c>
      <c r="J238" t="s">
        <v>447</v>
      </c>
      <c r="K238" t="s">
        <v>447</v>
      </c>
      <c r="L238">
        <v>1</v>
      </c>
    </row>
    <row r="239" spans="1:12" x14ac:dyDescent="0.6">
      <c r="A239">
        <v>601382</v>
      </c>
      <c r="B239">
        <v>6</v>
      </c>
      <c r="C239">
        <v>1382</v>
      </c>
      <c r="D239" t="s">
        <v>245</v>
      </c>
      <c r="E239" t="s">
        <v>246</v>
      </c>
      <c r="F239" s="5">
        <v>474109</v>
      </c>
      <c r="G239" s="2" t="s">
        <v>447</v>
      </c>
      <c r="H239" s="2">
        <v>35</v>
      </c>
      <c r="I239" s="1">
        <v>17.399999999999999</v>
      </c>
      <c r="J239" t="s">
        <v>447</v>
      </c>
      <c r="K239">
        <v>15</v>
      </c>
      <c r="L239">
        <v>1</v>
      </c>
    </row>
    <row r="240" spans="1:12" x14ac:dyDescent="0.6">
      <c r="A240">
        <v>600868</v>
      </c>
      <c r="B240">
        <v>6</v>
      </c>
      <c r="C240">
        <v>868</v>
      </c>
      <c r="D240" t="s">
        <v>134</v>
      </c>
      <c r="E240" t="s">
        <v>135</v>
      </c>
      <c r="F240" s="5">
        <v>471949</v>
      </c>
      <c r="G240" s="2" t="s">
        <v>447</v>
      </c>
      <c r="H240" s="2">
        <v>32</v>
      </c>
      <c r="I240" s="1" t="s">
        <v>447</v>
      </c>
      <c r="J240" t="s">
        <v>447</v>
      </c>
      <c r="K240">
        <v>2</v>
      </c>
      <c r="L240" t="s">
        <v>447</v>
      </c>
    </row>
    <row r="241" spans="1:12" x14ac:dyDescent="0.6">
      <c r="A241">
        <v>600257</v>
      </c>
      <c r="B241">
        <v>6</v>
      </c>
      <c r="C241">
        <v>257</v>
      </c>
      <c r="D241" t="s">
        <v>875</v>
      </c>
      <c r="E241" t="s">
        <v>876</v>
      </c>
      <c r="F241" s="5">
        <v>467302</v>
      </c>
      <c r="G241" s="2" t="s">
        <v>447</v>
      </c>
      <c r="H241" s="2" t="s">
        <v>447</v>
      </c>
      <c r="I241" s="1" t="s">
        <v>447</v>
      </c>
      <c r="J241" t="s">
        <v>447</v>
      </c>
      <c r="K241" t="s">
        <v>447</v>
      </c>
      <c r="L241" t="s">
        <v>447</v>
      </c>
    </row>
    <row r="242" spans="1:12" x14ac:dyDescent="0.6">
      <c r="A242">
        <v>690328</v>
      </c>
      <c r="B242">
        <v>6</v>
      </c>
      <c r="C242">
        <v>90328</v>
      </c>
      <c r="D242" t="s">
        <v>1407</v>
      </c>
      <c r="E242" t="s">
        <v>1408</v>
      </c>
      <c r="F242" s="5">
        <v>453694</v>
      </c>
      <c r="G242" s="2">
        <v>57</v>
      </c>
      <c r="H242" s="2" t="s">
        <v>447</v>
      </c>
      <c r="I242" s="1">
        <v>20.5</v>
      </c>
      <c r="J242">
        <v>4</v>
      </c>
      <c r="K242" t="s">
        <v>447</v>
      </c>
      <c r="L242">
        <v>4</v>
      </c>
    </row>
    <row r="243" spans="1:12" x14ac:dyDescent="0.6">
      <c r="A243">
        <v>690039</v>
      </c>
      <c r="B243">
        <v>6</v>
      </c>
      <c r="C243">
        <v>90039</v>
      </c>
      <c r="D243" t="s">
        <v>1183</v>
      </c>
      <c r="E243" t="s">
        <v>1184</v>
      </c>
      <c r="F243" s="5">
        <v>453260</v>
      </c>
      <c r="G243" s="2" t="s">
        <v>447</v>
      </c>
      <c r="H243" s="2" t="s">
        <v>447</v>
      </c>
      <c r="I243" s="1">
        <v>20.6</v>
      </c>
      <c r="J243" t="s">
        <v>447</v>
      </c>
      <c r="K243" t="s">
        <v>447</v>
      </c>
      <c r="L243">
        <v>16</v>
      </c>
    </row>
    <row r="244" spans="1:12" x14ac:dyDescent="0.6">
      <c r="A244">
        <v>600017</v>
      </c>
      <c r="B244">
        <v>6</v>
      </c>
      <c r="C244">
        <v>17</v>
      </c>
      <c r="D244" t="s">
        <v>580</v>
      </c>
      <c r="E244" t="s">
        <v>581</v>
      </c>
      <c r="F244" s="5">
        <v>446786</v>
      </c>
      <c r="G244" s="2" t="s">
        <v>447</v>
      </c>
      <c r="H244" s="2" t="s">
        <v>447</v>
      </c>
      <c r="I244" s="1">
        <v>19.38</v>
      </c>
      <c r="J244" t="s">
        <v>447</v>
      </c>
      <c r="K244" t="s">
        <v>447</v>
      </c>
      <c r="L244">
        <v>16</v>
      </c>
    </row>
    <row r="245" spans="1:12" x14ac:dyDescent="0.6">
      <c r="A245">
        <v>600519</v>
      </c>
      <c r="B245">
        <v>6</v>
      </c>
      <c r="C245">
        <v>519</v>
      </c>
      <c r="D245" t="s">
        <v>565</v>
      </c>
      <c r="E245" t="s">
        <v>566</v>
      </c>
      <c r="F245" s="5">
        <v>443862</v>
      </c>
      <c r="G245" s="2">
        <v>52.7</v>
      </c>
      <c r="H245" s="2">
        <v>27</v>
      </c>
      <c r="I245" s="1">
        <v>15.65</v>
      </c>
      <c r="J245">
        <v>1</v>
      </c>
      <c r="K245">
        <v>2</v>
      </c>
      <c r="L245">
        <v>1</v>
      </c>
    </row>
    <row r="246" spans="1:12" x14ac:dyDescent="0.6">
      <c r="A246">
        <v>600071</v>
      </c>
      <c r="B246">
        <v>6</v>
      </c>
      <c r="C246">
        <v>71</v>
      </c>
      <c r="D246" t="s">
        <v>617</v>
      </c>
      <c r="E246" t="s">
        <v>618</v>
      </c>
      <c r="F246" s="5">
        <v>437546</v>
      </c>
      <c r="G246" s="2" t="s">
        <v>447</v>
      </c>
      <c r="H246" s="2" t="s">
        <v>447</v>
      </c>
      <c r="I246" s="1" t="s">
        <v>447</v>
      </c>
      <c r="J246" t="s">
        <v>447</v>
      </c>
      <c r="K246" t="s">
        <v>447</v>
      </c>
      <c r="L246" t="s">
        <v>447</v>
      </c>
    </row>
    <row r="247" spans="1:12" x14ac:dyDescent="0.6">
      <c r="A247">
        <v>601348</v>
      </c>
      <c r="B247">
        <v>6</v>
      </c>
      <c r="C247">
        <v>1348</v>
      </c>
      <c r="D247" t="s">
        <v>221</v>
      </c>
      <c r="E247" t="s">
        <v>222</v>
      </c>
      <c r="F247" s="5">
        <v>434259</v>
      </c>
      <c r="G247" s="2">
        <v>40.5</v>
      </c>
      <c r="H247" s="2" t="s">
        <v>447</v>
      </c>
      <c r="I247" s="1">
        <v>17.7</v>
      </c>
      <c r="J247">
        <v>1</v>
      </c>
      <c r="K247" t="s">
        <v>447</v>
      </c>
      <c r="L247">
        <v>1</v>
      </c>
    </row>
    <row r="248" spans="1:12" x14ac:dyDescent="0.6">
      <c r="A248">
        <v>600035</v>
      </c>
      <c r="B248">
        <v>6</v>
      </c>
      <c r="C248">
        <v>35</v>
      </c>
      <c r="D248" t="s">
        <v>600</v>
      </c>
      <c r="E248" t="s">
        <v>601</v>
      </c>
      <c r="F248" s="5">
        <v>430399</v>
      </c>
      <c r="G248" s="2">
        <v>60</v>
      </c>
      <c r="H248" s="2" t="s">
        <v>447</v>
      </c>
      <c r="I248" s="1">
        <f>(16.6+18.44)/2</f>
        <v>17.520000000000003</v>
      </c>
      <c r="J248">
        <v>2</v>
      </c>
      <c r="K248" t="s">
        <v>447</v>
      </c>
      <c r="L248">
        <v>49</v>
      </c>
    </row>
    <row r="249" spans="1:12" x14ac:dyDescent="0.6">
      <c r="A249">
        <v>600645</v>
      </c>
      <c r="B249">
        <v>6</v>
      </c>
      <c r="C249">
        <v>645</v>
      </c>
      <c r="D249" t="s">
        <v>96</v>
      </c>
      <c r="E249" t="s">
        <v>97</v>
      </c>
      <c r="F249" s="5">
        <v>426154</v>
      </c>
      <c r="G249" s="2" t="s">
        <v>447</v>
      </c>
      <c r="H249" s="2">
        <v>56.5</v>
      </c>
      <c r="I249" s="1">
        <v>20.3</v>
      </c>
      <c r="J249" t="s">
        <v>447</v>
      </c>
      <c r="K249">
        <v>1</v>
      </c>
      <c r="L249">
        <v>1</v>
      </c>
    </row>
    <row r="250" spans="1:12" x14ac:dyDescent="0.6">
      <c r="A250">
        <v>600890</v>
      </c>
      <c r="B250">
        <v>6</v>
      </c>
      <c r="C250">
        <v>890</v>
      </c>
      <c r="D250" t="s">
        <v>144</v>
      </c>
      <c r="E250" t="s">
        <v>145</v>
      </c>
      <c r="F250" s="5">
        <v>425923</v>
      </c>
      <c r="G250" s="2" t="s">
        <v>447</v>
      </c>
      <c r="H250" s="2" t="s">
        <v>447</v>
      </c>
      <c r="I250" s="1">
        <v>21.3</v>
      </c>
      <c r="J250" t="s">
        <v>447</v>
      </c>
      <c r="K250" t="s">
        <v>447</v>
      </c>
      <c r="L250">
        <v>1</v>
      </c>
    </row>
    <row r="251" spans="1:12" x14ac:dyDescent="0.6">
      <c r="A251">
        <v>600217</v>
      </c>
      <c r="B251">
        <v>6</v>
      </c>
      <c r="C251">
        <v>217</v>
      </c>
      <c r="D251" t="s">
        <v>411</v>
      </c>
      <c r="E251" t="s">
        <v>412</v>
      </c>
      <c r="F251" s="5">
        <v>420879</v>
      </c>
      <c r="G251" s="2">
        <v>67.2</v>
      </c>
      <c r="H251" s="2" t="s">
        <v>447</v>
      </c>
      <c r="I251" s="1">
        <v>20.3</v>
      </c>
      <c r="J251">
        <v>1</v>
      </c>
      <c r="K251" t="s">
        <v>447</v>
      </c>
      <c r="L251">
        <v>1</v>
      </c>
    </row>
    <row r="252" spans="1:12" x14ac:dyDescent="0.6">
      <c r="A252">
        <v>690440</v>
      </c>
      <c r="B252">
        <v>6</v>
      </c>
      <c r="C252">
        <v>90440</v>
      </c>
      <c r="D252" t="s">
        <v>60</v>
      </c>
      <c r="E252" t="s">
        <v>61</v>
      </c>
      <c r="F252" s="5">
        <v>392996</v>
      </c>
      <c r="G252" s="2">
        <v>57</v>
      </c>
      <c r="H252" s="2" t="s">
        <v>447</v>
      </c>
      <c r="I252" s="1">
        <f>(20.5+20.3)/2</f>
        <v>20.399999999999999</v>
      </c>
      <c r="J252">
        <v>4</v>
      </c>
      <c r="K252" t="s">
        <v>447</v>
      </c>
      <c r="L252">
        <v>52</v>
      </c>
    </row>
    <row r="253" spans="1:12" x14ac:dyDescent="0.6">
      <c r="A253">
        <v>600120</v>
      </c>
      <c r="B253">
        <v>6</v>
      </c>
      <c r="C253">
        <v>120</v>
      </c>
      <c r="D253" t="s">
        <v>663</v>
      </c>
      <c r="E253" t="s">
        <v>664</v>
      </c>
      <c r="F253" s="5">
        <v>383301</v>
      </c>
      <c r="G253" s="2" t="s">
        <v>447</v>
      </c>
      <c r="H253" s="2" t="s">
        <v>447</v>
      </c>
      <c r="I253" s="1">
        <f>(20.3+20.28)/2</f>
        <v>20.29</v>
      </c>
      <c r="J253" t="s">
        <v>447</v>
      </c>
      <c r="K253" t="s">
        <v>447</v>
      </c>
      <c r="L253">
        <v>49</v>
      </c>
    </row>
    <row r="254" spans="1:12" x14ac:dyDescent="0.6">
      <c r="A254">
        <v>600171</v>
      </c>
      <c r="B254">
        <v>6</v>
      </c>
      <c r="C254">
        <v>171</v>
      </c>
      <c r="D254" t="s">
        <v>705</v>
      </c>
      <c r="E254" t="s">
        <v>706</v>
      </c>
      <c r="F254" s="5">
        <v>374236</v>
      </c>
      <c r="G254" s="2" t="s">
        <v>447</v>
      </c>
      <c r="H254" s="2" t="s">
        <v>447</v>
      </c>
      <c r="I254" s="1" t="s">
        <v>447</v>
      </c>
      <c r="J254" t="s">
        <v>447</v>
      </c>
      <c r="K254" t="s">
        <v>447</v>
      </c>
      <c r="L254" t="s">
        <v>447</v>
      </c>
    </row>
    <row r="255" spans="1:12" x14ac:dyDescent="0.6">
      <c r="A255">
        <v>600532</v>
      </c>
      <c r="B255">
        <v>6</v>
      </c>
      <c r="C255">
        <v>532</v>
      </c>
      <c r="D255" t="s">
        <v>88</v>
      </c>
      <c r="E255" t="s">
        <v>89</v>
      </c>
      <c r="F255" s="5">
        <v>368933</v>
      </c>
      <c r="G255" s="2" t="s">
        <v>447</v>
      </c>
      <c r="H255" s="2" t="s">
        <v>447</v>
      </c>
      <c r="I255" s="1">
        <v>14.18</v>
      </c>
      <c r="J255" t="s">
        <v>447</v>
      </c>
      <c r="K255" t="s">
        <v>447</v>
      </c>
      <c r="L255">
        <v>16</v>
      </c>
    </row>
    <row r="256" spans="1:12" x14ac:dyDescent="0.6">
      <c r="A256">
        <v>690314</v>
      </c>
      <c r="B256">
        <v>6</v>
      </c>
      <c r="C256">
        <v>90314</v>
      </c>
      <c r="D256" t="s">
        <v>1393</v>
      </c>
      <c r="E256" t="s">
        <v>1394</v>
      </c>
      <c r="F256" s="5">
        <v>365378</v>
      </c>
      <c r="G256" s="2">
        <f>(10+14.2)/2</f>
        <v>12.1</v>
      </c>
      <c r="H256" s="2" t="s">
        <v>447</v>
      </c>
      <c r="I256" s="1" t="s">
        <v>447</v>
      </c>
      <c r="J256">
        <v>29</v>
      </c>
      <c r="K256" t="s">
        <v>447</v>
      </c>
      <c r="L256" t="s">
        <v>447</v>
      </c>
    </row>
    <row r="257" spans="1:12" x14ac:dyDescent="0.6">
      <c r="A257">
        <v>600893</v>
      </c>
      <c r="B257">
        <v>6</v>
      </c>
      <c r="C257">
        <v>893</v>
      </c>
      <c r="D257" t="s">
        <v>146</v>
      </c>
      <c r="E257" t="s">
        <v>147</v>
      </c>
      <c r="F257" s="5">
        <v>365353</v>
      </c>
      <c r="G257" s="2" t="s">
        <v>447</v>
      </c>
      <c r="H257" s="2" t="s">
        <v>447</v>
      </c>
      <c r="I257" s="1" t="s">
        <v>447</v>
      </c>
      <c r="J257" t="s">
        <v>447</v>
      </c>
      <c r="K257" t="s">
        <v>447</v>
      </c>
      <c r="L257" t="s">
        <v>447</v>
      </c>
    </row>
    <row r="258" spans="1:12" x14ac:dyDescent="0.6">
      <c r="A258">
        <v>690127</v>
      </c>
      <c r="B258">
        <v>6</v>
      </c>
      <c r="C258">
        <v>90127</v>
      </c>
      <c r="D258" t="s">
        <v>1267</v>
      </c>
      <c r="E258" t="s">
        <v>1268</v>
      </c>
      <c r="F258" s="5">
        <v>360586</v>
      </c>
      <c r="G258" s="2" t="s">
        <v>447</v>
      </c>
      <c r="H258" s="2" t="s">
        <v>447</v>
      </c>
      <c r="I258" s="1" t="s">
        <v>447</v>
      </c>
      <c r="J258" t="s">
        <v>447</v>
      </c>
      <c r="K258" t="s">
        <v>447</v>
      </c>
      <c r="L258" t="s">
        <v>447</v>
      </c>
    </row>
    <row r="259" spans="1:12" x14ac:dyDescent="0.6">
      <c r="A259">
        <v>600467</v>
      </c>
      <c r="B259">
        <v>6</v>
      </c>
      <c r="C259">
        <v>467</v>
      </c>
      <c r="D259" t="s">
        <v>484</v>
      </c>
      <c r="E259" t="s">
        <v>485</v>
      </c>
      <c r="F259" s="5">
        <v>359368</v>
      </c>
      <c r="G259" s="2">
        <v>55.8</v>
      </c>
      <c r="H259" s="2" t="s">
        <v>447</v>
      </c>
      <c r="I259" s="1">
        <v>13.4</v>
      </c>
      <c r="J259">
        <v>1</v>
      </c>
      <c r="K259" t="s">
        <v>447</v>
      </c>
      <c r="L259">
        <v>1</v>
      </c>
    </row>
    <row r="260" spans="1:12" x14ac:dyDescent="0.6">
      <c r="A260">
        <v>690356</v>
      </c>
      <c r="B260">
        <v>6</v>
      </c>
      <c r="C260">
        <v>90356</v>
      </c>
      <c r="D260" t="s">
        <v>8</v>
      </c>
      <c r="E260" t="s">
        <v>9</v>
      </c>
      <c r="F260" s="5">
        <v>354101</v>
      </c>
      <c r="G260" s="2" t="s">
        <v>447</v>
      </c>
      <c r="H260" s="2" t="s">
        <v>447</v>
      </c>
      <c r="I260" s="1" t="s">
        <v>447</v>
      </c>
      <c r="J260" t="s">
        <v>447</v>
      </c>
      <c r="K260" t="s">
        <v>447</v>
      </c>
      <c r="L260" t="s">
        <v>447</v>
      </c>
    </row>
    <row r="261" spans="1:12" x14ac:dyDescent="0.6">
      <c r="A261">
        <v>601338</v>
      </c>
      <c r="B261">
        <v>6</v>
      </c>
      <c r="C261">
        <v>1338</v>
      </c>
      <c r="D261" t="s">
        <v>211</v>
      </c>
      <c r="E261" t="s">
        <v>212</v>
      </c>
      <c r="F261" s="5">
        <v>352777</v>
      </c>
      <c r="G261" s="2" t="s">
        <v>447</v>
      </c>
      <c r="H261" s="2">
        <v>35</v>
      </c>
      <c r="I261" s="1">
        <v>20</v>
      </c>
      <c r="J261" t="s">
        <v>447</v>
      </c>
      <c r="K261">
        <v>15</v>
      </c>
      <c r="L261">
        <v>1</v>
      </c>
    </row>
    <row r="262" spans="1:12" x14ac:dyDescent="0.6">
      <c r="A262">
        <v>690256</v>
      </c>
      <c r="B262">
        <v>6</v>
      </c>
      <c r="C262">
        <v>90256</v>
      </c>
      <c r="D262" t="s">
        <v>1345</v>
      </c>
      <c r="E262" t="s">
        <v>1346</v>
      </c>
      <c r="F262" s="5">
        <v>345968</v>
      </c>
      <c r="G262" s="2">
        <v>10</v>
      </c>
      <c r="H262" s="2" t="s">
        <v>447</v>
      </c>
      <c r="I262" s="1" t="s">
        <v>447</v>
      </c>
      <c r="J262">
        <v>7</v>
      </c>
      <c r="K262" t="s">
        <v>447</v>
      </c>
      <c r="L262" t="s">
        <v>447</v>
      </c>
    </row>
    <row r="263" spans="1:12" x14ac:dyDescent="0.6">
      <c r="A263">
        <v>690076</v>
      </c>
      <c r="B263">
        <v>6</v>
      </c>
      <c r="C263">
        <v>90076</v>
      </c>
      <c r="D263" t="s">
        <v>1223</v>
      </c>
      <c r="E263" t="s">
        <v>1224</v>
      </c>
      <c r="F263" s="5">
        <v>345686</v>
      </c>
      <c r="G263" s="2">
        <v>26</v>
      </c>
      <c r="H263" s="2" t="s">
        <v>447</v>
      </c>
      <c r="I263" s="1" t="s">
        <v>447</v>
      </c>
      <c r="J263">
        <v>2</v>
      </c>
      <c r="K263" t="s">
        <v>447</v>
      </c>
      <c r="L263" t="s">
        <v>447</v>
      </c>
    </row>
    <row r="264" spans="1:12" x14ac:dyDescent="0.6">
      <c r="A264">
        <v>600408</v>
      </c>
      <c r="B264">
        <v>6</v>
      </c>
      <c r="C264">
        <v>408</v>
      </c>
      <c r="D264" t="s">
        <v>1050</v>
      </c>
      <c r="E264" t="s">
        <v>1051</v>
      </c>
      <c r="F264" s="5">
        <v>344387</v>
      </c>
      <c r="G264" s="2">
        <v>44</v>
      </c>
      <c r="H264" s="2" t="s">
        <v>447</v>
      </c>
      <c r="I264" s="1">
        <f>(19.8+17.8+17.18)/3</f>
        <v>18.260000000000002</v>
      </c>
      <c r="J264">
        <v>1</v>
      </c>
      <c r="K264" t="s">
        <v>447</v>
      </c>
      <c r="L264">
        <v>49</v>
      </c>
    </row>
    <row r="265" spans="1:12" x14ac:dyDescent="0.6">
      <c r="A265">
        <v>690378</v>
      </c>
      <c r="B265">
        <v>6</v>
      </c>
      <c r="C265">
        <v>90378</v>
      </c>
      <c r="D265" t="s">
        <v>20</v>
      </c>
      <c r="E265" t="s">
        <v>21</v>
      </c>
      <c r="F265" s="5">
        <v>335524</v>
      </c>
      <c r="G265" s="2">
        <v>57</v>
      </c>
      <c r="H265" s="2" t="s">
        <v>447</v>
      </c>
      <c r="I265" s="1">
        <f>(20.5+20.3)/2</f>
        <v>20.399999999999999</v>
      </c>
      <c r="J265">
        <v>4</v>
      </c>
      <c r="K265" t="s">
        <v>447</v>
      </c>
      <c r="L265">
        <v>52</v>
      </c>
    </row>
    <row r="266" spans="1:12" x14ac:dyDescent="0.6">
      <c r="A266">
        <v>600427</v>
      </c>
      <c r="B266">
        <v>6</v>
      </c>
      <c r="C266">
        <v>427</v>
      </c>
      <c r="D266" t="s">
        <v>1082</v>
      </c>
      <c r="E266" t="s">
        <v>1083</v>
      </c>
      <c r="F266" s="5">
        <v>333866</v>
      </c>
      <c r="G266" s="2" t="s">
        <v>447</v>
      </c>
      <c r="H266" s="2" t="s">
        <v>447</v>
      </c>
      <c r="I266" s="1" t="s">
        <v>447</v>
      </c>
      <c r="J266" t="s">
        <v>447</v>
      </c>
      <c r="K266" t="s">
        <v>447</v>
      </c>
      <c r="L266" t="s">
        <v>447</v>
      </c>
    </row>
    <row r="267" spans="1:12" x14ac:dyDescent="0.6">
      <c r="A267">
        <v>600062</v>
      </c>
      <c r="B267">
        <v>6</v>
      </c>
      <c r="C267">
        <v>62</v>
      </c>
      <c r="D267" t="s">
        <v>607</v>
      </c>
      <c r="E267" t="s">
        <v>608</v>
      </c>
      <c r="F267" s="5">
        <v>331836</v>
      </c>
      <c r="G267" s="2">
        <v>25</v>
      </c>
      <c r="H267" s="2" t="s">
        <v>447</v>
      </c>
      <c r="I267" s="1">
        <v>8.1</v>
      </c>
      <c r="J267">
        <v>1</v>
      </c>
      <c r="K267" t="s">
        <v>447</v>
      </c>
      <c r="L267">
        <v>1</v>
      </c>
    </row>
    <row r="268" spans="1:12" x14ac:dyDescent="0.6">
      <c r="A268">
        <v>600341</v>
      </c>
      <c r="B268">
        <v>6</v>
      </c>
      <c r="C268">
        <v>341</v>
      </c>
      <c r="D268" t="s">
        <v>956</v>
      </c>
      <c r="E268" t="s">
        <v>957</v>
      </c>
      <c r="F268" s="5">
        <v>330291</v>
      </c>
      <c r="G268" s="2" t="s">
        <v>447</v>
      </c>
      <c r="H268" s="2">
        <v>46</v>
      </c>
      <c r="I268" s="1">
        <v>20.65</v>
      </c>
      <c r="J268" t="s">
        <v>447</v>
      </c>
      <c r="K268">
        <v>1</v>
      </c>
      <c r="L268">
        <v>1</v>
      </c>
    </row>
    <row r="269" spans="1:12" x14ac:dyDescent="0.6">
      <c r="A269">
        <v>690190</v>
      </c>
      <c r="B269">
        <v>6</v>
      </c>
      <c r="C269">
        <v>90190</v>
      </c>
      <c r="D269" t="s">
        <v>1305</v>
      </c>
      <c r="E269" t="s">
        <v>1306</v>
      </c>
      <c r="F269" s="5">
        <v>329224</v>
      </c>
      <c r="G269" s="2">
        <v>21.9</v>
      </c>
      <c r="H269" s="2" t="s">
        <v>447</v>
      </c>
      <c r="I269" s="1">
        <v>19.600000000000001</v>
      </c>
      <c r="J269">
        <v>11</v>
      </c>
      <c r="K269" t="s">
        <v>447</v>
      </c>
      <c r="L269">
        <v>11</v>
      </c>
    </row>
    <row r="270" spans="1:12" x14ac:dyDescent="0.6">
      <c r="A270">
        <v>600413</v>
      </c>
      <c r="B270">
        <v>6</v>
      </c>
      <c r="C270">
        <v>413</v>
      </c>
      <c r="D270" t="s">
        <v>1060</v>
      </c>
      <c r="E270" t="s">
        <v>1061</v>
      </c>
      <c r="F270" s="5">
        <v>324780</v>
      </c>
      <c r="G270" s="2" t="s">
        <v>447</v>
      </c>
      <c r="H270" s="2" t="s">
        <v>447</v>
      </c>
      <c r="I270" s="1" t="s">
        <v>447</v>
      </c>
      <c r="J270" t="s">
        <v>447</v>
      </c>
      <c r="K270" t="s">
        <v>447</v>
      </c>
      <c r="L270" t="s">
        <v>447</v>
      </c>
    </row>
    <row r="271" spans="1:12" x14ac:dyDescent="0.6">
      <c r="A271">
        <v>601486</v>
      </c>
      <c r="B271">
        <v>6</v>
      </c>
      <c r="C271">
        <v>1486</v>
      </c>
      <c r="D271" t="s">
        <v>279</v>
      </c>
      <c r="E271" t="s">
        <v>280</v>
      </c>
      <c r="F271" s="5">
        <v>309574</v>
      </c>
      <c r="G271" s="2" t="s">
        <v>447</v>
      </c>
      <c r="H271" s="2" t="s">
        <v>447</v>
      </c>
      <c r="I271" s="1">
        <v>22.5</v>
      </c>
      <c r="J271" t="s">
        <v>447</v>
      </c>
      <c r="K271" t="s">
        <v>447</v>
      </c>
      <c r="L271">
        <v>1</v>
      </c>
    </row>
    <row r="272" spans="1:12" x14ac:dyDescent="0.6">
      <c r="A272">
        <v>600485</v>
      </c>
      <c r="B272">
        <v>6</v>
      </c>
      <c r="C272">
        <v>485</v>
      </c>
      <c r="D272" t="s">
        <v>513</v>
      </c>
      <c r="E272" t="s">
        <v>514</v>
      </c>
      <c r="F272" s="5">
        <v>307014</v>
      </c>
      <c r="G272" s="2" t="s">
        <v>447</v>
      </c>
      <c r="H272" s="2">
        <f>(42+41)/2</f>
        <v>41.5</v>
      </c>
      <c r="I272" s="1">
        <f>(17.45+19)/2</f>
        <v>18.225000000000001</v>
      </c>
      <c r="J272" t="s">
        <v>447</v>
      </c>
      <c r="K272">
        <v>1</v>
      </c>
      <c r="L272">
        <v>1</v>
      </c>
    </row>
    <row r="273" spans="1:12" x14ac:dyDescent="0.6">
      <c r="A273">
        <v>600412</v>
      </c>
      <c r="B273">
        <v>6</v>
      </c>
      <c r="C273">
        <v>412</v>
      </c>
      <c r="D273" t="s">
        <v>1058</v>
      </c>
      <c r="E273" t="s">
        <v>1059</v>
      </c>
      <c r="F273" s="5">
        <v>306243</v>
      </c>
      <c r="G273" s="2" t="s">
        <v>447</v>
      </c>
      <c r="H273" s="2">
        <v>54</v>
      </c>
      <c r="I273" s="1">
        <v>20.6</v>
      </c>
      <c r="J273" t="s">
        <v>447</v>
      </c>
      <c r="K273">
        <v>1</v>
      </c>
      <c r="L273">
        <v>1</v>
      </c>
    </row>
    <row r="274" spans="1:12" x14ac:dyDescent="0.6">
      <c r="A274">
        <v>605048</v>
      </c>
      <c r="B274">
        <v>6</v>
      </c>
      <c r="C274">
        <v>5048</v>
      </c>
      <c r="D274" t="s">
        <v>835</v>
      </c>
      <c r="E274" t="s">
        <v>836</v>
      </c>
      <c r="F274" s="5">
        <v>304425</v>
      </c>
      <c r="G274" s="2" t="s">
        <v>447</v>
      </c>
      <c r="H274" s="2" t="s">
        <v>447</v>
      </c>
      <c r="I274" s="1">
        <v>21.2</v>
      </c>
      <c r="J274" t="s">
        <v>447</v>
      </c>
      <c r="K274" t="s">
        <v>447</v>
      </c>
      <c r="L274">
        <v>1</v>
      </c>
    </row>
    <row r="275" spans="1:12" x14ac:dyDescent="0.6">
      <c r="A275">
        <v>600363</v>
      </c>
      <c r="B275">
        <v>6</v>
      </c>
      <c r="C275">
        <v>363</v>
      </c>
      <c r="D275" t="s">
        <v>983</v>
      </c>
      <c r="E275" t="s">
        <v>984</v>
      </c>
      <c r="F275" s="5">
        <v>304218</v>
      </c>
      <c r="G275" s="2" t="s">
        <v>447</v>
      </c>
      <c r="H275" s="2" t="s">
        <v>447</v>
      </c>
      <c r="I275" s="1">
        <v>17</v>
      </c>
      <c r="J275" t="s">
        <v>447</v>
      </c>
      <c r="K275" t="s">
        <v>447</v>
      </c>
      <c r="L275">
        <v>1</v>
      </c>
    </row>
    <row r="276" spans="1:12" x14ac:dyDescent="0.6">
      <c r="A276">
        <v>600460</v>
      </c>
      <c r="B276">
        <v>6</v>
      </c>
      <c r="C276">
        <v>460</v>
      </c>
      <c r="D276" t="s">
        <v>473</v>
      </c>
      <c r="F276" s="5">
        <v>304046</v>
      </c>
      <c r="G276" s="2">
        <v>41.5</v>
      </c>
      <c r="H276" s="2" t="s">
        <v>447</v>
      </c>
      <c r="I276" s="1">
        <v>20</v>
      </c>
      <c r="J276">
        <v>1</v>
      </c>
      <c r="K276" t="s">
        <v>447</v>
      </c>
      <c r="L276">
        <v>1</v>
      </c>
    </row>
    <row r="277" spans="1:12" x14ac:dyDescent="0.6">
      <c r="A277">
        <v>600391</v>
      </c>
      <c r="B277">
        <v>6</v>
      </c>
      <c r="C277">
        <v>391</v>
      </c>
      <c r="D277" t="s">
        <v>1023</v>
      </c>
      <c r="E277" t="s">
        <v>1024</v>
      </c>
      <c r="F277" s="5">
        <v>294545</v>
      </c>
      <c r="G277" s="2" t="s">
        <v>447</v>
      </c>
      <c r="H277" s="2">
        <v>57.5</v>
      </c>
      <c r="I277" s="1">
        <f>(15.8+17.25)/2</f>
        <v>16.524999999999999</v>
      </c>
      <c r="J277" t="s">
        <v>447</v>
      </c>
      <c r="K277">
        <v>1</v>
      </c>
      <c r="L277">
        <v>1</v>
      </c>
    </row>
    <row r="278" spans="1:12" x14ac:dyDescent="0.6">
      <c r="A278">
        <v>690124</v>
      </c>
      <c r="B278">
        <v>6</v>
      </c>
      <c r="C278">
        <v>90124</v>
      </c>
      <c r="D278" t="s">
        <v>1263</v>
      </c>
      <c r="E278" t="s">
        <v>1264</v>
      </c>
      <c r="F278" s="5">
        <v>293897</v>
      </c>
      <c r="G278" s="2" t="s">
        <v>447</v>
      </c>
      <c r="H278" s="2" t="s">
        <v>447</v>
      </c>
      <c r="I278" s="1" t="s">
        <v>447</v>
      </c>
      <c r="J278" t="s">
        <v>447</v>
      </c>
      <c r="K278" t="s">
        <v>447</v>
      </c>
      <c r="L278" t="s">
        <v>447</v>
      </c>
    </row>
    <row r="279" spans="1:12" x14ac:dyDescent="0.6">
      <c r="A279">
        <v>610106</v>
      </c>
      <c r="B279">
        <v>6</v>
      </c>
      <c r="C279">
        <v>10106</v>
      </c>
      <c r="D279" t="s">
        <v>1129</v>
      </c>
      <c r="E279" t="s">
        <v>1130</v>
      </c>
      <c r="F279" s="5">
        <v>291371</v>
      </c>
      <c r="G279" s="2" t="s">
        <v>447</v>
      </c>
      <c r="H279" s="2" t="s">
        <v>447</v>
      </c>
      <c r="I279" s="1" t="s">
        <v>447</v>
      </c>
      <c r="J279" t="s">
        <v>447</v>
      </c>
      <c r="K279" t="s">
        <v>447</v>
      </c>
      <c r="L279" t="s">
        <v>447</v>
      </c>
    </row>
    <row r="280" spans="1:12" x14ac:dyDescent="0.6">
      <c r="A280">
        <v>690434</v>
      </c>
      <c r="B280">
        <v>6</v>
      </c>
      <c r="C280">
        <v>90434</v>
      </c>
      <c r="D280" t="s">
        <v>58</v>
      </c>
      <c r="E280" t="s">
        <v>59</v>
      </c>
      <c r="F280" s="5">
        <v>289767</v>
      </c>
      <c r="G280" s="2" t="s">
        <v>447</v>
      </c>
      <c r="H280" s="2" t="s">
        <v>447</v>
      </c>
      <c r="I280" s="1">
        <v>23.84</v>
      </c>
      <c r="J280" t="s">
        <v>447</v>
      </c>
      <c r="K280" t="s">
        <v>447</v>
      </c>
      <c r="L280">
        <v>16</v>
      </c>
    </row>
    <row r="281" spans="1:12" x14ac:dyDescent="0.6">
      <c r="A281">
        <v>601423</v>
      </c>
      <c r="B281">
        <v>6</v>
      </c>
      <c r="C281">
        <v>1423</v>
      </c>
      <c r="D281" t="s">
        <v>253</v>
      </c>
      <c r="E281" t="s">
        <v>254</v>
      </c>
      <c r="F281" s="5">
        <v>287954</v>
      </c>
      <c r="G281" s="2">
        <v>49</v>
      </c>
      <c r="H281" s="2" t="s">
        <v>447</v>
      </c>
      <c r="I281" s="1">
        <f>(20.05+19.6)/2</f>
        <v>19.825000000000003</v>
      </c>
      <c r="J281">
        <v>1</v>
      </c>
      <c r="K281" t="s">
        <v>447</v>
      </c>
      <c r="L281">
        <v>1</v>
      </c>
    </row>
    <row r="282" spans="1:12" x14ac:dyDescent="0.6">
      <c r="A282">
        <v>601756</v>
      </c>
      <c r="B282">
        <v>6</v>
      </c>
      <c r="C282">
        <v>1756</v>
      </c>
      <c r="D282" t="s">
        <v>345</v>
      </c>
      <c r="E282" t="s">
        <v>346</v>
      </c>
      <c r="F282" s="5">
        <v>286392</v>
      </c>
      <c r="G282" s="2" t="s">
        <v>447</v>
      </c>
      <c r="H282" s="2">
        <v>51.5</v>
      </c>
      <c r="I282" s="1">
        <v>19.600000000000001</v>
      </c>
      <c r="J282" t="s">
        <v>447</v>
      </c>
      <c r="K282">
        <v>1</v>
      </c>
      <c r="L282">
        <v>1</v>
      </c>
    </row>
    <row r="283" spans="1:12" x14ac:dyDescent="0.6">
      <c r="A283">
        <v>600509</v>
      </c>
      <c r="B283">
        <v>6</v>
      </c>
      <c r="C283">
        <v>509</v>
      </c>
      <c r="D283" t="s">
        <v>550</v>
      </c>
      <c r="E283" t="s">
        <v>551</v>
      </c>
      <c r="F283" s="5">
        <v>282991</v>
      </c>
      <c r="G283" s="2">
        <v>47</v>
      </c>
      <c r="H283" s="2">
        <f>(47.4+35+31)/3</f>
        <v>37.800000000000004</v>
      </c>
      <c r="I283" s="1">
        <f>(17.55+17.7+17.7+17.66)/4</f>
        <v>17.6525</v>
      </c>
      <c r="J283">
        <v>9</v>
      </c>
      <c r="K283">
        <v>39</v>
      </c>
      <c r="L283">
        <v>54</v>
      </c>
    </row>
    <row r="284" spans="1:12" x14ac:dyDescent="0.6">
      <c r="A284">
        <v>600501</v>
      </c>
      <c r="B284">
        <v>6</v>
      </c>
      <c r="C284">
        <v>501</v>
      </c>
      <c r="D284" t="s">
        <v>534</v>
      </c>
      <c r="E284" t="s">
        <v>535</v>
      </c>
      <c r="F284" s="5">
        <v>282852</v>
      </c>
      <c r="G284" s="2">
        <f>(49.6+46.5)/2</f>
        <v>48.05</v>
      </c>
      <c r="H284" s="2">
        <f>(27+29)/2</f>
        <v>28</v>
      </c>
      <c r="I284" s="1">
        <f>(18.1+18.4+19)/3</f>
        <v>18.5</v>
      </c>
      <c r="J284">
        <v>31</v>
      </c>
      <c r="K284">
        <v>43</v>
      </c>
      <c r="L284">
        <v>31</v>
      </c>
    </row>
    <row r="285" spans="1:12" x14ac:dyDescent="0.6">
      <c r="A285">
        <v>600492</v>
      </c>
      <c r="B285">
        <v>6</v>
      </c>
      <c r="C285">
        <v>492</v>
      </c>
      <c r="D285" t="s">
        <v>527</v>
      </c>
      <c r="E285" t="s">
        <v>528</v>
      </c>
      <c r="F285" s="5">
        <v>281793</v>
      </c>
      <c r="G285" s="2">
        <v>58</v>
      </c>
      <c r="H285" s="2" t="s">
        <v>447</v>
      </c>
      <c r="I285" s="1">
        <f>(17.5+17.3+17.28)/3</f>
        <v>17.36</v>
      </c>
      <c r="J285">
        <v>1</v>
      </c>
      <c r="K285" t="s">
        <v>447</v>
      </c>
      <c r="L285">
        <v>49</v>
      </c>
    </row>
    <row r="286" spans="1:12" x14ac:dyDescent="0.6">
      <c r="A286">
        <v>600950</v>
      </c>
      <c r="B286">
        <v>6</v>
      </c>
      <c r="C286">
        <v>950</v>
      </c>
      <c r="D286" t="s">
        <v>157</v>
      </c>
      <c r="E286" t="s">
        <v>158</v>
      </c>
      <c r="F286" s="5">
        <v>275357</v>
      </c>
      <c r="G286" s="2" t="s">
        <v>447</v>
      </c>
      <c r="H286" s="2" t="s">
        <v>447</v>
      </c>
      <c r="I286" s="1" t="s">
        <v>447</v>
      </c>
      <c r="J286" t="s">
        <v>447</v>
      </c>
      <c r="K286" t="s">
        <v>447</v>
      </c>
      <c r="L286" t="s">
        <v>447</v>
      </c>
    </row>
    <row r="287" spans="1:12" x14ac:dyDescent="0.6">
      <c r="A287">
        <v>690077</v>
      </c>
      <c r="B287">
        <v>6</v>
      </c>
      <c r="C287">
        <v>90077</v>
      </c>
      <c r="D287" t="s">
        <v>1225</v>
      </c>
      <c r="E287" t="s">
        <v>1226</v>
      </c>
      <c r="F287" s="5">
        <v>273544</v>
      </c>
      <c r="G287" s="2" t="s">
        <v>447</v>
      </c>
      <c r="H287" s="2" t="s">
        <v>447</v>
      </c>
      <c r="I287" s="1" t="s">
        <v>447</v>
      </c>
      <c r="J287" t="s">
        <v>447</v>
      </c>
      <c r="K287" t="s">
        <v>447</v>
      </c>
      <c r="L287" t="s">
        <v>447</v>
      </c>
    </row>
    <row r="288" spans="1:12" x14ac:dyDescent="0.6">
      <c r="A288">
        <v>690185</v>
      </c>
      <c r="B288">
        <v>6</v>
      </c>
      <c r="C288">
        <v>90185</v>
      </c>
      <c r="D288" t="s">
        <v>1301</v>
      </c>
      <c r="E288" t="s">
        <v>1302</v>
      </c>
      <c r="F288" s="5">
        <v>273542</v>
      </c>
      <c r="G288" s="3">
        <f>(15.9+10)/2</f>
        <v>12.95</v>
      </c>
      <c r="H288" s="2" t="s">
        <v>447</v>
      </c>
      <c r="I288" s="1">
        <v>16.78</v>
      </c>
      <c r="J288">
        <v>28</v>
      </c>
      <c r="K288" t="s">
        <v>447</v>
      </c>
      <c r="L288">
        <v>16</v>
      </c>
    </row>
    <row r="289" spans="1:12" x14ac:dyDescent="0.6">
      <c r="A289">
        <v>605937</v>
      </c>
      <c r="B289">
        <v>6</v>
      </c>
      <c r="C289">
        <v>5937</v>
      </c>
      <c r="D289" t="s">
        <v>843</v>
      </c>
      <c r="E289" t="s">
        <v>844</v>
      </c>
      <c r="F289" s="5">
        <v>260415</v>
      </c>
      <c r="G289" s="2" t="s">
        <v>447</v>
      </c>
      <c r="H289" s="2" t="s">
        <v>447</v>
      </c>
      <c r="I289" s="1" t="s">
        <v>447</v>
      </c>
      <c r="J289" t="s">
        <v>447</v>
      </c>
      <c r="K289" t="s">
        <v>447</v>
      </c>
      <c r="L289" t="s">
        <v>447</v>
      </c>
    </row>
    <row r="290" spans="1:12" x14ac:dyDescent="0.6">
      <c r="A290">
        <v>600406</v>
      </c>
      <c r="B290">
        <v>6</v>
      </c>
      <c r="C290">
        <v>406</v>
      </c>
      <c r="D290" t="s">
        <v>1047</v>
      </c>
      <c r="E290" t="s">
        <v>1048</v>
      </c>
      <c r="F290" s="5">
        <v>257351</v>
      </c>
      <c r="G290" s="2" t="s">
        <v>447</v>
      </c>
      <c r="H290" s="2" t="s">
        <v>447</v>
      </c>
      <c r="I290" s="1">
        <v>16.7</v>
      </c>
      <c r="J290" t="s">
        <v>447</v>
      </c>
      <c r="K290" t="s">
        <v>447</v>
      </c>
      <c r="L290">
        <v>1</v>
      </c>
    </row>
    <row r="291" spans="1:12" x14ac:dyDescent="0.6">
      <c r="A291">
        <v>600047</v>
      </c>
      <c r="B291">
        <v>6</v>
      </c>
      <c r="C291">
        <v>47</v>
      </c>
      <c r="D291" t="s">
        <v>603</v>
      </c>
      <c r="E291" t="s">
        <v>604</v>
      </c>
      <c r="F291" s="5">
        <v>255476</v>
      </c>
      <c r="G291" s="2" t="s">
        <v>447</v>
      </c>
      <c r="H291" s="2" t="s">
        <v>447</v>
      </c>
      <c r="I291" s="1">
        <v>20.9</v>
      </c>
      <c r="J291" t="s">
        <v>447</v>
      </c>
      <c r="K291" t="s">
        <v>447</v>
      </c>
      <c r="L291">
        <v>1</v>
      </c>
    </row>
    <row r="292" spans="1:12" x14ac:dyDescent="0.6">
      <c r="A292">
        <v>600351</v>
      </c>
      <c r="B292">
        <v>6</v>
      </c>
      <c r="C292">
        <v>351</v>
      </c>
      <c r="D292" t="s">
        <v>970</v>
      </c>
      <c r="F292" s="5">
        <v>255167</v>
      </c>
      <c r="G292" s="2" t="s">
        <v>447</v>
      </c>
      <c r="H292" s="2" t="s">
        <v>447</v>
      </c>
      <c r="I292" s="1" t="s">
        <v>447</v>
      </c>
      <c r="J292" t="s">
        <v>447</v>
      </c>
      <c r="K292" t="s">
        <v>447</v>
      </c>
      <c r="L292" t="s">
        <v>447</v>
      </c>
    </row>
    <row r="293" spans="1:12" x14ac:dyDescent="0.6">
      <c r="A293">
        <v>600090</v>
      </c>
      <c r="B293">
        <v>6</v>
      </c>
      <c r="C293">
        <v>90</v>
      </c>
      <c r="D293" t="s">
        <v>631</v>
      </c>
      <c r="E293" t="s">
        <v>632</v>
      </c>
      <c r="F293" s="5">
        <v>251957</v>
      </c>
      <c r="G293" s="2" t="s">
        <v>447</v>
      </c>
      <c r="H293" s="2">
        <v>32</v>
      </c>
      <c r="I293" s="1">
        <v>21</v>
      </c>
      <c r="J293" t="s">
        <v>447</v>
      </c>
      <c r="K293">
        <v>2</v>
      </c>
      <c r="L293">
        <v>1</v>
      </c>
    </row>
    <row r="294" spans="1:12" x14ac:dyDescent="0.6">
      <c r="A294">
        <v>601327</v>
      </c>
      <c r="B294">
        <v>6</v>
      </c>
      <c r="C294">
        <v>1327</v>
      </c>
      <c r="D294" t="s">
        <v>205</v>
      </c>
      <c r="E294" t="s">
        <v>206</v>
      </c>
      <c r="F294" s="5">
        <v>250092</v>
      </c>
      <c r="G294" s="2" t="s">
        <v>447</v>
      </c>
      <c r="H294" s="2" t="s">
        <v>447</v>
      </c>
      <c r="I294" s="1">
        <v>18.7</v>
      </c>
      <c r="J294" t="s">
        <v>447</v>
      </c>
      <c r="K294" t="s">
        <v>447</v>
      </c>
      <c r="L294">
        <v>1</v>
      </c>
    </row>
    <row r="295" spans="1:12" x14ac:dyDescent="0.6">
      <c r="A295">
        <v>690030</v>
      </c>
      <c r="B295">
        <v>6</v>
      </c>
      <c r="C295">
        <v>90030</v>
      </c>
      <c r="D295" t="s">
        <v>1173</v>
      </c>
      <c r="E295" t="s">
        <v>1174</v>
      </c>
      <c r="F295" s="5">
        <v>249011</v>
      </c>
      <c r="G295" s="2">
        <v>10</v>
      </c>
      <c r="H295" s="2" t="s">
        <v>447</v>
      </c>
      <c r="I295" s="1">
        <v>15.4</v>
      </c>
      <c r="J295">
        <v>2</v>
      </c>
      <c r="K295" t="s">
        <v>447</v>
      </c>
      <c r="L295">
        <v>16</v>
      </c>
    </row>
    <row r="296" spans="1:12" x14ac:dyDescent="0.6">
      <c r="A296">
        <v>606358</v>
      </c>
      <c r="B296">
        <v>6</v>
      </c>
      <c r="C296">
        <v>6358</v>
      </c>
      <c r="D296" t="s">
        <v>849</v>
      </c>
      <c r="E296" t="s">
        <v>850</v>
      </c>
      <c r="F296" s="5">
        <v>247957</v>
      </c>
      <c r="G296" s="2" t="s">
        <v>447</v>
      </c>
      <c r="H296" s="2">
        <v>62.2</v>
      </c>
      <c r="I296" s="1">
        <v>20.5</v>
      </c>
      <c r="J296" t="s">
        <v>447</v>
      </c>
      <c r="K296">
        <v>1</v>
      </c>
      <c r="L296">
        <v>1</v>
      </c>
    </row>
    <row r="297" spans="1:12" x14ac:dyDescent="0.6">
      <c r="A297">
        <v>610256</v>
      </c>
      <c r="B297">
        <v>6</v>
      </c>
      <c r="C297">
        <v>10256</v>
      </c>
      <c r="D297" t="s">
        <v>1131</v>
      </c>
      <c r="E297" t="s">
        <v>1132</v>
      </c>
      <c r="F297" s="5">
        <v>246494</v>
      </c>
      <c r="G297" s="2" t="s">
        <v>447</v>
      </c>
      <c r="H297" s="2" t="s">
        <v>447</v>
      </c>
      <c r="I297" s="1" t="s">
        <v>447</v>
      </c>
      <c r="J297" t="s">
        <v>447</v>
      </c>
      <c r="K297" t="s">
        <v>447</v>
      </c>
      <c r="L297" t="s">
        <v>447</v>
      </c>
    </row>
    <row r="298" spans="1:12" x14ac:dyDescent="0.6">
      <c r="A298">
        <v>601334</v>
      </c>
      <c r="B298">
        <v>6</v>
      </c>
      <c r="C298">
        <v>1334</v>
      </c>
      <c r="D298" t="s">
        <v>207</v>
      </c>
      <c r="E298" t="s">
        <v>208</v>
      </c>
      <c r="F298" s="5">
        <v>244894</v>
      </c>
      <c r="G298" s="2" t="s">
        <v>447</v>
      </c>
      <c r="H298" s="2" t="s">
        <v>447</v>
      </c>
      <c r="I298" s="1" t="s">
        <v>447</v>
      </c>
      <c r="J298" t="s">
        <v>447</v>
      </c>
      <c r="K298" t="s">
        <v>447</v>
      </c>
      <c r="L298" t="s">
        <v>447</v>
      </c>
    </row>
    <row r="299" spans="1:12" x14ac:dyDescent="0.6">
      <c r="A299">
        <v>690022</v>
      </c>
      <c r="B299">
        <v>6</v>
      </c>
      <c r="C299">
        <v>90022</v>
      </c>
      <c r="D299" t="s">
        <v>1165</v>
      </c>
      <c r="E299" t="s">
        <v>1166</v>
      </c>
      <c r="F299" s="5">
        <v>244114</v>
      </c>
      <c r="G299" s="2" t="s">
        <v>447</v>
      </c>
      <c r="H299" s="2" t="s">
        <v>447</v>
      </c>
      <c r="I299" s="1" t="s">
        <v>447</v>
      </c>
      <c r="J299" t="s">
        <v>447</v>
      </c>
      <c r="K299" t="s">
        <v>447</v>
      </c>
      <c r="L299" t="s">
        <v>447</v>
      </c>
    </row>
    <row r="300" spans="1:12" x14ac:dyDescent="0.6">
      <c r="A300">
        <v>607045</v>
      </c>
      <c r="B300">
        <v>6</v>
      </c>
      <c r="C300">
        <v>7045</v>
      </c>
      <c r="D300" t="s">
        <v>1109</v>
      </c>
      <c r="E300" t="s">
        <v>1110</v>
      </c>
      <c r="F300" s="5">
        <v>241189</v>
      </c>
      <c r="G300" s="2" t="s">
        <v>447</v>
      </c>
      <c r="H300" s="2" t="s">
        <v>447</v>
      </c>
      <c r="I300" s="1">
        <f>(14.7+15.4)/2</f>
        <v>15.05</v>
      </c>
      <c r="J300" t="s">
        <v>447</v>
      </c>
      <c r="K300" t="s">
        <v>447</v>
      </c>
      <c r="L300">
        <v>1</v>
      </c>
    </row>
    <row r="301" spans="1:12" x14ac:dyDescent="0.6">
      <c r="A301">
        <v>600418</v>
      </c>
      <c r="B301">
        <v>6</v>
      </c>
      <c r="C301">
        <v>418</v>
      </c>
      <c r="D301" t="s">
        <v>1066</v>
      </c>
      <c r="E301" t="s">
        <v>1067</v>
      </c>
      <c r="F301" s="5">
        <v>241034</v>
      </c>
      <c r="G301" s="2" t="s">
        <v>447</v>
      </c>
      <c r="H301" s="2">
        <v>46.5</v>
      </c>
      <c r="I301" s="1">
        <v>19.5</v>
      </c>
      <c r="J301" t="s">
        <v>447</v>
      </c>
      <c r="K301">
        <v>1</v>
      </c>
      <c r="L301">
        <v>1</v>
      </c>
    </row>
    <row r="302" spans="1:12" x14ac:dyDescent="0.6">
      <c r="A302">
        <v>601407</v>
      </c>
      <c r="B302">
        <v>6</v>
      </c>
      <c r="C302">
        <v>1407</v>
      </c>
      <c r="D302" t="s">
        <v>249</v>
      </c>
      <c r="E302" t="s">
        <v>250</v>
      </c>
      <c r="F302" s="5">
        <v>240435</v>
      </c>
      <c r="G302" s="2" t="s">
        <v>447</v>
      </c>
      <c r="H302" s="2" t="s">
        <v>447</v>
      </c>
      <c r="I302" s="1" t="s">
        <v>447</v>
      </c>
      <c r="J302" t="s">
        <v>447</v>
      </c>
      <c r="K302" t="s">
        <v>447</v>
      </c>
      <c r="L302" t="s">
        <v>447</v>
      </c>
    </row>
    <row r="303" spans="1:12" x14ac:dyDescent="0.6">
      <c r="A303">
        <v>690230</v>
      </c>
      <c r="B303">
        <v>6</v>
      </c>
      <c r="C303">
        <v>90230</v>
      </c>
      <c r="D303" t="s">
        <v>1333</v>
      </c>
      <c r="E303" t="s">
        <v>1334</v>
      </c>
      <c r="F303" s="5">
        <v>237367</v>
      </c>
      <c r="G303" s="2">
        <v>18</v>
      </c>
      <c r="H303" s="2" t="s">
        <v>447</v>
      </c>
      <c r="I303" s="1">
        <v>10.8</v>
      </c>
      <c r="J303">
        <v>4</v>
      </c>
      <c r="K303" t="s">
        <v>447</v>
      </c>
      <c r="L303">
        <v>4</v>
      </c>
    </row>
    <row r="304" spans="1:12" x14ac:dyDescent="0.6">
      <c r="A304">
        <v>602020</v>
      </c>
      <c r="B304">
        <v>6</v>
      </c>
      <c r="C304">
        <v>2020</v>
      </c>
      <c r="D304" t="s">
        <v>730</v>
      </c>
      <c r="E304" t="s">
        <v>731</v>
      </c>
      <c r="F304" s="5">
        <v>236814</v>
      </c>
      <c r="G304" s="2" t="s">
        <v>447</v>
      </c>
      <c r="H304" s="2">
        <f>(48.2+26.05)/2</f>
        <v>37.125</v>
      </c>
      <c r="I304" s="1">
        <f>(18.2+16.4+16.9)/3</f>
        <v>17.166666666666664</v>
      </c>
      <c r="J304" t="s">
        <v>447</v>
      </c>
      <c r="K304">
        <v>1</v>
      </c>
      <c r="L304">
        <v>1</v>
      </c>
    </row>
    <row r="305" spans="1:12" x14ac:dyDescent="0.6">
      <c r="A305">
        <v>690410</v>
      </c>
      <c r="B305">
        <v>6</v>
      </c>
      <c r="C305">
        <v>90410</v>
      </c>
      <c r="D305" t="s">
        <v>40</v>
      </c>
      <c r="E305" t="s">
        <v>41</v>
      </c>
      <c r="F305" s="5">
        <v>235644</v>
      </c>
      <c r="G305" s="2">
        <v>10</v>
      </c>
      <c r="H305" s="2" t="s">
        <v>447</v>
      </c>
      <c r="I305" s="1" t="s">
        <v>447</v>
      </c>
      <c r="J305">
        <v>2</v>
      </c>
      <c r="K305" t="s">
        <v>447</v>
      </c>
      <c r="L305" t="s">
        <v>447</v>
      </c>
    </row>
    <row r="306" spans="1:12" x14ac:dyDescent="0.6">
      <c r="A306">
        <v>600513</v>
      </c>
      <c r="B306">
        <v>6</v>
      </c>
      <c r="C306">
        <v>513</v>
      </c>
      <c r="D306" t="s">
        <v>555</v>
      </c>
      <c r="E306" t="s">
        <v>556</v>
      </c>
      <c r="F306" s="5">
        <v>234513</v>
      </c>
      <c r="G306" s="2" t="s">
        <v>447</v>
      </c>
      <c r="H306" s="2">
        <v>47.6</v>
      </c>
      <c r="I306" s="1">
        <f>(19.3+21.6)/2</f>
        <v>20.450000000000003</v>
      </c>
      <c r="J306" t="s">
        <v>447</v>
      </c>
      <c r="K306">
        <v>1</v>
      </c>
      <c r="L306">
        <v>1</v>
      </c>
    </row>
    <row r="307" spans="1:12" x14ac:dyDescent="0.6">
      <c r="A307">
        <v>601899</v>
      </c>
      <c r="B307">
        <v>6</v>
      </c>
      <c r="C307">
        <v>1899</v>
      </c>
      <c r="D307" t="s">
        <v>718</v>
      </c>
      <c r="E307" t="s">
        <v>719</v>
      </c>
      <c r="F307" s="5">
        <v>231276</v>
      </c>
      <c r="G307" s="2" t="s">
        <v>447</v>
      </c>
      <c r="H307" s="2" t="s">
        <v>447</v>
      </c>
      <c r="I307" s="1" t="s">
        <v>447</v>
      </c>
      <c r="J307" t="s">
        <v>447</v>
      </c>
      <c r="K307" t="s">
        <v>447</v>
      </c>
      <c r="L307" t="s">
        <v>447</v>
      </c>
    </row>
    <row r="308" spans="1:12" x14ac:dyDescent="0.6">
      <c r="A308">
        <v>600424</v>
      </c>
      <c r="B308">
        <v>6</v>
      </c>
      <c r="C308">
        <v>424</v>
      </c>
      <c r="D308" t="s">
        <v>1076</v>
      </c>
      <c r="E308" t="s">
        <v>1077</v>
      </c>
      <c r="F308" s="5">
        <v>227400</v>
      </c>
      <c r="G308" s="2" t="s">
        <v>447</v>
      </c>
      <c r="H308" s="2" t="s">
        <v>447</v>
      </c>
      <c r="I308" s="1" t="s">
        <v>447</v>
      </c>
      <c r="J308" t="s">
        <v>447</v>
      </c>
      <c r="K308" t="s">
        <v>447</v>
      </c>
      <c r="L308" t="s">
        <v>447</v>
      </c>
    </row>
    <row r="309" spans="1:12" x14ac:dyDescent="0.6">
      <c r="A309">
        <v>690321</v>
      </c>
      <c r="B309">
        <v>6</v>
      </c>
      <c r="C309">
        <v>90321</v>
      </c>
      <c r="D309" t="s">
        <v>1399</v>
      </c>
      <c r="E309" t="s">
        <v>1400</v>
      </c>
      <c r="F309" s="5">
        <v>225766</v>
      </c>
      <c r="G309" s="2" t="s">
        <v>447</v>
      </c>
      <c r="H309" s="2" t="s">
        <v>447</v>
      </c>
      <c r="I309" s="1" t="s">
        <v>447</v>
      </c>
      <c r="J309" t="s">
        <v>447</v>
      </c>
      <c r="K309" t="s">
        <v>447</v>
      </c>
      <c r="L309" t="s">
        <v>447</v>
      </c>
    </row>
    <row r="310" spans="1:12" x14ac:dyDescent="0.6">
      <c r="A310">
        <v>690398</v>
      </c>
      <c r="B310">
        <v>6</v>
      </c>
      <c r="C310">
        <v>90398</v>
      </c>
      <c r="D310" t="s">
        <v>32</v>
      </c>
      <c r="E310" t="s">
        <v>33</v>
      </c>
      <c r="F310" s="5">
        <v>222327</v>
      </c>
      <c r="G310" s="2">
        <f>(18+40)/2</f>
        <v>29</v>
      </c>
      <c r="H310" s="2" t="s">
        <v>447</v>
      </c>
      <c r="I310" s="1">
        <v>10.8</v>
      </c>
      <c r="J310">
        <v>26</v>
      </c>
      <c r="K310" t="s">
        <v>447</v>
      </c>
      <c r="L310">
        <v>4</v>
      </c>
    </row>
    <row r="311" spans="1:12" x14ac:dyDescent="0.6">
      <c r="A311">
        <v>600119</v>
      </c>
      <c r="B311">
        <v>6</v>
      </c>
      <c r="C311">
        <v>119</v>
      </c>
      <c r="D311" t="s">
        <v>661</v>
      </c>
      <c r="E311" t="s">
        <v>662</v>
      </c>
      <c r="F311" s="5">
        <v>217413</v>
      </c>
      <c r="G311" s="2" t="s">
        <v>447</v>
      </c>
      <c r="H311" s="2" t="s">
        <v>447</v>
      </c>
      <c r="I311" s="1">
        <v>20</v>
      </c>
      <c r="J311" t="s">
        <v>447</v>
      </c>
      <c r="K311" t="s">
        <v>447</v>
      </c>
      <c r="L311">
        <v>1</v>
      </c>
    </row>
    <row r="312" spans="1:12" x14ac:dyDescent="0.6">
      <c r="A312">
        <v>600333</v>
      </c>
      <c r="B312">
        <v>6</v>
      </c>
      <c r="C312">
        <v>333</v>
      </c>
      <c r="D312" t="s">
        <v>944</v>
      </c>
      <c r="E312" t="s">
        <v>945</v>
      </c>
      <c r="F312" s="5">
        <v>216437</v>
      </c>
      <c r="G312" s="2" t="s">
        <v>447</v>
      </c>
      <c r="H312" s="2" t="s">
        <v>447</v>
      </c>
      <c r="I312" s="1" t="s">
        <v>447</v>
      </c>
      <c r="J312" t="s">
        <v>447</v>
      </c>
      <c r="K312" t="s">
        <v>447</v>
      </c>
      <c r="L312" t="s">
        <v>447</v>
      </c>
    </row>
    <row r="313" spans="1:12" x14ac:dyDescent="0.6">
      <c r="A313">
        <v>690146</v>
      </c>
      <c r="B313">
        <v>6</v>
      </c>
      <c r="C313">
        <v>90146</v>
      </c>
      <c r="D313" t="s">
        <v>1273</v>
      </c>
      <c r="E313" t="s">
        <v>1274</v>
      </c>
      <c r="F313" s="5">
        <v>213646</v>
      </c>
      <c r="G313" s="2">
        <v>40</v>
      </c>
      <c r="H313" s="2" t="s">
        <v>447</v>
      </c>
      <c r="I313" s="1">
        <v>17.100000000000001</v>
      </c>
      <c r="J313">
        <v>7</v>
      </c>
      <c r="K313" t="s">
        <v>447</v>
      </c>
      <c r="L313">
        <v>16</v>
      </c>
    </row>
    <row r="314" spans="1:12" x14ac:dyDescent="0.6">
      <c r="A314">
        <v>690303</v>
      </c>
      <c r="B314">
        <v>6</v>
      </c>
      <c r="C314">
        <v>90303</v>
      </c>
      <c r="D314" t="s">
        <v>1385</v>
      </c>
      <c r="E314" t="s">
        <v>1386</v>
      </c>
      <c r="F314" s="5">
        <v>209509</v>
      </c>
      <c r="G314" s="2">
        <v>10</v>
      </c>
      <c r="H314" s="2" t="s">
        <v>447</v>
      </c>
      <c r="I314" s="1">
        <v>16.78</v>
      </c>
      <c r="J314">
        <v>2</v>
      </c>
      <c r="K314" t="s">
        <v>447</v>
      </c>
      <c r="L314">
        <v>16</v>
      </c>
    </row>
    <row r="315" spans="1:12" x14ac:dyDescent="0.6">
      <c r="A315">
        <v>601625</v>
      </c>
      <c r="B315">
        <v>6</v>
      </c>
      <c r="C315">
        <v>1625</v>
      </c>
      <c r="D315" t="s">
        <v>327</v>
      </c>
      <c r="E315" t="s">
        <v>328</v>
      </c>
      <c r="F315" s="5">
        <v>206986</v>
      </c>
      <c r="G315" s="2" t="s">
        <v>447</v>
      </c>
      <c r="H315" s="2" t="s">
        <v>447</v>
      </c>
      <c r="I315" s="1" t="s">
        <v>447</v>
      </c>
      <c r="J315" t="s">
        <v>447</v>
      </c>
      <c r="K315" t="s">
        <v>447</v>
      </c>
      <c r="L315" t="s">
        <v>447</v>
      </c>
    </row>
    <row r="316" spans="1:12" x14ac:dyDescent="0.6">
      <c r="A316">
        <v>600439</v>
      </c>
      <c r="B316">
        <v>6</v>
      </c>
      <c r="C316">
        <v>439</v>
      </c>
      <c r="D316" t="s">
        <v>1097</v>
      </c>
      <c r="E316" t="s">
        <v>1098</v>
      </c>
      <c r="F316" s="5">
        <v>202793</v>
      </c>
      <c r="G316" s="2" t="s">
        <v>447</v>
      </c>
      <c r="H316" s="2" t="s">
        <v>447</v>
      </c>
      <c r="I316" s="1">
        <v>23.2</v>
      </c>
      <c r="J316" t="s">
        <v>447</v>
      </c>
      <c r="K316" t="s">
        <v>447</v>
      </c>
      <c r="L316">
        <v>1</v>
      </c>
    </row>
    <row r="317" spans="1:12" x14ac:dyDescent="0.6">
      <c r="A317">
        <v>600385</v>
      </c>
      <c r="B317">
        <v>6</v>
      </c>
      <c r="C317">
        <v>385</v>
      </c>
      <c r="D317" t="s">
        <v>1013</v>
      </c>
      <c r="E317" t="s">
        <v>1014</v>
      </c>
      <c r="F317" s="5">
        <v>200989</v>
      </c>
      <c r="G317" s="2" t="s">
        <v>447</v>
      </c>
      <c r="H317" s="2" t="s">
        <v>447</v>
      </c>
      <c r="I317" s="1" t="s">
        <v>447</v>
      </c>
      <c r="J317" t="s">
        <v>447</v>
      </c>
      <c r="K317" t="s">
        <v>447</v>
      </c>
      <c r="L317" t="s">
        <v>447</v>
      </c>
    </row>
    <row r="318" spans="1:12" x14ac:dyDescent="0.6">
      <c r="A318">
        <v>600188</v>
      </c>
      <c r="B318">
        <v>6</v>
      </c>
      <c r="C318">
        <v>188</v>
      </c>
      <c r="D318" t="s">
        <v>711</v>
      </c>
      <c r="E318" t="s">
        <v>712</v>
      </c>
      <c r="F318" s="5">
        <v>200895</v>
      </c>
      <c r="G318" s="2">
        <v>53.8</v>
      </c>
      <c r="H318" s="2" t="s">
        <v>447</v>
      </c>
      <c r="I318" s="1">
        <v>20.6</v>
      </c>
      <c r="J318">
        <v>1</v>
      </c>
      <c r="K318" t="s">
        <v>447</v>
      </c>
      <c r="L318">
        <v>1</v>
      </c>
    </row>
    <row r="319" spans="1:12" x14ac:dyDescent="0.6">
      <c r="A319">
        <v>690049</v>
      </c>
      <c r="B319">
        <v>6</v>
      </c>
      <c r="C319">
        <v>90049</v>
      </c>
      <c r="D319" t="s">
        <v>1191</v>
      </c>
      <c r="E319" t="s">
        <v>1192</v>
      </c>
      <c r="F319" s="5">
        <v>196147</v>
      </c>
      <c r="G319" s="2">
        <v>40</v>
      </c>
      <c r="H319" s="2" t="s">
        <v>447</v>
      </c>
      <c r="I319" s="1">
        <v>17.100000000000001</v>
      </c>
      <c r="J319">
        <v>7</v>
      </c>
      <c r="K319" t="s">
        <v>447</v>
      </c>
      <c r="L319">
        <v>16</v>
      </c>
    </row>
    <row r="320" spans="1:12" x14ac:dyDescent="0.6">
      <c r="A320">
        <v>600068</v>
      </c>
      <c r="B320">
        <v>6</v>
      </c>
      <c r="C320">
        <v>68</v>
      </c>
      <c r="D320" t="s">
        <v>613</v>
      </c>
      <c r="E320" t="s">
        <v>614</v>
      </c>
      <c r="F320" s="5">
        <v>192643</v>
      </c>
      <c r="G320" s="2" t="s">
        <v>447</v>
      </c>
      <c r="H320" s="2" t="s">
        <v>447</v>
      </c>
      <c r="I320" s="1">
        <v>21</v>
      </c>
      <c r="J320" t="s">
        <v>447</v>
      </c>
      <c r="K320" t="s">
        <v>447</v>
      </c>
      <c r="L320">
        <v>1</v>
      </c>
    </row>
    <row r="321" spans="1:12" x14ac:dyDescent="0.6">
      <c r="A321">
        <v>690161</v>
      </c>
      <c r="B321">
        <v>6</v>
      </c>
      <c r="C321">
        <v>90161</v>
      </c>
      <c r="D321" t="s">
        <v>1283</v>
      </c>
      <c r="E321" t="s">
        <v>1284</v>
      </c>
      <c r="F321" s="5">
        <v>190170</v>
      </c>
      <c r="G321" s="2" t="s">
        <v>447</v>
      </c>
      <c r="H321" s="2" t="s">
        <v>447</v>
      </c>
      <c r="I321" s="1" t="s">
        <v>447</v>
      </c>
      <c r="J321" t="s">
        <v>447</v>
      </c>
      <c r="K321" t="s">
        <v>447</v>
      </c>
      <c r="L321" t="s">
        <v>447</v>
      </c>
    </row>
    <row r="322" spans="1:12" x14ac:dyDescent="0.6">
      <c r="A322">
        <v>600429</v>
      </c>
      <c r="B322">
        <v>6</v>
      </c>
      <c r="C322">
        <v>429</v>
      </c>
      <c r="D322" t="s">
        <v>1086</v>
      </c>
      <c r="E322" t="s">
        <v>1087</v>
      </c>
      <c r="F322" s="5">
        <v>188749</v>
      </c>
      <c r="G322" s="2" t="s">
        <v>447</v>
      </c>
      <c r="H322" s="2" t="s">
        <v>447</v>
      </c>
      <c r="I322" s="1" t="s">
        <v>447</v>
      </c>
      <c r="J322" t="s">
        <v>447</v>
      </c>
      <c r="K322" t="s">
        <v>447</v>
      </c>
      <c r="L322" t="s">
        <v>447</v>
      </c>
    </row>
    <row r="323" spans="1:12" x14ac:dyDescent="0.6">
      <c r="A323">
        <v>601044</v>
      </c>
      <c r="B323">
        <v>6</v>
      </c>
      <c r="C323">
        <v>1044</v>
      </c>
      <c r="D323" t="s">
        <v>169</v>
      </c>
      <c r="E323" t="s">
        <v>170</v>
      </c>
      <c r="F323" s="5">
        <v>186726</v>
      </c>
      <c r="G323" s="2" t="s">
        <v>447</v>
      </c>
      <c r="H323" s="2" t="s">
        <v>447</v>
      </c>
      <c r="I323" s="1">
        <v>14.9</v>
      </c>
      <c r="J323" t="s">
        <v>447</v>
      </c>
      <c r="K323" t="s">
        <v>447</v>
      </c>
      <c r="L323">
        <v>1</v>
      </c>
    </row>
    <row r="324" spans="1:12" x14ac:dyDescent="0.6">
      <c r="A324">
        <v>600136</v>
      </c>
      <c r="B324">
        <v>6</v>
      </c>
      <c r="C324">
        <v>136</v>
      </c>
      <c r="D324" t="s">
        <v>677</v>
      </c>
      <c r="E324" t="s">
        <v>678</v>
      </c>
      <c r="F324" s="5">
        <v>184928</v>
      </c>
      <c r="G324" s="2" t="s">
        <v>447</v>
      </c>
      <c r="H324" s="2" t="s">
        <v>447</v>
      </c>
      <c r="I324" s="1">
        <v>20</v>
      </c>
      <c r="J324" t="s">
        <v>447</v>
      </c>
      <c r="K324" t="s">
        <v>447</v>
      </c>
      <c r="L324">
        <v>1</v>
      </c>
    </row>
    <row r="325" spans="1:12" x14ac:dyDescent="0.6">
      <c r="A325">
        <v>600436</v>
      </c>
      <c r="B325">
        <v>6</v>
      </c>
      <c r="C325">
        <v>436</v>
      </c>
      <c r="D325" t="s">
        <v>1093</v>
      </c>
      <c r="E325" t="s">
        <v>1094</v>
      </c>
      <c r="F325" s="5">
        <v>184041</v>
      </c>
      <c r="G325" s="2" t="s">
        <v>447</v>
      </c>
      <c r="H325" s="2" t="s">
        <v>447</v>
      </c>
      <c r="I325" s="1" t="s">
        <v>447</v>
      </c>
      <c r="J325" t="s">
        <v>447</v>
      </c>
      <c r="K325" t="s">
        <v>447</v>
      </c>
      <c r="L325" t="s">
        <v>447</v>
      </c>
    </row>
    <row r="326" spans="1:12" x14ac:dyDescent="0.6">
      <c r="A326">
        <v>600352</v>
      </c>
      <c r="B326">
        <v>6</v>
      </c>
      <c r="C326">
        <v>352</v>
      </c>
      <c r="D326" t="s">
        <v>971</v>
      </c>
      <c r="E326" t="s">
        <v>972</v>
      </c>
      <c r="F326" s="5">
        <v>183043</v>
      </c>
      <c r="G326" s="2" t="s">
        <v>447</v>
      </c>
      <c r="H326" s="2" t="s">
        <v>447</v>
      </c>
      <c r="I326" s="1" t="s">
        <v>447</v>
      </c>
      <c r="J326" t="s">
        <v>447</v>
      </c>
      <c r="K326" t="s">
        <v>447</v>
      </c>
      <c r="L326" t="s">
        <v>447</v>
      </c>
    </row>
    <row r="327" spans="1:12" x14ac:dyDescent="0.6">
      <c r="A327">
        <v>690387</v>
      </c>
      <c r="B327">
        <v>6</v>
      </c>
      <c r="C327">
        <v>90387</v>
      </c>
      <c r="D327" t="s">
        <v>26</v>
      </c>
      <c r="E327" t="s">
        <v>27</v>
      </c>
      <c r="F327" s="5">
        <v>183009</v>
      </c>
      <c r="G327" s="2" t="s">
        <v>447</v>
      </c>
      <c r="H327" s="2" t="s">
        <v>447</v>
      </c>
      <c r="I327" s="1" t="s">
        <v>447</v>
      </c>
      <c r="J327" t="s">
        <v>447</v>
      </c>
      <c r="K327" t="s">
        <v>447</v>
      </c>
      <c r="L327" t="s">
        <v>447</v>
      </c>
    </row>
    <row r="328" spans="1:12" x14ac:dyDescent="0.6">
      <c r="A328">
        <v>607052</v>
      </c>
      <c r="B328">
        <v>6</v>
      </c>
      <c r="C328">
        <v>7052</v>
      </c>
      <c r="D328" t="s">
        <v>1113</v>
      </c>
      <c r="E328" t="s">
        <v>1114</v>
      </c>
      <c r="F328" s="5">
        <v>172171</v>
      </c>
      <c r="G328" s="2" t="s">
        <v>447</v>
      </c>
      <c r="H328" s="2" t="s">
        <v>447</v>
      </c>
      <c r="I328" s="1" t="s">
        <v>447</v>
      </c>
      <c r="J328" t="s">
        <v>447</v>
      </c>
      <c r="K328" t="s">
        <v>447</v>
      </c>
      <c r="L328" t="s">
        <v>447</v>
      </c>
    </row>
    <row r="329" spans="1:12" x14ac:dyDescent="0.6">
      <c r="A329">
        <v>601164</v>
      </c>
      <c r="B329">
        <v>6</v>
      </c>
      <c r="C329">
        <v>1164</v>
      </c>
      <c r="D329" t="s">
        <v>187</v>
      </c>
      <c r="E329" t="s">
        <v>188</v>
      </c>
      <c r="F329" s="5">
        <v>170533</v>
      </c>
      <c r="G329" s="2" t="s">
        <v>447</v>
      </c>
      <c r="H329" s="2">
        <v>45.5</v>
      </c>
      <c r="I329" s="1">
        <v>19.7</v>
      </c>
      <c r="J329" t="s">
        <v>447</v>
      </c>
      <c r="K329">
        <v>1</v>
      </c>
      <c r="L329">
        <v>1</v>
      </c>
    </row>
    <row r="330" spans="1:12" x14ac:dyDescent="0.6">
      <c r="A330">
        <v>690392</v>
      </c>
      <c r="B330">
        <v>6</v>
      </c>
      <c r="C330">
        <v>90392</v>
      </c>
      <c r="D330" t="s">
        <v>28</v>
      </c>
      <c r="E330" t="s">
        <v>29</v>
      </c>
      <c r="F330" s="5">
        <v>170372</v>
      </c>
      <c r="G330" s="2" t="s">
        <v>447</v>
      </c>
      <c r="H330" s="2" t="s">
        <v>447</v>
      </c>
      <c r="I330" s="1" t="s">
        <v>447</v>
      </c>
      <c r="J330" t="s">
        <v>447</v>
      </c>
      <c r="K330" t="s">
        <v>447</v>
      </c>
      <c r="L330" t="s">
        <v>447</v>
      </c>
    </row>
    <row r="331" spans="1:12" x14ac:dyDescent="0.6">
      <c r="A331">
        <v>600433</v>
      </c>
      <c r="B331">
        <v>6</v>
      </c>
      <c r="C331">
        <v>433</v>
      </c>
      <c r="D331" t="s">
        <v>1090</v>
      </c>
      <c r="E331" t="s">
        <v>1091</v>
      </c>
      <c r="F331" s="5">
        <v>169942</v>
      </c>
      <c r="G331" s="2" t="s">
        <v>447</v>
      </c>
      <c r="H331" s="2" t="s">
        <v>447</v>
      </c>
      <c r="I331" s="1" t="s">
        <v>447</v>
      </c>
      <c r="J331" t="s">
        <v>447</v>
      </c>
      <c r="K331" t="s">
        <v>447</v>
      </c>
      <c r="L331" t="s">
        <v>447</v>
      </c>
    </row>
    <row r="332" spans="1:12" x14ac:dyDescent="0.6">
      <c r="A332">
        <v>600403</v>
      </c>
      <c r="B332">
        <v>6</v>
      </c>
      <c r="C332">
        <v>403</v>
      </c>
      <c r="D332" t="s">
        <v>1043</v>
      </c>
      <c r="E332" t="s">
        <v>1044</v>
      </c>
      <c r="F332" s="5">
        <v>168567</v>
      </c>
      <c r="G332" s="2" t="s">
        <v>447</v>
      </c>
      <c r="H332" s="2" t="s">
        <v>447</v>
      </c>
      <c r="I332" s="1" t="s">
        <v>447</v>
      </c>
      <c r="J332" t="s">
        <v>447</v>
      </c>
      <c r="K332" t="s">
        <v>447</v>
      </c>
      <c r="L332" t="s">
        <v>447</v>
      </c>
    </row>
    <row r="333" spans="1:12" x14ac:dyDescent="0.6">
      <c r="A333">
        <v>600259</v>
      </c>
      <c r="B333">
        <v>6</v>
      </c>
      <c r="C333">
        <v>259</v>
      </c>
      <c r="D333" t="s">
        <v>877</v>
      </c>
      <c r="E333" t="s">
        <v>878</v>
      </c>
      <c r="F333" s="5">
        <v>168536</v>
      </c>
      <c r="G333" s="2" t="s">
        <v>447</v>
      </c>
      <c r="H333" s="2" t="s">
        <v>447</v>
      </c>
      <c r="I333" s="1" t="s">
        <v>447</v>
      </c>
      <c r="J333" t="s">
        <v>447</v>
      </c>
      <c r="K333" t="s">
        <v>447</v>
      </c>
      <c r="L333" t="s">
        <v>447</v>
      </c>
    </row>
    <row r="334" spans="1:12" x14ac:dyDescent="0.6">
      <c r="A334">
        <v>601370</v>
      </c>
      <c r="B334">
        <v>6</v>
      </c>
      <c r="C334">
        <v>1370</v>
      </c>
      <c r="D334" t="s">
        <v>239</v>
      </c>
      <c r="E334" t="s">
        <v>240</v>
      </c>
      <c r="F334" s="5">
        <v>163540</v>
      </c>
      <c r="G334" s="2">
        <f>(37.5+38.1+37.1)/3</f>
        <v>37.566666666666663</v>
      </c>
      <c r="H334" s="2" t="s">
        <v>447</v>
      </c>
      <c r="I334" s="1">
        <f>(19.35+20+18.1+19)/4</f>
        <v>19.112500000000001</v>
      </c>
      <c r="J334">
        <v>1</v>
      </c>
      <c r="K334" t="s">
        <v>447</v>
      </c>
      <c r="L334">
        <v>1</v>
      </c>
    </row>
    <row r="335" spans="1:12" x14ac:dyDescent="0.6">
      <c r="A335">
        <v>690332</v>
      </c>
      <c r="B335">
        <v>6</v>
      </c>
      <c r="C335">
        <v>90332</v>
      </c>
      <c r="D335" t="s">
        <v>1409</v>
      </c>
      <c r="E335" t="s">
        <v>1410</v>
      </c>
      <c r="F335" s="5">
        <v>162560</v>
      </c>
      <c r="G335" s="2">
        <v>26</v>
      </c>
      <c r="H335" s="2" t="s">
        <v>447</v>
      </c>
      <c r="I335" s="1" t="s">
        <v>447</v>
      </c>
      <c r="J335">
        <v>2</v>
      </c>
      <c r="K335" t="s">
        <v>447</v>
      </c>
      <c r="L335" t="s">
        <v>447</v>
      </c>
    </row>
    <row r="336" spans="1:12" x14ac:dyDescent="0.6">
      <c r="A336">
        <v>600405</v>
      </c>
      <c r="B336">
        <v>6</v>
      </c>
      <c r="C336">
        <v>405</v>
      </c>
      <c r="D336" t="s">
        <v>1045</v>
      </c>
      <c r="E336" t="s">
        <v>1046</v>
      </c>
      <c r="F336" s="5">
        <v>161506</v>
      </c>
      <c r="G336" s="2" t="s">
        <v>447</v>
      </c>
      <c r="H336" s="2" t="s">
        <v>447</v>
      </c>
      <c r="I336" s="1">
        <v>16.7</v>
      </c>
      <c r="J336" t="s">
        <v>447</v>
      </c>
      <c r="K336" t="s">
        <v>447</v>
      </c>
      <c r="L336">
        <v>1</v>
      </c>
    </row>
    <row r="337" spans="1:12" x14ac:dyDescent="0.6">
      <c r="A337">
        <v>690166</v>
      </c>
      <c r="B337">
        <v>6</v>
      </c>
      <c r="C337">
        <v>90166</v>
      </c>
      <c r="D337" t="s">
        <v>1287</v>
      </c>
      <c r="E337" t="s">
        <v>1288</v>
      </c>
      <c r="F337" s="5">
        <v>160716</v>
      </c>
      <c r="G337" s="2" t="s">
        <v>447</v>
      </c>
      <c r="H337" s="2" t="s">
        <v>447</v>
      </c>
      <c r="I337" s="1" t="s">
        <v>447</v>
      </c>
      <c r="J337" t="s">
        <v>447</v>
      </c>
      <c r="K337" t="s">
        <v>447</v>
      </c>
      <c r="L337" t="s">
        <v>447</v>
      </c>
    </row>
    <row r="338" spans="1:12" x14ac:dyDescent="0.6">
      <c r="A338">
        <v>600448</v>
      </c>
      <c r="B338">
        <v>6</v>
      </c>
      <c r="C338">
        <v>448</v>
      </c>
      <c r="D338" t="s">
        <v>457</v>
      </c>
      <c r="E338" t="s">
        <v>458</v>
      </c>
      <c r="F338" s="5">
        <v>160692</v>
      </c>
      <c r="G338" s="2" t="s">
        <v>447</v>
      </c>
      <c r="H338" s="2" t="s">
        <v>447</v>
      </c>
      <c r="I338" s="1" t="s">
        <v>447</v>
      </c>
      <c r="J338" t="s">
        <v>447</v>
      </c>
      <c r="K338" t="s">
        <v>447</v>
      </c>
      <c r="L338" t="s">
        <v>447</v>
      </c>
    </row>
    <row r="339" spans="1:12" x14ac:dyDescent="0.6">
      <c r="A339">
        <v>608421</v>
      </c>
      <c r="B339">
        <v>6</v>
      </c>
      <c r="C339">
        <v>8421</v>
      </c>
      <c r="D339" t="s">
        <v>1123</v>
      </c>
      <c r="E339" t="s">
        <v>1124</v>
      </c>
      <c r="F339" s="5">
        <v>159343</v>
      </c>
      <c r="G339" s="2" t="s">
        <v>447</v>
      </c>
      <c r="H339" s="2" t="s">
        <v>447</v>
      </c>
      <c r="I339" s="1" t="s">
        <v>447</v>
      </c>
      <c r="J339" t="s">
        <v>447</v>
      </c>
      <c r="K339" t="s">
        <v>447</v>
      </c>
      <c r="L339" t="s">
        <v>447</v>
      </c>
    </row>
    <row r="340" spans="1:12" x14ac:dyDescent="0.6">
      <c r="A340">
        <v>601696</v>
      </c>
      <c r="B340">
        <v>6</v>
      </c>
      <c r="C340">
        <v>1696</v>
      </c>
      <c r="D340" t="s">
        <v>339</v>
      </c>
      <c r="E340" t="s">
        <v>340</v>
      </c>
      <c r="F340" s="5">
        <v>158998</v>
      </c>
      <c r="G340" s="2" t="s">
        <v>447</v>
      </c>
      <c r="H340" s="2" t="s">
        <v>447</v>
      </c>
      <c r="I340" s="1" t="s">
        <v>447</v>
      </c>
      <c r="J340" t="s">
        <v>447</v>
      </c>
      <c r="K340" t="s">
        <v>447</v>
      </c>
      <c r="L340" t="s">
        <v>447</v>
      </c>
    </row>
    <row r="341" spans="1:12" x14ac:dyDescent="0.6">
      <c r="A341">
        <v>600465</v>
      </c>
      <c r="B341">
        <v>6</v>
      </c>
      <c r="C341">
        <v>465</v>
      </c>
      <c r="D341" t="s">
        <v>480</v>
      </c>
      <c r="E341" t="s">
        <v>481</v>
      </c>
      <c r="F341" s="5">
        <v>157881</v>
      </c>
      <c r="G341" s="2" t="s">
        <v>447</v>
      </c>
      <c r="H341" s="2" t="s">
        <v>447</v>
      </c>
      <c r="I341" s="1" t="s">
        <v>447</v>
      </c>
      <c r="J341" t="s">
        <v>447</v>
      </c>
      <c r="K341" t="s">
        <v>447</v>
      </c>
      <c r="L341" t="s">
        <v>447</v>
      </c>
    </row>
    <row r="342" spans="1:12" x14ac:dyDescent="0.6">
      <c r="A342">
        <v>600345</v>
      </c>
      <c r="B342">
        <v>6</v>
      </c>
      <c r="C342">
        <v>345</v>
      </c>
      <c r="D342" t="s">
        <v>960</v>
      </c>
      <c r="E342" t="s">
        <v>961</v>
      </c>
      <c r="F342" s="5">
        <v>157457</v>
      </c>
      <c r="G342" s="2" t="s">
        <v>447</v>
      </c>
      <c r="H342" s="2" t="s">
        <v>447</v>
      </c>
      <c r="I342" s="1" t="s">
        <v>447</v>
      </c>
      <c r="J342" t="s">
        <v>447</v>
      </c>
      <c r="K342" t="s">
        <v>447</v>
      </c>
      <c r="L342" t="s">
        <v>447</v>
      </c>
    </row>
    <row r="343" spans="1:12" x14ac:dyDescent="0.6">
      <c r="A343">
        <v>601002</v>
      </c>
      <c r="B343">
        <v>6</v>
      </c>
      <c r="C343">
        <v>1002</v>
      </c>
      <c r="D343" t="s">
        <v>159</v>
      </c>
      <c r="E343" t="s">
        <v>160</v>
      </c>
      <c r="F343" s="5">
        <v>157186</v>
      </c>
      <c r="G343" s="2">
        <v>44.7</v>
      </c>
      <c r="H343" s="2" t="s">
        <v>447</v>
      </c>
      <c r="I343" s="1">
        <v>20.100000000000001</v>
      </c>
      <c r="J343">
        <v>1</v>
      </c>
      <c r="K343" t="s">
        <v>447</v>
      </c>
      <c r="L343">
        <v>1</v>
      </c>
    </row>
    <row r="344" spans="1:12" x14ac:dyDescent="0.6">
      <c r="A344">
        <v>601641</v>
      </c>
      <c r="B344">
        <v>6</v>
      </c>
      <c r="C344">
        <v>1641</v>
      </c>
      <c r="D344" t="s">
        <v>331</v>
      </c>
      <c r="E344" t="s">
        <v>332</v>
      </c>
      <c r="F344" s="5">
        <v>154802</v>
      </c>
      <c r="G344" s="2" t="s">
        <v>447</v>
      </c>
      <c r="H344" s="2" t="s">
        <v>447</v>
      </c>
      <c r="I344" s="1" t="s">
        <v>447</v>
      </c>
      <c r="J344" t="s">
        <v>447</v>
      </c>
      <c r="K344" t="s">
        <v>447</v>
      </c>
      <c r="L344" t="s">
        <v>447</v>
      </c>
    </row>
    <row r="345" spans="1:12" x14ac:dyDescent="0.6">
      <c r="A345">
        <v>690327</v>
      </c>
      <c r="B345">
        <v>6</v>
      </c>
      <c r="C345">
        <v>90327</v>
      </c>
      <c r="D345" t="s">
        <v>1405</v>
      </c>
      <c r="E345" t="s">
        <v>1406</v>
      </c>
      <c r="F345" s="5">
        <v>153842</v>
      </c>
      <c r="G345" s="2">
        <v>57</v>
      </c>
      <c r="H345" s="2" t="s">
        <v>447</v>
      </c>
      <c r="I345" s="1">
        <f>(20.5+20.3)/2</f>
        <v>20.399999999999999</v>
      </c>
      <c r="J345">
        <v>4</v>
      </c>
      <c r="K345" t="s">
        <v>447</v>
      </c>
      <c r="L345">
        <v>52</v>
      </c>
    </row>
    <row r="346" spans="1:12" x14ac:dyDescent="0.6">
      <c r="A346">
        <v>600379</v>
      </c>
      <c r="B346">
        <v>6</v>
      </c>
      <c r="C346">
        <v>379</v>
      </c>
      <c r="D346" t="s">
        <v>1003</v>
      </c>
      <c r="E346" t="s">
        <v>1004</v>
      </c>
      <c r="F346" s="5">
        <v>152882</v>
      </c>
      <c r="G346" s="2" t="s">
        <v>447</v>
      </c>
      <c r="H346" s="2" t="s">
        <v>447</v>
      </c>
      <c r="I346" s="1" t="s">
        <v>447</v>
      </c>
      <c r="J346" t="s">
        <v>447</v>
      </c>
      <c r="K346" t="s">
        <v>447</v>
      </c>
      <c r="L346" t="s">
        <v>447</v>
      </c>
    </row>
    <row r="347" spans="1:12" x14ac:dyDescent="0.6">
      <c r="A347">
        <v>690100</v>
      </c>
      <c r="B347">
        <v>6</v>
      </c>
      <c r="C347">
        <v>90100</v>
      </c>
      <c r="D347" t="s">
        <v>1245</v>
      </c>
      <c r="E347" t="s">
        <v>1246</v>
      </c>
      <c r="F347" s="5">
        <v>149317</v>
      </c>
      <c r="G347" s="2">
        <v>57</v>
      </c>
      <c r="H347" s="2" t="s">
        <v>447</v>
      </c>
      <c r="I347" s="1">
        <f>(20.5+20.3)/2</f>
        <v>20.399999999999999</v>
      </c>
      <c r="J347">
        <v>4</v>
      </c>
      <c r="K347" t="s">
        <v>447</v>
      </c>
      <c r="L347">
        <v>52</v>
      </c>
    </row>
    <row r="348" spans="1:12" x14ac:dyDescent="0.6">
      <c r="A348">
        <v>608490</v>
      </c>
      <c r="B348">
        <v>6</v>
      </c>
      <c r="C348">
        <v>8490</v>
      </c>
      <c r="D348" t="s">
        <v>1125</v>
      </c>
      <c r="E348" t="s">
        <v>1126</v>
      </c>
      <c r="F348" s="5">
        <v>149133</v>
      </c>
      <c r="G348" s="2" t="s">
        <v>447</v>
      </c>
      <c r="H348" s="2" t="s">
        <v>447</v>
      </c>
      <c r="I348" s="1" t="s">
        <v>447</v>
      </c>
      <c r="J348" t="s">
        <v>447</v>
      </c>
      <c r="K348" t="s">
        <v>447</v>
      </c>
      <c r="L348" t="s">
        <v>447</v>
      </c>
    </row>
    <row r="349" spans="1:12" x14ac:dyDescent="0.6">
      <c r="A349">
        <v>601587</v>
      </c>
      <c r="B349">
        <v>6</v>
      </c>
      <c r="C349">
        <v>1587</v>
      </c>
      <c r="D349" t="s">
        <v>303</v>
      </c>
      <c r="E349" t="s">
        <v>304</v>
      </c>
      <c r="F349" s="5">
        <v>148149</v>
      </c>
      <c r="G349" s="2" t="s">
        <v>447</v>
      </c>
      <c r="H349" s="2" t="s">
        <v>447</v>
      </c>
      <c r="I349" s="1" t="s">
        <v>447</v>
      </c>
      <c r="J349" t="s">
        <v>447</v>
      </c>
      <c r="K349" t="s">
        <v>447</v>
      </c>
      <c r="L349" t="s">
        <v>447</v>
      </c>
    </row>
    <row r="350" spans="1:12" x14ac:dyDescent="0.6">
      <c r="A350">
        <v>600361</v>
      </c>
      <c r="B350">
        <v>6</v>
      </c>
      <c r="C350">
        <v>361</v>
      </c>
      <c r="D350" t="s">
        <v>979</v>
      </c>
      <c r="E350" t="s">
        <v>980</v>
      </c>
      <c r="F350" s="5">
        <v>145017</v>
      </c>
      <c r="G350" s="2" t="s">
        <v>447</v>
      </c>
      <c r="H350" s="2" t="s">
        <v>447</v>
      </c>
      <c r="I350" s="1">
        <f>(18.9+18.4+18.01)/3</f>
        <v>18.436666666666667</v>
      </c>
      <c r="J350" t="s">
        <v>447</v>
      </c>
      <c r="K350" t="s">
        <v>447</v>
      </c>
      <c r="L350">
        <v>49</v>
      </c>
    </row>
    <row r="351" spans="1:12" x14ac:dyDescent="0.6">
      <c r="A351">
        <v>600314</v>
      </c>
      <c r="B351">
        <v>6</v>
      </c>
      <c r="C351">
        <v>314</v>
      </c>
      <c r="D351" t="s">
        <v>912</v>
      </c>
      <c r="E351" t="s">
        <v>913</v>
      </c>
      <c r="F351" s="5">
        <v>143749</v>
      </c>
      <c r="G351" s="2" t="s">
        <v>447</v>
      </c>
      <c r="H351" s="2" t="s">
        <v>447</v>
      </c>
      <c r="I351" s="1" t="s">
        <v>447</v>
      </c>
      <c r="J351" t="s">
        <v>447</v>
      </c>
      <c r="K351" t="s">
        <v>447</v>
      </c>
      <c r="L351" t="s">
        <v>447</v>
      </c>
    </row>
    <row r="352" spans="1:12" x14ac:dyDescent="0.6">
      <c r="A352">
        <v>600305</v>
      </c>
      <c r="B352">
        <v>6</v>
      </c>
      <c r="C352">
        <v>305</v>
      </c>
      <c r="D352" t="s">
        <v>898</v>
      </c>
      <c r="E352" t="s">
        <v>899</v>
      </c>
      <c r="F352" s="5">
        <v>142746</v>
      </c>
      <c r="G352" s="2" t="s">
        <v>447</v>
      </c>
      <c r="H352" s="2" t="s">
        <v>447</v>
      </c>
      <c r="I352" s="1" t="s">
        <v>447</v>
      </c>
      <c r="J352" t="s">
        <v>447</v>
      </c>
      <c r="K352" t="s">
        <v>447</v>
      </c>
      <c r="L352" t="s">
        <v>447</v>
      </c>
    </row>
    <row r="353" spans="1:12" x14ac:dyDescent="0.6">
      <c r="A353">
        <v>600790</v>
      </c>
      <c r="B353">
        <v>6</v>
      </c>
      <c r="C353">
        <v>790</v>
      </c>
      <c r="D353" t="s">
        <v>128</v>
      </c>
      <c r="E353" t="s">
        <v>129</v>
      </c>
      <c r="F353" s="5">
        <v>138947</v>
      </c>
      <c r="G353" s="2" t="s">
        <v>447</v>
      </c>
      <c r="H353" s="2" t="s">
        <v>447</v>
      </c>
      <c r="I353" s="1">
        <v>20.100000000000001</v>
      </c>
      <c r="J353" t="s">
        <v>447</v>
      </c>
      <c r="K353" t="s">
        <v>447</v>
      </c>
      <c r="L353">
        <v>1</v>
      </c>
    </row>
    <row r="354" spans="1:12" x14ac:dyDescent="0.6">
      <c r="A354">
        <v>601584</v>
      </c>
      <c r="B354">
        <v>6</v>
      </c>
      <c r="C354">
        <v>1584</v>
      </c>
      <c r="D354" t="s">
        <v>301</v>
      </c>
      <c r="E354" t="s">
        <v>302</v>
      </c>
      <c r="F354" s="5">
        <v>138746</v>
      </c>
      <c r="G354" s="2">
        <v>60</v>
      </c>
      <c r="H354" s="2">
        <f>(60+54)/2</f>
        <v>57</v>
      </c>
      <c r="I354" s="1">
        <f>(16.9+18.7)/2</f>
        <v>17.799999999999997</v>
      </c>
      <c r="J354">
        <v>9</v>
      </c>
      <c r="K354">
        <v>20</v>
      </c>
      <c r="L354">
        <v>31</v>
      </c>
    </row>
    <row r="355" spans="1:12" x14ac:dyDescent="0.6">
      <c r="A355">
        <v>600517</v>
      </c>
      <c r="B355">
        <v>6</v>
      </c>
      <c r="C355">
        <v>517</v>
      </c>
      <c r="D355" t="s">
        <v>561</v>
      </c>
      <c r="E355" t="s">
        <v>562</v>
      </c>
      <c r="F355" s="5">
        <v>137826</v>
      </c>
      <c r="G355" s="2">
        <f>(59.5+59.1)/2</f>
        <v>59.3</v>
      </c>
      <c r="H355" s="2">
        <f>(34+28.5+35)/3</f>
        <v>32.5</v>
      </c>
      <c r="I355" s="1">
        <f>(13.5+17.9)/2</f>
        <v>15.7</v>
      </c>
      <c r="J355">
        <v>31</v>
      </c>
      <c r="K355">
        <v>46</v>
      </c>
      <c r="L355">
        <v>31</v>
      </c>
    </row>
    <row r="356" spans="1:12" x14ac:dyDescent="0.6">
      <c r="A356">
        <v>600327</v>
      </c>
      <c r="B356">
        <v>6</v>
      </c>
      <c r="C356">
        <v>327</v>
      </c>
      <c r="D356" t="s">
        <v>936</v>
      </c>
      <c r="E356" t="s">
        <v>937</v>
      </c>
      <c r="F356" s="5">
        <v>137702</v>
      </c>
      <c r="G356" s="2" t="s">
        <v>447</v>
      </c>
      <c r="H356" s="2" t="s">
        <v>447</v>
      </c>
      <c r="I356" s="1" t="s">
        <v>447</v>
      </c>
      <c r="J356" t="s">
        <v>447</v>
      </c>
      <c r="K356" t="s">
        <v>447</v>
      </c>
      <c r="L356" t="s">
        <v>447</v>
      </c>
    </row>
    <row r="357" spans="1:12" x14ac:dyDescent="0.6">
      <c r="A357">
        <v>690282</v>
      </c>
      <c r="B357">
        <v>6</v>
      </c>
      <c r="C357">
        <v>90282</v>
      </c>
      <c r="D357" t="s">
        <v>1371</v>
      </c>
      <c r="E357" t="s">
        <v>1372</v>
      </c>
      <c r="F357" s="5">
        <v>134634</v>
      </c>
      <c r="G357" s="2">
        <v>10</v>
      </c>
      <c r="H357" s="2" t="s">
        <v>447</v>
      </c>
      <c r="I357" s="1">
        <v>16.78</v>
      </c>
      <c r="J357">
        <v>2</v>
      </c>
      <c r="K357" t="s">
        <v>447</v>
      </c>
      <c r="L357">
        <v>16</v>
      </c>
    </row>
    <row r="358" spans="1:12" x14ac:dyDescent="0.6">
      <c r="A358">
        <v>690105</v>
      </c>
      <c r="B358">
        <v>6</v>
      </c>
      <c r="C358">
        <v>90105</v>
      </c>
      <c r="D358" t="s">
        <v>1249</v>
      </c>
      <c r="E358" t="s">
        <v>1250</v>
      </c>
      <c r="F358" s="5">
        <v>133993</v>
      </c>
      <c r="G358" s="2" t="s">
        <v>447</v>
      </c>
      <c r="H358" s="2" t="s">
        <v>447</v>
      </c>
      <c r="I358" s="1" t="s">
        <v>447</v>
      </c>
      <c r="J358" t="s">
        <v>447</v>
      </c>
      <c r="K358" t="s">
        <v>447</v>
      </c>
      <c r="L358" t="s">
        <v>447</v>
      </c>
    </row>
    <row r="359" spans="1:12" x14ac:dyDescent="0.6">
      <c r="A359">
        <v>601408</v>
      </c>
      <c r="B359">
        <v>6</v>
      </c>
      <c r="C359">
        <v>1408</v>
      </c>
      <c r="D359" t="s">
        <v>251</v>
      </c>
      <c r="E359" t="s">
        <v>252</v>
      </c>
      <c r="F359" s="5">
        <v>129994</v>
      </c>
      <c r="G359" s="2" t="s">
        <v>447</v>
      </c>
      <c r="H359" s="2" t="s">
        <v>447</v>
      </c>
      <c r="I359" s="1" t="s">
        <v>447</v>
      </c>
      <c r="J359" t="s">
        <v>447</v>
      </c>
      <c r="K359" t="s">
        <v>447</v>
      </c>
      <c r="L359" t="s">
        <v>447</v>
      </c>
    </row>
    <row r="360" spans="1:12" x14ac:dyDescent="0.6">
      <c r="A360">
        <v>603542</v>
      </c>
      <c r="B360">
        <v>6</v>
      </c>
      <c r="C360">
        <v>3542</v>
      </c>
      <c r="D360" t="s">
        <v>760</v>
      </c>
      <c r="E360" t="s">
        <v>573</v>
      </c>
      <c r="F360" s="5">
        <v>128767</v>
      </c>
      <c r="G360" s="2">
        <f>(52.5+55+56)/3</f>
        <v>54.5</v>
      </c>
      <c r="H360" s="2" t="s">
        <v>447</v>
      </c>
      <c r="I360" s="1">
        <f>(19.9+21.35+19.1+16.5+18.7)/5</f>
        <v>19.11</v>
      </c>
      <c r="J360">
        <v>1</v>
      </c>
      <c r="K360" t="s">
        <v>447</v>
      </c>
      <c r="L360">
        <v>1</v>
      </c>
    </row>
    <row r="361" spans="1:12" x14ac:dyDescent="0.6">
      <c r="A361">
        <v>600353</v>
      </c>
      <c r="B361">
        <v>6</v>
      </c>
      <c r="C361">
        <v>353</v>
      </c>
      <c r="D361" t="s">
        <v>973</v>
      </c>
      <c r="E361" t="s">
        <v>974</v>
      </c>
      <c r="F361" s="5">
        <v>128102</v>
      </c>
      <c r="G361" s="2" t="s">
        <v>447</v>
      </c>
      <c r="H361" s="2" t="s">
        <v>447</v>
      </c>
      <c r="I361" s="1">
        <v>17.7</v>
      </c>
      <c r="J361" t="s">
        <v>447</v>
      </c>
      <c r="K361" t="s">
        <v>447</v>
      </c>
      <c r="L361">
        <v>1</v>
      </c>
    </row>
    <row r="362" spans="1:12" x14ac:dyDescent="0.6">
      <c r="A362">
        <v>690125</v>
      </c>
      <c r="B362">
        <v>6</v>
      </c>
      <c r="C362">
        <v>90125</v>
      </c>
      <c r="D362" t="s">
        <v>1265</v>
      </c>
      <c r="E362" t="s">
        <v>1266</v>
      </c>
      <c r="F362" s="5">
        <v>127428</v>
      </c>
      <c r="G362" s="2">
        <v>30</v>
      </c>
      <c r="H362" s="2" t="s">
        <v>447</v>
      </c>
      <c r="I362" s="1">
        <v>18.8</v>
      </c>
      <c r="J362">
        <v>15</v>
      </c>
      <c r="K362" t="s">
        <v>447</v>
      </c>
      <c r="L362">
        <v>16</v>
      </c>
    </row>
    <row r="363" spans="1:12" x14ac:dyDescent="0.6">
      <c r="A363">
        <v>600216</v>
      </c>
      <c r="B363">
        <v>6</v>
      </c>
      <c r="C363">
        <v>216</v>
      </c>
      <c r="D363" t="s">
        <v>409</v>
      </c>
      <c r="E363" t="s">
        <v>410</v>
      </c>
      <c r="F363" s="5">
        <v>120981</v>
      </c>
      <c r="G363" s="2" t="s">
        <v>447</v>
      </c>
      <c r="H363" s="2" t="s">
        <v>447</v>
      </c>
      <c r="I363" s="1">
        <v>21</v>
      </c>
      <c r="J363" t="s">
        <v>447</v>
      </c>
      <c r="K363" t="s">
        <v>447</v>
      </c>
      <c r="L363">
        <v>1</v>
      </c>
    </row>
    <row r="364" spans="1:12" x14ac:dyDescent="0.6">
      <c r="A364">
        <v>690322</v>
      </c>
      <c r="B364">
        <v>6</v>
      </c>
      <c r="C364">
        <v>90322</v>
      </c>
      <c r="D364" t="s">
        <v>1401</v>
      </c>
      <c r="E364" t="s">
        <v>1402</v>
      </c>
      <c r="F364" s="5">
        <v>120869</v>
      </c>
      <c r="G364" s="2" t="s">
        <v>447</v>
      </c>
      <c r="H364" s="2" t="s">
        <v>447</v>
      </c>
      <c r="I364" s="1" t="s">
        <v>447</v>
      </c>
      <c r="J364" t="s">
        <v>447</v>
      </c>
      <c r="K364" t="s">
        <v>447</v>
      </c>
      <c r="L364" t="s">
        <v>447</v>
      </c>
    </row>
    <row r="365" spans="1:12" x14ac:dyDescent="0.6">
      <c r="A365">
        <v>600181</v>
      </c>
      <c r="B365">
        <v>6</v>
      </c>
      <c r="C365">
        <v>181</v>
      </c>
      <c r="D365" t="s">
        <v>709</v>
      </c>
      <c r="E365" t="s">
        <v>710</v>
      </c>
      <c r="F365" s="5">
        <v>120119</v>
      </c>
      <c r="G365" s="2">
        <v>50.3</v>
      </c>
      <c r="H365" s="2" t="s">
        <v>447</v>
      </c>
      <c r="I365" s="1">
        <f>(20+21.8+21)/3</f>
        <v>20.933333333333334</v>
      </c>
      <c r="J365">
        <v>1</v>
      </c>
      <c r="K365" t="s">
        <v>447</v>
      </c>
      <c r="L365">
        <v>1</v>
      </c>
    </row>
    <row r="366" spans="1:12" x14ac:dyDescent="0.6">
      <c r="A366">
        <v>690232</v>
      </c>
      <c r="B366">
        <v>6</v>
      </c>
      <c r="C366">
        <v>90232</v>
      </c>
      <c r="D366" t="s">
        <v>1335</v>
      </c>
      <c r="E366" t="s">
        <v>1336</v>
      </c>
      <c r="F366" s="5">
        <v>120018</v>
      </c>
      <c r="G366" s="2">
        <v>10</v>
      </c>
      <c r="H366" s="2" t="s">
        <v>447</v>
      </c>
      <c r="I366" s="1" t="s">
        <v>447</v>
      </c>
      <c r="J366">
        <v>2</v>
      </c>
      <c r="K366" t="s">
        <v>447</v>
      </c>
      <c r="L366" t="s">
        <v>447</v>
      </c>
    </row>
    <row r="367" spans="1:12" x14ac:dyDescent="0.6">
      <c r="A367">
        <v>600063</v>
      </c>
      <c r="B367">
        <v>6</v>
      </c>
      <c r="C367">
        <v>63</v>
      </c>
      <c r="D367" t="s">
        <v>609</v>
      </c>
      <c r="E367" t="s">
        <v>610</v>
      </c>
      <c r="F367" s="5">
        <v>119993</v>
      </c>
      <c r="G367" s="2" t="s">
        <v>447</v>
      </c>
      <c r="H367" s="2" t="s">
        <v>447</v>
      </c>
      <c r="I367" s="1" t="s">
        <v>447</v>
      </c>
      <c r="J367" t="s">
        <v>447</v>
      </c>
      <c r="K367" t="s">
        <v>447</v>
      </c>
      <c r="L367" t="s">
        <v>447</v>
      </c>
    </row>
    <row r="368" spans="1:12" x14ac:dyDescent="0.6">
      <c r="A368">
        <v>600646</v>
      </c>
      <c r="B368">
        <v>6</v>
      </c>
      <c r="C368">
        <v>646</v>
      </c>
      <c r="D368" t="s">
        <v>98</v>
      </c>
      <c r="E368" t="s">
        <v>99</v>
      </c>
      <c r="F368" s="5">
        <v>117892</v>
      </c>
      <c r="G368" s="2" t="s">
        <v>447</v>
      </c>
      <c r="H368" s="2" t="s">
        <v>447</v>
      </c>
      <c r="I368" s="1" t="s">
        <v>447</v>
      </c>
      <c r="J368" t="s">
        <v>447</v>
      </c>
      <c r="K368" t="s">
        <v>447</v>
      </c>
      <c r="L368" t="s">
        <v>447</v>
      </c>
    </row>
    <row r="369" spans="1:12" x14ac:dyDescent="0.6">
      <c r="A369">
        <v>600398</v>
      </c>
      <c r="B369">
        <v>6</v>
      </c>
      <c r="C369">
        <v>398</v>
      </c>
      <c r="D369" t="s">
        <v>1035</v>
      </c>
      <c r="E369" t="s">
        <v>1036</v>
      </c>
      <c r="F369" s="5">
        <v>116394</v>
      </c>
      <c r="G369" s="2" t="s">
        <v>447</v>
      </c>
      <c r="H369" s="2">
        <v>36</v>
      </c>
      <c r="I369" s="1">
        <v>19.850000000000001</v>
      </c>
      <c r="J369" t="s">
        <v>447</v>
      </c>
      <c r="K369">
        <v>1</v>
      </c>
      <c r="L369">
        <v>1</v>
      </c>
    </row>
    <row r="370" spans="1:12" x14ac:dyDescent="0.6">
      <c r="A370">
        <v>604642</v>
      </c>
      <c r="B370">
        <v>6</v>
      </c>
      <c r="C370">
        <v>4642</v>
      </c>
      <c r="D370" t="s">
        <v>811</v>
      </c>
      <c r="E370" t="s">
        <v>812</v>
      </c>
      <c r="F370" s="5">
        <v>116373</v>
      </c>
      <c r="G370" s="2" t="s">
        <v>447</v>
      </c>
      <c r="H370" s="2">
        <v>32</v>
      </c>
      <c r="I370" s="1">
        <v>21.2</v>
      </c>
      <c r="J370" t="s">
        <v>447</v>
      </c>
      <c r="K370">
        <v>2</v>
      </c>
      <c r="L370">
        <v>1</v>
      </c>
    </row>
    <row r="371" spans="1:12" x14ac:dyDescent="0.6">
      <c r="A371">
        <v>690429</v>
      </c>
      <c r="B371">
        <v>6</v>
      </c>
      <c r="C371">
        <v>90429</v>
      </c>
      <c r="D371" t="s">
        <v>48</v>
      </c>
      <c r="E371" t="s">
        <v>49</v>
      </c>
      <c r="F371" s="5">
        <v>115165</v>
      </c>
      <c r="G371" s="2">
        <v>10</v>
      </c>
      <c r="H371" s="2" t="s">
        <v>447</v>
      </c>
      <c r="I371" s="1">
        <v>16.78</v>
      </c>
      <c r="J371">
        <v>2</v>
      </c>
      <c r="K371" t="s">
        <v>447</v>
      </c>
      <c r="L371">
        <v>16</v>
      </c>
    </row>
    <row r="372" spans="1:12" x14ac:dyDescent="0.6">
      <c r="A372">
        <v>600232</v>
      </c>
      <c r="B372">
        <v>6</v>
      </c>
      <c r="C372">
        <v>232</v>
      </c>
      <c r="D372" t="s">
        <v>433</v>
      </c>
      <c r="E372" t="s">
        <v>434</v>
      </c>
      <c r="F372" s="5">
        <v>114720</v>
      </c>
      <c r="G372" s="2" t="s">
        <v>447</v>
      </c>
      <c r="H372" s="2" t="s">
        <v>447</v>
      </c>
      <c r="I372" s="1" t="s">
        <v>447</v>
      </c>
      <c r="J372" t="s">
        <v>447</v>
      </c>
      <c r="K372" t="s">
        <v>447</v>
      </c>
      <c r="L372" t="s">
        <v>447</v>
      </c>
    </row>
    <row r="373" spans="1:12" x14ac:dyDescent="0.6">
      <c r="A373">
        <v>600479</v>
      </c>
      <c r="B373">
        <v>6</v>
      </c>
      <c r="C373">
        <v>479</v>
      </c>
      <c r="D373" t="s">
        <v>502</v>
      </c>
      <c r="E373" t="s">
        <v>503</v>
      </c>
      <c r="F373" s="5">
        <v>112195</v>
      </c>
      <c r="G373" s="2" t="s">
        <v>447</v>
      </c>
      <c r="H373" s="2" t="s">
        <v>447</v>
      </c>
      <c r="I373" s="1" t="s">
        <v>447</v>
      </c>
      <c r="J373" t="s">
        <v>447</v>
      </c>
      <c r="K373" t="s">
        <v>447</v>
      </c>
      <c r="L373" t="s">
        <v>447</v>
      </c>
    </row>
    <row r="374" spans="1:12" x14ac:dyDescent="0.6">
      <c r="A374">
        <v>607041</v>
      </c>
      <c r="B374">
        <v>6</v>
      </c>
      <c r="C374">
        <v>7041</v>
      </c>
      <c r="D374" t="s">
        <v>1107</v>
      </c>
      <c r="E374" t="s">
        <v>1108</v>
      </c>
      <c r="F374" s="5">
        <v>110932</v>
      </c>
      <c r="G374" s="2" t="s">
        <v>447</v>
      </c>
      <c r="H374" s="2" t="s">
        <v>447</v>
      </c>
      <c r="I374" s="1" t="s">
        <v>447</v>
      </c>
      <c r="J374" t="s">
        <v>447</v>
      </c>
      <c r="K374" t="s">
        <v>447</v>
      </c>
      <c r="L374" t="s">
        <v>447</v>
      </c>
    </row>
    <row r="375" spans="1:12" x14ac:dyDescent="0.6">
      <c r="A375">
        <v>600425</v>
      </c>
      <c r="B375">
        <v>6</v>
      </c>
      <c r="C375">
        <v>425</v>
      </c>
      <c r="D375" t="s">
        <v>1078</v>
      </c>
      <c r="E375" t="s">
        <v>1079</v>
      </c>
      <c r="F375" s="5">
        <v>110847</v>
      </c>
      <c r="G375" s="2" t="s">
        <v>447</v>
      </c>
      <c r="H375" s="2" t="s">
        <v>447</v>
      </c>
      <c r="I375" s="1" t="s">
        <v>447</v>
      </c>
      <c r="J375" t="s">
        <v>447</v>
      </c>
      <c r="K375" t="s">
        <v>447</v>
      </c>
      <c r="L375" t="s">
        <v>447</v>
      </c>
    </row>
    <row r="376" spans="1:12" x14ac:dyDescent="0.6">
      <c r="A376">
        <v>601079</v>
      </c>
      <c r="B376">
        <v>6</v>
      </c>
      <c r="C376">
        <v>1079</v>
      </c>
      <c r="D376" t="s">
        <v>179</v>
      </c>
      <c r="E376" t="s">
        <v>180</v>
      </c>
      <c r="F376" s="5">
        <v>110738</v>
      </c>
      <c r="G376" s="2" t="s">
        <v>447</v>
      </c>
      <c r="H376" s="2">
        <v>58</v>
      </c>
      <c r="I376" s="1">
        <v>23.2</v>
      </c>
      <c r="J376" t="s">
        <v>447</v>
      </c>
      <c r="K376">
        <v>1</v>
      </c>
      <c r="L376">
        <v>1</v>
      </c>
    </row>
    <row r="377" spans="1:12" x14ac:dyDescent="0.6">
      <c r="A377">
        <v>690070</v>
      </c>
      <c r="B377">
        <v>6</v>
      </c>
      <c r="C377">
        <v>90070</v>
      </c>
      <c r="D377" t="s">
        <v>1217</v>
      </c>
      <c r="E377" t="s">
        <v>1218</v>
      </c>
      <c r="F377" s="5">
        <v>106946</v>
      </c>
      <c r="G377" s="2">
        <v>57</v>
      </c>
      <c r="H377" s="2" t="s">
        <v>447</v>
      </c>
      <c r="I377" s="1">
        <v>20.5</v>
      </c>
      <c r="J377">
        <v>4</v>
      </c>
      <c r="K377" t="s">
        <v>447</v>
      </c>
      <c r="L377">
        <v>4</v>
      </c>
    </row>
    <row r="378" spans="1:12" x14ac:dyDescent="0.6">
      <c r="A378">
        <v>690089</v>
      </c>
      <c r="B378">
        <v>6</v>
      </c>
      <c r="C378">
        <v>90089</v>
      </c>
      <c r="D378" t="s">
        <v>1237</v>
      </c>
      <c r="E378" t="s">
        <v>1238</v>
      </c>
      <c r="F378" s="5">
        <v>105922</v>
      </c>
      <c r="G378" s="2" t="s">
        <v>447</v>
      </c>
      <c r="H378" s="2" t="s">
        <v>447</v>
      </c>
      <c r="I378" s="1" t="s">
        <v>447</v>
      </c>
      <c r="J378" t="s">
        <v>447</v>
      </c>
      <c r="K378" t="s">
        <v>447</v>
      </c>
      <c r="L378" t="s">
        <v>447</v>
      </c>
    </row>
    <row r="379" spans="1:12" x14ac:dyDescent="0.6">
      <c r="A379">
        <v>612922</v>
      </c>
      <c r="B379">
        <v>6</v>
      </c>
      <c r="C379">
        <v>12922</v>
      </c>
      <c r="D379" t="s">
        <v>1144</v>
      </c>
      <c r="E379" t="s">
        <v>1145</v>
      </c>
      <c r="F379" s="5">
        <v>105521</v>
      </c>
      <c r="G379" s="2" t="s">
        <v>447</v>
      </c>
      <c r="H379" s="2">
        <v>34.25</v>
      </c>
      <c r="I379" s="1">
        <v>17.75</v>
      </c>
      <c r="J379" t="s">
        <v>447</v>
      </c>
      <c r="K379">
        <v>1</v>
      </c>
      <c r="L379">
        <v>1</v>
      </c>
    </row>
    <row r="380" spans="1:12" x14ac:dyDescent="0.6">
      <c r="A380">
        <v>690470</v>
      </c>
      <c r="B380">
        <v>6</v>
      </c>
      <c r="C380">
        <v>90470</v>
      </c>
      <c r="D380" t="s">
        <v>66</v>
      </c>
      <c r="E380" t="s">
        <v>67</v>
      </c>
      <c r="F380" s="5">
        <v>104821</v>
      </c>
      <c r="G380" s="2" t="s">
        <v>447</v>
      </c>
      <c r="H380" s="2" t="s">
        <v>447</v>
      </c>
      <c r="I380" s="1">
        <v>15.58</v>
      </c>
      <c r="J380" t="s">
        <v>447</v>
      </c>
      <c r="K380" t="s">
        <v>447</v>
      </c>
      <c r="L380">
        <v>16</v>
      </c>
    </row>
    <row r="381" spans="1:12" x14ac:dyDescent="0.6">
      <c r="A381">
        <v>600116</v>
      </c>
      <c r="B381">
        <v>6</v>
      </c>
      <c r="C381">
        <v>116</v>
      </c>
      <c r="D381" t="s">
        <v>655</v>
      </c>
      <c r="E381" t="s">
        <v>656</v>
      </c>
      <c r="F381" s="5">
        <v>104457</v>
      </c>
      <c r="G381" s="2">
        <v>57.4</v>
      </c>
      <c r="H381" s="2" t="s">
        <v>447</v>
      </c>
      <c r="I381" s="1">
        <f>(22.8+19.8)/2</f>
        <v>21.3</v>
      </c>
      <c r="J381">
        <v>1</v>
      </c>
      <c r="K381" t="s">
        <v>447</v>
      </c>
      <c r="L381">
        <v>1</v>
      </c>
    </row>
    <row r="382" spans="1:12" x14ac:dyDescent="0.6">
      <c r="A382">
        <v>600088</v>
      </c>
      <c r="B382">
        <v>6</v>
      </c>
      <c r="C382">
        <v>88</v>
      </c>
      <c r="D382" t="s">
        <v>627</v>
      </c>
      <c r="E382" t="s">
        <v>628</v>
      </c>
      <c r="F382" s="5">
        <v>102647</v>
      </c>
      <c r="G382" s="2" t="s">
        <v>447</v>
      </c>
      <c r="H382" s="2" t="s">
        <v>447</v>
      </c>
      <c r="I382" s="1">
        <f>(18+18.7+23)/3</f>
        <v>19.900000000000002</v>
      </c>
      <c r="J382" t="s">
        <v>447</v>
      </c>
      <c r="K382" t="s">
        <v>447</v>
      </c>
      <c r="L382">
        <v>1</v>
      </c>
    </row>
    <row r="383" spans="1:12" x14ac:dyDescent="0.6">
      <c r="A383">
        <v>601340</v>
      </c>
      <c r="B383">
        <v>6</v>
      </c>
      <c r="C383">
        <v>1340</v>
      </c>
      <c r="D383" t="s">
        <v>213</v>
      </c>
      <c r="E383" t="s">
        <v>214</v>
      </c>
      <c r="F383" s="5">
        <v>102019</v>
      </c>
      <c r="G383" s="2" t="s">
        <v>447</v>
      </c>
      <c r="H383" s="2" t="s">
        <v>447</v>
      </c>
      <c r="I383" s="1" t="s">
        <v>447</v>
      </c>
      <c r="J383" t="s">
        <v>447</v>
      </c>
      <c r="K383" t="s">
        <v>447</v>
      </c>
      <c r="L383" t="s">
        <v>447</v>
      </c>
    </row>
    <row r="384" spans="1:12" x14ac:dyDescent="0.6">
      <c r="A384">
        <v>690067</v>
      </c>
      <c r="B384">
        <v>6</v>
      </c>
      <c r="C384">
        <v>90067</v>
      </c>
      <c r="D384" t="s">
        <v>1213</v>
      </c>
      <c r="E384" t="s">
        <v>1214</v>
      </c>
      <c r="F384" s="5">
        <v>101033</v>
      </c>
      <c r="G384" s="2">
        <v>71</v>
      </c>
      <c r="H384" s="2" t="s">
        <v>447</v>
      </c>
      <c r="I384" s="1">
        <v>15.58</v>
      </c>
      <c r="J384">
        <v>2</v>
      </c>
      <c r="K384" t="s">
        <v>447</v>
      </c>
      <c r="L384">
        <v>16</v>
      </c>
    </row>
    <row r="385" spans="1:12" x14ac:dyDescent="0.6">
      <c r="A385">
        <v>600401</v>
      </c>
      <c r="B385">
        <v>6</v>
      </c>
      <c r="C385">
        <v>401</v>
      </c>
      <c r="D385" t="s">
        <v>1041</v>
      </c>
      <c r="E385" t="s">
        <v>1042</v>
      </c>
      <c r="F385" s="5">
        <v>95490</v>
      </c>
      <c r="G385" s="2" t="s">
        <v>447</v>
      </c>
      <c r="H385" s="2" t="s">
        <v>447</v>
      </c>
      <c r="I385" s="1" t="s">
        <v>447</v>
      </c>
      <c r="J385" t="s">
        <v>447</v>
      </c>
      <c r="K385" t="s">
        <v>447</v>
      </c>
      <c r="L385" t="s">
        <v>447</v>
      </c>
    </row>
    <row r="386" spans="1:12" x14ac:dyDescent="0.6">
      <c r="A386">
        <v>601619</v>
      </c>
      <c r="B386">
        <v>6</v>
      </c>
      <c r="C386">
        <v>1619</v>
      </c>
      <c r="D386" t="s">
        <v>325</v>
      </c>
      <c r="E386" t="s">
        <v>326</v>
      </c>
      <c r="F386" s="5">
        <v>94354</v>
      </c>
      <c r="G386" s="2" t="s">
        <v>447</v>
      </c>
      <c r="H386" s="2" t="s">
        <v>447</v>
      </c>
      <c r="I386" s="1" t="s">
        <v>447</v>
      </c>
      <c r="J386" t="s">
        <v>447</v>
      </c>
      <c r="K386" t="s">
        <v>447</v>
      </c>
      <c r="L386" t="s">
        <v>447</v>
      </c>
    </row>
    <row r="387" spans="1:12" x14ac:dyDescent="0.6">
      <c r="A387">
        <v>690064</v>
      </c>
      <c r="B387">
        <v>6</v>
      </c>
      <c r="C387">
        <v>90064</v>
      </c>
      <c r="D387" t="s">
        <v>1209</v>
      </c>
      <c r="E387" t="s">
        <v>1210</v>
      </c>
      <c r="F387" s="5">
        <v>93601</v>
      </c>
      <c r="G387" s="2">
        <f>(45+30.5)/2</f>
        <v>37.75</v>
      </c>
      <c r="H387" s="2" t="s">
        <v>447</v>
      </c>
      <c r="I387" s="1" t="s">
        <v>447</v>
      </c>
      <c r="J387">
        <v>37</v>
      </c>
      <c r="K387" t="s">
        <v>447</v>
      </c>
      <c r="L387" t="s">
        <v>447</v>
      </c>
    </row>
    <row r="388" spans="1:12" x14ac:dyDescent="0.6">
      <c r="A388">
        <v>600080</v>
      </c>
      <c r="B388">
        <v>6</v>
      </c>
      <c r="C388">
        <v>80</v>
      </c>
      <c r="D388" t="s">
        <v>625</v>
      </c>
      <c r="E388" t="s">
        <v>626</v>
      </c>
      <c r="F388" s="5">
        <v>93040</v>
      </c>
      <c r="G388" s="2" t="s">
        <v>447</v>
      </c>
      <c r="H388" s="2" t="s">
        <v>447</v>
      </c>
      <c r="I388" s="1">
        <f>(20.5+23.5+19.8)/3</f>
        <v>21.266666666666666</v>
      </c>
      <c r="J388" t="s">
        <v>447</v>
      </c>
      <c r="K388" t="s">
        <v>447</v>
      </c>
      <c r="L388">
        <v>1</v>
      </c>
    </row>
    <row r="389" spans="1:12" x14ac:dyDescent="0.6">
      <c r="A389">
        <v>690309</v>
      </c>
      <c r="B389">
        <v>6</v>
      </c>
      <c r="C389">
        <v>90309</v>
      </c>
      <c r="D389" t="s">
        <v>1389</v>
      </c>
      <c r="E389" t="s">
        <v>1390</v>
      </c>
      <c r="F389" s="5">
        <v>91284</v>
      </c>
      <c r="G389" s="2" t="s">
        <v>447</v>
      </c>
      <c r="H389" s="2" t="s">
        <v>447</v>
      </c>
      <c r="I389" s="1" t="s">
        <v>447</v>
      </c>
      <c r="J389" t="s">
        <v>447</v>
      </c>
      <c r="K389" t="s">
        <v>447</v>
      </c>
      <c r="L389" t="s">
        <v>447</v>
      </c>
    </row>
    <row r="390" spans="1:12" x14ac:dyDescent="0.6">
      <c r="A390">
        <v>600692</v>
      </c>
      <c r="B390">
        <v>6</v>
      </c>
      <c r="C390">
        <v>692</v>
      </c>
      <c r="D390" t="s">
        <v>112</v>
      </c>
      <c r="E390" t="s">
        <v>113</v>
      </c>
      <c r="F390" s="5">
        <v>90100</v>
      </c>
      <c r="G390" s="2" t="s">
        <v>447</v>
      </c>
      <c r="H390" s="2" t="s">
        <v>447</v>
      </c>
      <c r="I390" s="1" t="s">
        <v>447</v>
      </c>
      <c r="J390" t="s">
        <v>447</v>
      </c>
      <c r="K390" t="s">
        <v>447</v>
      </c>
      <c r="L390" t="s">
        <v>447</v>
      </c>
    </row>
    <row r="391" spans="1:12" x14ac:dyDescent="0.6">
      <c r="A391">
        <v>606470</v>
      </c>
      <c r="B391">
        <v>6</v>
      </c>
      <c r="C391">
        <v>6470</v>
      </c>
      <c r="D391" t="s">
        <v>853</v>
      </c>
      <c r="E391" t="s">
        <v>854</v>
      </c>
      <c r="F391" s="5">
        <v>89507</v>
      </c>
      <c r="G391" s="2">
        <v>38.5</v>
      </c>
      <c r="H391" s="2" t="s">
        <v>447</v>
      </c>
      <c r="I391" s="1">
        <f>(18.65+19.38)/2</f>
        <v>19.015000000000001</v>
      </c>
      <c r="J391">
        <v>1</v>
      </c>
      <c r="K391" t="s">
        <v>447</v>
      </c>
      <c r="L391">
        <v>49</v>
      </c>
    </row>
    <row r="392" spans="1:12" x14ac:dyDescent="0.6">
      <c r="A392">
        <v>600357</v>
      </c>
      <c r="B392">
        <v>6</v>
      </c>
      <c r="C392">
        <v>357</v>
      </c>
      <c r="D392" t="s">
        <v>977</v>
      </c>
      <c r="E392" t="s">
        <v>978</v>
      </c>
      <c r="F392" s="5">
        <v>88756</v>
      </c>
      <c r="G392" s="2" t="s">
        <v>447</v>
      </c>
      <c r="H392" s="2" t="s">
        <v>447</v>
      </c>
      <c r="I392" s="1" t="s">
        <v>447</v>
      </c>
      <c r="J392" t="s">
        <v>447</v>
      </c>
      <c r="K392" t="s">
        <v>447</v>
      </c>
      <c r="L392" t="s">
        <v>447</v>
      </c>
    </row>
    <row r="393" spans="1:12" x14ac:dyDescent="0.6">
      <c r="A393">
        <v>600483</v>
      </c>
      <c r="B393">
        <v>6</v>
      </c>
      <c r="C393">
        <v>483</v>
      </c>
      <c r="D393" t="s">
        <v>510</v>
      </c>
      <c r="E393" t="s">
        <v>511</v>
      </c>
      <c r="F393" s="5">
        <v>87488</v>
      </c>
      <c r="G393" s="2" t="s">
        <v>447</v>
      </c>
      <c r="H393" s="2" t="s">
        <v>447</v>
      </c>
      <c r="I393" s="1" t="s">
        <v>447</v>
      </c>
      <c r="J393" t="s">
        <v>447</v>
      </c>
      <c r="K393" t="s">
        <v>447</v>
      </c>
      <c r="L393" t="s">
        <v>447</v>
      </c>
    </row>
    <row r="394" spans="1:12" x14ac:dyDescent="0.6">
      <c r="A394">
        <v>600529</v>
      </c>
      <c r="B394">
        <v>6</v>
      </c>
      <c r="C394">
        <v>529</v>
      </c>
      <c r="D394" t="s">
        <v>82</v>
      </c>
      <c r="E394" t="s">
        <v>83</v>
      </c>
      <c r="F394" s="5">
        <v>87321</v>
      </c>
      <c r="G394" s="2" t="s">
        <v>447</v>
      </c>
      <c r="H394" s="2" t="s">
        <v>447</v>
      </c>
      <c r="I394" s="1">
        <v>17</v>
      </c>
      <c r="J394" t="s">
        <v>447</v>
      </c>
      <c r="K394" t="s">
        <v>447</v>
      </c>
      <c r="L394">
        <v>1</v>
      </c>
    </row>
    <row r="395" spans="1:12" x14ac:dyDescent="0.6">
      <c r="A395">
        <v>600253</v>
      </c>
      <c r="B395">
        <v>6</v>
      </c>
      <c r="C395">
        <v>253</v>
      </c>
      <c r="D395" t="s">
        <v>869</v>
      </c>
      <c r="E395" t="s">
        <v>870</v>
      </c>
      <c r="F395" s="5">
        <v>86976</v>
      </c>
      <c r="G395" s="2" t="s">
        <v>447</v>
      </c>
      <c r="H395" s="2" t="s">
        <v>447</v>
      </c>
      <c r="I395" s="1">
        <v>17.600000000000001</v>
      </c>
      <c r="J395" t="s">
        <v>447</v>
      </c>
      <c r="K395" t="s">
        <v>447</v>
      </c>
      <c r="L395">
        <v>1</v>
      </c>
    </row>
    <row r="396" spans="1:12" x14ac:dyDescent="0.6">
      <c r="A396">
        <v>690228</v>
      </c>
      <c r="B396">
        <v>6</v>
      </c>
      <c r="C396">
        <v>90228</v>
      </c>
      <c r="D396" t="s">
        <v>1331</v>
      </c>
      <c r="E396" t="s">
        <v>1332</v>
      </c>
      <c r="F396" s="5">
        <v>86817</v>
      </c>
      <c r="G396" s="2" t="s">
        <v>447</v>
      </c>
      <c r="H396" s="2" t="s">
        <v>447</v>
      </c>
      <c r="I396" s="1">
        <v>20.6</v>
      </c>
      <c r="J396" t="s">
        <v>447</v>
      </c>
      <c r="K396" t="s">
        <v>447</v>
      </c>
      <c r="L396">
        <v>16</v>
      </c>
    </row>
    <row r="397" spans="1:12" x14ac:dyDescent="0.6">
      <c r="A397">
        <v>600397</v>
      </c>
      <c r="B397">
        <v>6</v>
      </c>
      <c r="C397">
        <v>397</v>
      </c>
      <c r="D397" t="s">
        <v>1033</v>
      </c>
      <c r="E397" t="s">
        <v>1034</v>
      </c>
      <c r="F397" s="5">
        <v>86685</v>
      </c>
      <c r="G397" s="2" t="s">
        <v>447</v>
      </c>
      <c r="H397" s="2" t="s">
        <v>447</v>
      </c>
      <c r="I397" s="1" t="s">
        <v>447</v>
      </c>
      <c r="J397" t="s">
        <v>447</v>
      </c>
      <c r="K397" t="s">
        <v>447</v>
      </c>
      <c r="L397" t="s">
        <v>447</v>
      </c>
    </row>
    <row r="398" spans="1:12" x14ac:dyDescent="0.6">
      <c r="A398">
        <v>600239</v>
      </c>
      <c r="B398">
        <v>6</v>
      </c>
      <c r="C398">
        <v>239</v>
      </c>
      <c r="D398" t="s">
        <v>441</v>
      </c>
      <c r="E398" t="s">
        <v>442</v>
      </c>
      <c r="F398" s="5">
        <v>86533</v>
      </c>
      <c r="G398" s="2" t="s">
        <v>447</v>
      </c>
      <c r="H398" s="2" t="s">
        <v>447</v>
      </c>
      <c r="I398" s="1">
        <v>19.600000000000001</v>
      </c>
      <c r="J398" t="s">
        <v>447</v>
      </c>
      <c r="K398" t="s">
        <v>447</v>
      </c>
      <c r="L398">
        <v>1</v>
      </c>
    </row>
    <row r="399" spans="1:12" x14ac:dyDescent="0.6">
      <c r="A399">
        <v>600141</v>
      </c>
      <c r="B399">
        <v>6</v>
      </c>
      <c r="C399">
        <v>141</v>
      </c>
      <c r="D399" t="s">
        <v>685</v>
      </c>
      <c r="E399" t="s">
        <v>686</v>
      </c>
      <c r="F399" s="5">
        <v>86364</v>
      </c>
      <c r="G399" s="2" t="s">
        <v>447</v>
      </c>
      <c r="H399" s="2" t="s">
        <v>447</v>
      </c>
      <c r="I399" s="1">
        <v>20</v>
      </c>
      <c r="J399" t="s">
        <v>447</v>
      </c>
      <c r="K399" t="s">
        <v>447</v>
      </c>
      <c r="L399">
        <v>1</v>
      </c>
    </row>
    <row r="400" spans="1:12" x14ac:dyDescent="0.6">
      <c r="A400">
        <v>601090</v>
      </c>
      <c r="B400">
        <v>6</v>
      </c>
      <c r="C400">
        <v>1090</v>
      </c>
      <c r="D400" t="s">
        <v>183</v>
      </c>
      <c r="E400" t="s">
        <v>184</v>
      </c>
      <c r="F400" s="5">
        <v>84244</v>
      </c>
      <c r="G400" s="2" t="s">
        <v>447</v>
      </c>
      <c r="H400" s="2" t="s">
        <v>447</v>
      </c>
      <c r="I400" s="1" t="s">
        <v>447</v>
      </c>
      <c r="J400" t="s">
        <v>447</v>
      </c>
      <c r="K400" t="s">
        <v>447</v>
      </c>
      <c r="L400" t="s">
        <v>447</v>
      </c>
    </row>
    <row r="401" spans="1:12" x14ac:dyDescent="0.6">
      <c r="A401">
        <v>600144</v>
      </c>
      <c r="B401">
        <v>6</v>
      </c>
      <c r="C401">
        <v>144</v>
      </c>
      <c r="D401" t="s">
        <v>691</v>
      </c>
      <c r="E401" t="s">
        <v>692</v>
      </c>
      <c r="F401" s="5">
        <v>84000</v>
      </c>
      <c r="G401" s="2" t="s">
        <v>447</v>
      </c>
      <c r="H401" s="2" t="s">
        <v>447</v>
      </c>
      <c r="I401" s="1">
        <v>23.7</v>
      </c>
      <c r="J401" t="s">
        <v>447</v>
      </c>
      <c r="K401" t="s">
        <v>447</v>
      </c>
      <c r="L401">
        <v>1</v>
      </c>
    </row>
    <row r="402" spans="1:12" x14ac:dyDescent="0.6">
      <c r="A402">
        <v>600309</v>
      </c>
      <c r="B402">
        <v>6</v>
      </c>
      <c r="C402">
        <v>309</v>
      </c>
      <c r="D402" t="s">
        <v>904</v>
      </c>
      <c r="E402" t="s">
        <v>905</v>
      </c>
      <c r="F402" s="5">
        <v>82324</v>
      </c>
      <c r="G402" s="2" t="s">
        <v>447</v>
      </c>
      <c r="H402" s="2" t="s">
        <v>447</v>
      </c>
      <c r="I402" s="1" t="s">
        <v>447</v>
      </c>
      <c r="J402" t="s">
        <v>447</v>
      </c>
      <c r="K402" t="s">
        <v>447</v>
      </c>
      <c r="L402" t="s">
        <v>447</v>
      </c>
    </row>
    <row r="403" spans="1:12" x14ac:dyDescent="0.6">
      <c r="A403">
        <v>600547</v>
      </c>
      <c r="B403">
        <v>6</v>
      </c>
      <c r="C403">
        <v>547</v>
      </c>
      <c r="D403" t="s">
        <v>90</v>
      </c>
      <c r="E403" t="s">
        <v>91</v>
      </c>
      <c r="F403" s="5">
        <v>80929</v>
      </c>
      <c r="G403" s="2" t="s">
        <v>447</v>
      </c>
      <c r="H403" s="2" t="s">
        <v>447</v>
      </c>
      <c r="I403" s="1" t="s">
        <v>447</v>
      </c>
      <c r="J403" t="s">
        <v>447</v>
      </c>
      <c r="K403" t="s">
        <v>447</v>
      </c>
      <c r="L403" t="s">
        <v>447</v>
      </c>
    </row>
    <row r="404" spans="1:12" x14ac:dyDescent="0.6">
      <c r="A404">
        <v>600378</v>
      </c>
      <c r="B404">
        <v>6</v>
      </c>
      <c r="C404">
        <v>378</v>
      </c>
      <c r="D404" t="s">
        <v>1001</v>
      </c>
      <c r="E404" t="s">
        <v>1002</v>
      </c>
      <c r="F404" s="5">
        <v>79129</v>
      </c>
      <c r="G404" s="2" t="s">
        <v>447</v>
      </c>
      <c r="H404" s="2" t="s">
        <v>447</v>
      </c>
      <c r="I404" s="1">
        <v>20</v>
      </c>
      <c r="J404" t="s">
        <v>447</v>
      </c>
      <c r="K404" t="s">
        <v>447</v>
      </c>
      <c r="L404">
        <v>1</v>
      </c>
    </row>
    <row r="405" spans="1:12" x14ac:dyDescent="0.6">
      <c r="A405">
        <v>690031</v>
      </c>
      <c r="B405">
        <v>6</v>
      </c>
      <c r="C405">
        <v>90031</v>
      </c>
      <c r="D405" t="s">
        <v>1175</v>
      </c>
      <c r="E405" t="s">
        <v>1176</v>
      </c>
      <c r="F405" s="5">
        <v>78163</v>
      </c>
      <c r="G405" s="2" t="s">
        <v>447</v>
      </c>
      <c r="H405" s="2" t="s">
        <v>447</v>
      </c>
      <c r="I405" s="1" t="s">
        <v>447</v>
      </c>
      <c r="J405" t="s">
        <v>447</v>
      </c>
      <c r="K405" t="s">
        <v>447</v>
      </c>
      <c r="L405" t="s">
        <v>447</v>
      </c>
    </row>
    <row r="406" spans="1:12" x14ac:dyDescent="0.6">
      <c r="A406">
        <v>601609</v>
      </c>
      <c r="B406">
        <v>6</v>
      </c>
      <c r="C406">
        <v>1609</v>
      </c>
      <c r="D406" t="s">
        <v>323</v>
      </c>
      <c r="E406" t="s">
        <v>324</v>
      </c>
      <c r="F406" s="5">
        <v>77991</v>
      </c>
      <c r="G406" s="2" t="s">
        <v>447</v>
      </c>
      <c r="H406" s="2" t="s">
        <v>447</v>
      </c>
      <c r="I406" s="1" t="s">
        <v>447</v>
      </c>
      <c r="J406" t="s">
        <v>447</v>
      </c>
      <c r="K406" t="s">
        <v>447</v>
      </c>
      <c r="L406" t="s">
        <v>447</v>
      </c>
    </row>
    <row r="407" spans="1:12" x14ac:dyDescent="0.6">
      <c r="A407">
        <v>600419</v>
      </c>
      <c r="B407">
        <v>6</v>
      </c>
      <c r="C407">
        <v>419</v>
      </c>
      <c r="D407" t="s">
        <v>1068</v>
      </c>
      <c r="E407" t="s">
        <v>1069</v>
      </c>
      <c r="F407" s="5">
        <v>76227</v>
      </c>
      <c r="G407" s="2" t="s">
        <v>447</v>
      </c>
      <c r="H407" s="2">
        <v>51</v>
      </c>
      <c r="I407" s="1">
        <v>19.3</v>
      </c>
      <c r="J407" t="s">
        <v>447</v>
      </c>
      <c r="K407">
        <v>1</v>
      </c>
      <c r="L407">
        <v>1</v>
      </c>
    </row>
    <row r="408" spans="1:12" x14ac:dyDescent="0.6">
      <c r="A408">
        <v>690047</v>
      </c>
      <c r="B408">
        <v>6</v>
      </c>
      <c r="C408">
        <v>90047</v>
      </c>
      <c r="D408" t="s">
        <v>1189</v>
      </c>
      <c r="E408" t="s">
        <v>1190</v>
      </c>
      <c r="F408" s="5">
        <v>76051</v>
      </c>
      <c r="G408" s="2" t="s">
        <v>447</v>
      </c>
      <c r="H408" s="2" t="s">
        <v>447</v>
      </c>
      <c r="I408" s="1" t="s">
        <v>447</v>
      </c>
      <c r="J408" t="s">
        <v>447</v>
      </c>
      <c r="K408" t="s">
        <v>447</v>
      </c>
      <c r="L408" t="s">
        <v>447</v>
      </c>
    </row>
    <row r="409" spans="1:12" x14ac:dyDescent="0.6">
      <c r="A409">
        <v>600242</v>
      </c>
      <c r="B409">
        <v>6</v>
      </c>
      <c r="C409">
        <v>242</v>
      </c>
      <c r="D409" t="s">
        <v>857</v>
      </c>
      <c r="E409" t="s">
        <v>858</v>
      </c>
      <c r="F409" s="5">
        <v>75668</v>
      </c>
      <c r="G409" s="2">
        <v>53</v>
      </c>
      <c r="H409" s="2">
        <v>46</v>
      </c>
      <c r="I409" s="1">
        <v>18.2</v>
      </c>
      <c r="J409">
        <v>3</v>
      </c>
      <c r="K409">
        <v>2</v>
      </c>
      <c r="L409">
        <v>1</v>
      </c>
    </row>
    <row r="410" spans="1:12" x14ac:dyDescent="0.6">
      <c r="A410">
        <v>600505</v>
      </c>
      <c r="B410">
        <v>6</v>
      </c>
      <c r="C410">
        <v>505</v>
      </c>
      <c r="D410" t="s">
        <v>542</v>
      </c>
      <c r="E410" t="s">
        <v>543</v>
      </c>
      <c r="F410" s="5">
        <v>75125</v>
      </c>
      <c r="G410" s="2">
        <f>(47.3+45+46.5)/3</f>
        <v>46.266666666666673</v>
      </c>
      <c r="H410" s="2">
        <v>29</v>
      </c>
      <c r="I410" s="1">
        <f>(17.5+18.4+19)/3</f>
        <v>18.3</v>
      </c>
      <c r="J410">
        <v>33</v>
      </c>
      <c r="K410">
        <v>4</v>
      </c>
      <c r="L410">
        <v>33</v>
      </c>
    </row>
    <row r="411" spans="1:12" x14ac:dyDescent="0.6">
      <c r="A411">
        <v>690284</v>
      </c>
      <c r="B411">
        <v>6</v>
      </c>
      <c r="C411">
        <v>90284</v>
      </c>
      <c r="D411" t="s">
        <v>1375</v>
      </c>
      <c r="E411" t="s">
        <v>1376</v>
      </c>
      <c r="F411" s="5">
        <v>74706</v>
      </c>
      <c r="G411" s="2">
        <f>(33+31.9)/2</f>
        <v>32.450000000000003</v>
      </c>
      <c r="H411" s="2" t="s">
        <v>447</v>
      </c>
      <c r="I411" s="1" t="s">
        <v>447</v>
      </c>
      <c r="J411">
        <v>37</v>
      </c>
      <c r="K411" t="s">
        <v>447</v>
      </c>
      <c r="L411" t="s">
        <v>447</v>
      </c>
    </row>
    <row r="412" spans="1:12" x14ac:dyDescent="0.6">
      <c r="A412">
        <v>600426</v>
      </c>
      <c r="B412">
        <v>6</v>
      </c>
      <c r="C412">
        <v>426</v>
      </c>
      <c r="D412" t="s">
        <v>1080</v>
      </c>
      <c r="E412" t="s">
        <v>1081</v>
      </c>
      <c r="F412" s="5">
        <v>74114</v>
      </c>
      <c r="G412" s="2" t="s">
        <v>447</v>
      </c>
      <c r="H412" s="2">
        <v>49</v>
      </c>
      <c r="I412" s="1">
        <f>(19.65+19.6+19.38)/3</f>
        <v>19.543333333333333</v>
      </c>
      <c r="J412" t="s">
        <v>447</v>
      </c>
      <c r="K412">
        <v>1</v>
      </c>
      <c r="L412">
        <v>49</v>
      </c>
    </row>
    <row r="413" spans="1:12" x14ac:dyDescent="0.6">
      <c r="A413">
        <v>690259</v>
      </c>
      <c r="B413">
        <v>6</v>
      </c>
      <c r="C413">
        <v>90259</v>
      </c>
      <c r="D413" t="s">
        <v>1351</v>
      </c>
      <c r="E413" t="s">
        <v>1352</v>
      </c>
      <c r="F413" s="5">
        <v>73233</v>
      </c>
      <c r="G413" s="2">
        <f>(10+12.5)/2</f>
        <v>11.25</v>
      </c>
      <c r="H413" s="2" t="s">
        <v>447</v>
      </c>
      <c r="I413" s="1">
        <v>16.78</v>
      </c>
      <c r="J413">
        <v>29</v>
      </c>
      <c r="K413" t="s">
        <v>447</v>
      </c>
      <c r="L413">
        <v>16</v>
      </c>
    </row>
    <row r="414" spans="1:12" x14ac:dyDescent="0.6">
      <c r="A414">
        <v>604326</v>
      </c>
      <c r="B414">
        <v>6</v>
      </c>
      <c r="C414">
        <v>4326</v>
      </c>
      <c r="D414" t="s">
        <v>795</v>
      </c>
      <c r="E414" t="s">
        <v>796</v>
      </c>
      <c r="F414" s="5">
        <v>72754</v>
      </c>
      <c r="G414" s="2">
        <v>25</v>
      </c>
      <c r="H414" s="2">
        <v>23</v>
      </c>
      <c r="I414" s="1" t="s">
        <v>447</v>
      </c>
      <c r="J414">
        <v>13</v>
      </c>
      <c r="K414">
        <v>2</v>
      </c>
      <c r="L414" t="s">
        <v>447</v>
      </c>
    </row>
    <row r="415" spans="1:12" x14ac:dyDescent="0.6">
      <c r="A415">
        <v>600466</v>
      </c>
      <c r="B415">
        <v>6</v>
      </c>
      <c r="C415">
        <v>466</v>
      </c>
      <c r="D415" t="s">
        <v>482</v>
      </c>
      <c r="E415" t="s">
        <v>483</v>
      </c>
      <c r="F415" s="5">
        <v>72719</v>
      </c>
      <c r="G415" s="2" t="s">
        <v>447</v>
      </c>
      <c r="H415" s="2" t="s">
        <v>447</v>
      </c>
      <c r="I415" s="1" t="s">
        <v>447</v>
      </c>
      <c r="J415" t="s">
        <v>447</v>
      </c>
      <c r="K415" t="s">
        <v>447</v>
      </c>
      <c r="L415" t="s">
        <v>447</v>
      </c>
    </row>
    <row r="416" spans="1:12" x14ac:dyDescent="0.6">
      <c r="A416">
        <v>600078</v>
      </c>
      <c r="B416">
        <v>6</v>
      </c>
      <c r="C416">
        <v>78</v>
      </c>
      <c r="D416" t="s">
        <v>623</v>
      </c>
      <c r="E416" t="s">
        <v>624</v>
      </c>
      <c r="F416" s="5">
        <v>71905</v>
      </c>
      <c r="G416" s="2">
        <v>58.7</v>
      </c>
      <c r="H416" s="2" t="s">
        <v>447</v>
      </c>
      <c r="I416" s="1">
        <f>(21.2+21.8)/2</f>
        <v>21.5</v>
      </c>
      <c r="J416">
        <v>1</v>
      </c>
      <c r="K416" t="s">
        <v>447</v>
      </c>
      <c r="L416">
        <v>1</v>
      </c>
    </row>
    <row r="417" spans="1:12" x14ac:dyDescent="0.6">
      <c r="A417">
        <v>601600</v>
      </c>
      <c r="B417">
        <v>6</v>
      </c>
      <c r="C417">
        <v>1600</v>
      </c>
      <c r="D417" t="s">
        <v>319</v>
      </c>
      <c r="E417" t="s">
        <v>320</v>
      </c>
      <c r="F417" s="5">
        <v>71106</v>
      </c>
      <c r="G417" s="2" t="s">
        <v>447</v>
      </c>
      <c r="H417" s="2" t="s">
        <v>447</v>
      </c>
      <c r="I417" s="1">
        <v>16</v>
      </c>
      <c r="J417" t="s">
        <v>447</v>
      </c>
      <c r="K417" t="s">
        <v>447</v>
      </c>
      <c r="L417">
        <v>1</v>
      </c>
    </row>
    <row r="418" spans="1:12" x14ac:dyDescent="0.6">
      <c r="A418">
        <v>600362</v>
      </c>
      <c r="B418">
        <v>6</v>
      </c>
      <c r="C418">
        <v>362</v>
      </c>
      <c r="D418" t="s">
        <v>981</v>
      </c>
      <c r="E418" t="s">
        <v>982</v>
      </c>
      <c r="F418" s="5">
        <v>70671</v>
      </c>
      <c r="G418" s="2" t="s">
        <v>447</v>
      </c>
      <c r="H418" s="2" t="s">
        <v>447</v>
      </c>
      <c r="I418" s="1">
        <v>17.5</v>
      </c>
      <c r="J418" t="s">
        <v>447</v>
      </c>
      <c r="K418" t="s">
        <v>447</v>
      </c>
      <c r="L418">
        <v>1</v>
      </c>
    </row>
    <row r="419" spans="1:12" x14ac:dyDescent="0.6">
      <c r="A419">
        <v>600350</v>
      </c>
      <c r="B419">
        <v>6</v>
      </c>
      <c r="C419">
        <v>350</v>
      </c>
      <c r="D419" t="s">
        <v>968</v>
      </c>
      <c r="E419" t="s">
        <v>969</v>
      </c>
      <c r="F419" s="5">
        <v>70375</v>
      </c>
      <c r="G419" s="2">
        <v>48.45</v>
      </c>
      <c r="H419" s="2" t="s">
        <v>447</v>
      </c>
      <c r="I419" s="1">
        <f>(19.5+19.8)/2</f>
        <v>19.649999999999999</v>
      </c>
      <c r="J419">
        <v>1</v>
      </c>
      <c r="K419" t="s">
        <v>447</v>
      </c>
      <c r="L419">
        <v>1</v>
      </c>
    </row>
    <row r="420" spans="1:12" x14ac:dyDescent="0.6">
      <c r="A420">
        <v>690163</v>
      </c>
      <c r="B420">
        <v>6</v>
      </c>
      <c r="C420">
        <v>90163</v>
      </c>
      <c r="D420" t="s">
        <v>1285</v>
      </c>
      <c r="E420" t="s">
        <v>1286</v>
      </c>
      <c r="F420" s="5">
        <v>69757</v>
      </c>
      <c r="G420" s="2">
        <v>57</v>
      </c>
      <c r="H420" s="2" t="s">
        <v>447</v>
      </c>
      <c r="I420" s="1">
        <v>20.5</v>
      </c>
      <c r="J420">
        <v>4</v>
      </c>
      <c r="K420" t="s">
        <v>447</v>
      </c>
      <c r="L420">
        <v>4</v>
      </c>
    </row>
    <row r="421" spans="1:12" x14ac:dyDescent="0.6">
      <c r="A421">
        <v>690334</v>
      </c>
      <c r="B421">
        <v>6</v>
      </c>
      <c r="C421">
        <v>90334</v>
      </c>
      <c r="D421" t="s">
        <v>1411</v>
      </c>
      <c r="E421" t="s">
        <v>1412</v>
      </c>
      <c r="F421" s="5">
        <v>69149</v>
      </c>
      <c r="G421" s="2" t="s">
        <v>447</v>
      </c>
      <c r="H421" s="2" t="s">
        <v>447</v>
      </c>
      <c r="I421" s="1" t="s">
        <v>447</v>
      </c>
      <c r="J421" t="s">
        <v>447</v>
      </c>
      <c r="K421" t="s">
        <v>447</v>
      </c>
      <c r="L421" t="s">
        <v>447</v>
      </c>
    </row>
    <row r="422" spans="1:12" x14ac:dyDescent="0.6">
      <c r="A422">
        <v>600411</v>
      </c>
      <c r="B422">
        <v>6</v>
      </c>
      <c r="C422">
        <v>411</v>
      </c>
      <c r="D422" t="s">
        <v>1056</v>
      </c>
      <c r="E422" t="s">
        <v>1057</v>
      </c>
      <c r="F422" s="5">
        <v>68582</v>
      </c>
      <c r="G422" s="2" t="s">
        <v>447</v>
      </c>
      <c r="H422" s="2" t="s">
        <v>447</v>
      </c>
      <c r="I422" s="1" t="s">
        <v>447</v>
      </c>
      <c r="J422" t="s">
        <v>447</v>
      </c>
      <c r="K422" t="s">
        <v>447</v>
      </c>
      <c r="L422" t="s">
        <v>447</v>
      </c>
    </row>
    <row r="423" spans="1:12" x14ac:dyDescent="0.6">
      <c r="A423">
        <v>600231</v>
      </c>
      <c r="B423">
        <v>6</v>
      </c>
      <c r="C423">
        <v>231</v>
      </c>
      <c r="D423" t="s">
        <v>431</v>
      </c>
      <c r="E423" t="s">
        <v>432</v>
      </c>
      <c r="F423" s="5">
        <v>67060</v>
      </c>
      <c r="G423" s="2" t="s">
        <v>447</v>
      </c>
      <c r="H423" s="2" t="s">
        <v>447</v>
      </c>
      <c r="I423" s="1" t="s">
        <v>447</v>
      </c>
      <c r="J423" t="s">
        <v>447</v>
      </c>
      <c r="K423" t="s">
        <v>447</v>
      </c>
      <c r="L423" t="s">
        <v>447</v>
      </c>
    </row>
    <row r="424" spans="1:12" x14ac:dyDescent="0.6">
      <c r="A424">
        <v>690364</v>
      </c>
      <c r="B424">
        <v>6</v>
      </c>
      <c r="C424">
        <v>90364</v>
      </c>
      <c r="D424" t="s">
        <v>10</v>
      </c>
      <c r="E424" t="s">
        <v>11</v>
      </c>
      <c r="F424" s="5">
        <v>65441</v>
      </c>
      <c r="G424" s="2">
        <v>10</v>
      </c>
      <c r="H424" s="2" t="s">
        <v>447</v>
      </c>
      <c r="I424" s="1" t="s">
        <v>447</v>
      </c>
      <c r="J424">
        <v>2</v>
      </c>
      <c r="K424" t="s">
        <v>447</v>
      </c>
      <c r="L424" t="s">
        <v>447</v>
      </c>
    </row>
    <row r="425" spans="1:12" x14ac:dyDescent="0.6">
      <c r="A425">
        <v>600089</v>
      </c>
      <c r="B425">
        <v>6</v>
      </c>
      <c r="C425">
        <v>89</v>
      </c>
      <c r="D425" t="s">
        <v>629</v>
      </c>
      <c r="E425" t="s">
        <v>630</v>
      </c>
      <c r="F425" s="5">
        <v>65223</v>
      </c>
      <c r="G425" s="2">
        <v>70.75</v>
      </c>
      <c r="H425" s="2" t="s">
        <v>447</v>
      </c>
      <c r="I425" s="1">
        <v>21.4</v>
      </c>
      <c r="J425">
        <v>1</v>
      </c>
      <c r="K425" t="s">
        <v>447</v>
      </c>
      <c r="L425">
        <v>1</v>
      </c>
    </row>
    <row r="426" spans="1:12" x14ac:dyDescent="0.6">
      <c r="A426">
        <v>690258</v>
      </c>
      <c r="B426">
        <v>6</v>
      </c>
      <c r="C426">
        <v>90258</v>
      </c>
      <c r="D426" t="s">
        <v>1349</v>
      </c>
      <c r="E426" t="s">
        <v>1350</v>
      </c>
      <c r="F426" s="5">
        <v>65188</v>
      </c>
      <c r="G426" s="2" t="s">
        <v>447</v>
      </c>
      <c r="H426" s="2" t="s">
        <v>447</v>
      </c>
      <c r="I426" s="1" t="s">
        <v>447</v>
      </c>
      <c r="J426" t="s">
        <v>447</v>
      </c>
      <c r="K426" t="s">
        <v>447</v>
      </c>
      <c r="L426" t="s">
        <v>447</v>
      </c>
    </row>
    <row r="427" spans="1:12" x14ac:dyDescent="0.6">
      <c r="A427">
        <v>600105</v>
      </c>
      <c r="B427">
        <v>6</v>
      </c>
      <c r="C427">
        <v>105</v>
      </c>
      <c r="D427" t="s">
        <v>639</v>
      </c>
      <c r="E427" t="s">
        <v>640</v>
      </c>
      <c r="F427" s="5">
        <v>64563</v>
      </c>
      <c r="G427" s="2" t="s">
        <v>447</v>
      </c>
      <c r="H427" s="2" t="s">
        <v>447</v>
      </c>
      <c r="I427" s="1" t="s">
        <v>447</v>
      </c>
      <c r="J427" t="s">
        <v>447</v>
      </c>
      <c r="K427" t="s">
        <v>447</v>
      </c>
      <c r="L427" t="s">
        <v>447</v>
      </c>
    </row>
    <row r="428" spans="1:12" x14ac:dyDescent="0.6">
      <c r="A428">
        <v>690051</v>
      </c>
      <c r="B428">
        <v>6</v>
      </c>
      <c r="C428">
        <v>90051</v>
      </c>
      <c r="D428" t="s">
        <v>1195</v>
      </c>
      <c r="E428" t="s">
        <v>1196</v>
      </c>
      <c r="F428" s="5">
        <v>61737</v>
      </c>
      <c r="G428" s="2" t="s">
        <v>447</v>
      </c>
      <c r="H428" s="2" t="s">
        <v>447</v>
      </c>
      <c r="I428" s="1" t="s">
        <v>447</v>
      </c>
      <c r="J428" t="s">
        <v>447</v>
      </c>
      <c r="K428" t="s">
        <v>447</v>
      </c>
      <c r="L428" t="s">
        <v>447</v>
      </c>
    </row>
    <row r="429" spans="1:12" x14ac:dyDescent="0.6">
      <c r="A429">
        <v>600484</v>
      </c>
      <c r="B429">
        <v>6</v>
      </c>
      <c r="C429">
        <v>484</v>
      </c>
      <c r="D429" t="s">
        <v>512</v>
      </c>
      <c r="F429" s="5">
        <v>61393</v>
      </c>
      <c r="G429" s="2" t="s">
        <v>447</v>
      </c>
      <c r="H429" s="2" t="s">
        <v>447</v>
      </c>
      <c r="I429" s="1" t="s">
        <v>447</v>
      </c>
      <c r="J429" t="s">
        <v>447</v>
      </c>
      <c r="K429" t="s">
        <v>447</v>
      </c>
      <c r="L429" t="s">
        <v>447</v>
      </c>
    </row>
    <row r="430" spans="1:12" x14ac:dyDescent="0.6">
      <c r="A430">
        <v>690354</v>
      </c>
      <c r="B430">
        <v>6</v>
      </c>
      <c r="C430">
        <v>90354</v>
      </c>
      <c r="D430" t="s">
        <v>4</v>
      </c>
      <c r="E430" t="s">
        <v>5</v>
      </c>
      <c r="F430" s="5">
        <v>60448</v>
      </c>
      <c r="G430" s="2" t="s">
        <v>447</v>
      </c>
      <c r="H430" s="2" t="s">
        <v>447</v>
      </c>
      <c r="I430" s="1" t="s">
        <v>447</v>
      </c>
      <c r="J430" t="s">
        <v>447</v>
      </c>
      <c r="K430" t="s">
        <v>447</v>
      </c>
      <c r="L430" t="s">
        <v>447</v>
      </c>
    </row>
    <row r="431" spans="1:12" x14ac:dyDescent="0.6">
      <c r="A431">
        <v>600306</v>
      </c>
      <c r="B431">
        <v>6</v>
      </c>
      <c r="C431">
        <v>306</v>
      </c>
      <c r="D431" t="s">
        <v>900</v>
      </c>
      <c r="E431" t="s">
        <v>901</v>
      </c>
      <c r="F431" s="5">
        <v>60294</v>
      </c>
      <c r="G431" s="2" t="s">
        <v>447</v>
      </c>
      <c r="H431" s="2" t="s">
        <v>447</v>
      </c>
      <c r="I431" s="1">
        <v>16.899999999999999</v>
      </c>
      <c r="J431" t="s">
        <v>447</v>
      </c>
      <c r="K431" t="s">
        <v>447</v>
      </c>
      <c r="L431">
        <v>1</v>
      </c>
    </row>
    <row r="432" spans="1:12" x14ac:dyDescent="0.6">
      <c r="A432">
        <v>690377</v>
      </c>
      <c r="B432">
        <v>6</v>
      </c>
      <c r="C432">
        <v>90377</v>
      </c>
      <c r="D432" t="s">
        <v>18</v>
      </c>
      <c r="E432" t="s">
        <v>19</v>
      </c>
      <c r="F432" s="5">
        <v>59533</v>
      </c>
      <c r="G432" s="2">
        <v>28</v>
      </c>
      <c r="H432" s="2" t="s">
        <v>447</v>
      </c>
      <c r="I432" s="1" t="s">
        <v>447</v>
      </c>
      <c r="J432">
        <v>2</v>
      </c>
      <c r="K432" t="s">
        <v>447</v>
      </c>
      <c r="L432" t="s">
        <v>447</v>
      </c>
    </row>
    <row r="433" spans="1:12" x14ac:dyDescent="0.6">
      <c r="A433">
        <v>600464</v>
      </c>
      <c r="B433">
        <v>6</v>
      </c>
      <c r="C433">
        <v>464</v>
      </c>
      <c r="D433" t="s">
        <v>478</v>
      </c>
      <c r="E433" t="s">
        <v>479</v>
      </c>
      <c r="F433" s="5">
        <v>58978</v>
      </c>
      <c r="G433" s="2" t="s">
        <v>447</v>
      </c>
      <c r="H433" s="2" t="s">
        <v>447</v>
      </c>
      <c r="I433" s="1" t="s">
        <v>447</v>
      </c>
      <c r="J433" t="s">
        <v>447</v>
      </c>
      <c r="K433" t="s">
        <v>447</v>
      </c>
      <c r="L433" t="s">
        <v>447</v>
      </c>
    </row>
    <row r="434" spans="1:12" x14ac:dyDescent="0.6">
      <c r="A434">
        <v>600219</v>
      </c>
      <c r="B434">
        <v>6</v>
      </c>
      <c r="C434">
        <v>219</v>
      </c>
      <c r="D434" t="s">
        <v>415</v>
      </c>
      <c r="E434" t="s">
        <v>416</v>
      </c>
      <c r="F434" s="5">
        <v>58452</v>
      </c>
      <c r="G434" s="2" t="s">
        <v>447</v>
      </c>
      <c r="H434" s="2" t="s">
        <v>447</v>
      </c>
      <c r="I434" s="1" t="s">
        <v>447</v>
      </c>
      <c r="J434" t="s">
        <v>447</v>
      </c>
      <c r="K434" t="s">
        <v>447</v>
      </c>
      <c r="L434" t="s">
        <v>447</v>
      </c>
    </row>
    <row r="435" spans="1:12" x14ac:dyDescent="0.6">
      <c r="A435">
        <v>600480</v>
      </c>
      <c r="B435">
        <v>6</v>
      </c>
      <c r="C435">
        <v>480</v>
      </c>
      <c r="D435" t="s">
        <v>504</v>
      </c>
      <c r="E435" t="s">
        <v>505</v>
      </c>
      <c r="F435" s="5">
        <v>58449</v>
      </c>
      <c r="G435" s="2">
        <v>53.8</v>
      </c>
      <c r="H435" s="2" t="s">
        <v>447</v>
      </c>
      <c r="I435" s="1">
        <v>18.8</v>
      </c>
      <c r="J435">
        <v>1</v>
      </c>
      <c r="K435" t="s">
        <v>447</v>
      </c>
      <c r="L435">
        <v>1</v>
      </c>
    </row>
    <row r="436" spans="1:12" x14ac:dyDescent="0.6">
      <c r="A436">
        <v>600392</v>
      </c>
      <c r="B436">
        <v>6</v>
      </c>
      <c r="C436">
        <v>392</v>
      </c>
      <c r="D436" t="s">
        <v>1025</v>
      </c>
      <c r="E436" t="s">
        <v>1026</v>
      </c>
      <c r="F436" s="5">
        <v>57185</v>
      </c>
      <c r="G436" s="2" t="s">
        <v>447</v>
      </c>
      <c r="H436" s="2" t="s">
        <v>447</v>
      </c>
      <c r="I436" s="1" t="s">
        <v>447</v>
      </c>
      <c r="J436" t="s">
        <v>447</v>
      </c>
      <c r="K436" t="s">
        <v>447</v>
      </c>
      <c r="L436" t="s">
        <v>447</v>
      </c>
    </row>
    <row r="437" spans="1:12" x14ac:dyDescent="0.6">
      <c r="A437">
        <v>601198</v>
      </c>
      <c r="B437">
        <v>6</v>
      </c>
      <c r="C437">
        <v>1198</v>
      </c>
      <c r="D437" t="s">
        <v>193</v>
      </c>
      <c r="E437" t="s">
        <v>194</v>
      </c>
      <c r="F437" s="5">
        <v>57027</v>
      </c>
      <c r="G437" s="2" t="s">
        <v>447</v>
      </c>
      <c r="H437" s="2" t="s">
        <v>447</v>
      </c>
      <c r="I437" s="1" t="s">
        <v>447</v>
      </c>
      <c r="J437" t="s">
        <v>447</v>
      </c>
      <c r="K437" t="s">
        <v>447</v>
      </c>
      <c r="L437" t="s">
        <v>447</v>
      </c>
    </row>
    <row r="438" spans="1:12" x14ac:dyDescent="0.6">
      <c r="A438">
        <v>600076</v>
      </c>
      <c r="B438">
        <v>6</v>
      </c>
      <c r="C438">
        <v>76</v>
      </c>
      <c r="D438" t="s">
        <v>619</v>
      </c>
      <c r="E438" t="s">
        <v>620</v>
      </c>
      <c r="F438" s="5">
        <v>56229</v>
      </c>
      <c r="G438" s="2" t="s">
        <v>447</v>
      </c>
      <c r="H438" s="2">
        <f>(33.8+35)/2</f>
        <v>34.4</v>
      </c>
      <c r="I438" s="1">
        <f>(19.9+17.3)/2</f>
        <v>18.600000000000001</v>
      </c>
      <c r="J438" t="s">
        <v>447</v>
      </c>
      <c r="K438">
        <v>1</v>
      </c>
      <c r="L438">
        <v>1</v>
      </c>
    </row>
    <row r="439" spans="1:12" x14ac:dyDescent="0.6">
      <c r="A439">
        <v>600311</v>
      </c>
      <c r="B439">
        <v>6</v>
      </c>
      <c r="C439">
        <v>311</v>
      </c>
      <c r="D439" t="s">
        <v>906</v>
      </c>
      <c r="E439" t="s">
        <v>907</v>
      </c>
      <c r="F439" s="5">
        <v>55120</v>
      </c>
      <c r="G439" s="2" t="s">
        <v>447</v>
      </c>
      <c r="H439" s="2" t="s">
        <v>447</v>
      </c>
      <c r="I439" s="1" t="s">
        <v>447</v>
      </c>
      <c r="J439" t="s">
        <v>447</v>
      </c>
      <c r="K439" t="s">
        <v>447</v>
      </c>
      <c r="L439" t="s">
        <v>447</v>
      </c>
    </row>
    <row r="440" spans="1:12" x14ac:dyDescent="0.6">
      <c r="A440">
        <v>604250</v>
      </c>
      <c r="B440">
        <v>6</v>
      </c>
      <c r="C440">
        <v>4250</v>
      </c>
      <c r="D440" t="s">
        <v>791</v>
      </c>
      <c r="E440" t="s">
        <v>792</v>
      </c>
      <c r="F440" s="5">
        <v>54141</v>
      </c>
      <c r="G440" s="2" t="s">
        <v>447</v>
      </c>
      <c r="H440" s="2">
        <v>35</v>
      </c>
      <c r="I440" s="1">
        <f>(15.3+18.84)/2</f>
        <v>17.07</v>
      </c>
      <c r="J440" t="s">
        <v>447</v>
      </c>
      <c r="K440">
        <v>2</v>
      </c>
      <c r="L440">
        <v>49</v>
      </c>
    </row>
    <row r="441" spans="1:12" x14ac:dyDescent="0.6">
      <c r="A441">
        <v>600204</v>
      </c>
      <c r="B441">
        <v>6</v>
      </c>
      <c r="C441">
        <v>204</v>
      </c>
      <c r="D441" t="s">
        <v>407</v>
      </c>
      <c r="E441" t="s">
        <v>408</v>
      </c>
      <c r="F441" s="5">
        <v>53381</v>
      </c>
      <c r="G441" s="2" t="s">
        <v>447</v>
      </c>
      <c r="H441" s="2">
        <v>48</v>
      </c>
      <c r="I441" s="1">
        <v>21.5</v>
      </c>
      <c r="J441" t="s">
        <v>447</v>
      </c>
      <c r="K441">
        <v>1</v>
      </c>
      <c r="L441">
        <v>1</v>
      </c>
    </row>
    <row r="442" spans="1:12" x14ac:dyDescent="0.6">
      <c r="A442">
        <v>604708</v>
      </c>
      <c r="B442">
        <v>6</v>
      </c>
      <c r="C442">
        <v>4708</v>
      </c>
      <c r="D442" t="s">
        <v>815</v>
      </c>
      <c r="E442" t="s">
        <v>816</v>
      </c>
      <c r="F442" s="5">
        <v>53211</v>
      </c>
      <c r="G442" s="2" t="s">
        <v>447</v>
      </c>
      <c r="H442" s="2" t="s">
        <v>447</v>
      </c>
      <c r="I442" s="1">
        <v>19.25</v>
      </c>
      <c r="J442" t="s">
        <v>447</v>
      </c>
      <c r="K442" t="s">
        <v>447</v>
      </c>
      <c r="L442">
        <v>1</v>
      </c>
    </row>
    <row r="443" spans="1:12" x14ac:dyDescent="0.6">
      <c r="A443">
        <v>600527</v>
      </c>
      <c r="B443">
        <v>6</v>
      </c>
      <c r="C443">
        <v>527</v>
      </c>
      <c r="D443" t="s">
        <v>78</v>
      </c>
      <c r="E443" t="s">
        <v>79</v>
      </c>
      <c r="F443" s="5">
        <v>53102</v>
      </c>
      <c r="G443" s="2" t="s">
        <v>447</v>
      </c>
      <c r="H443" s="2">
        <v>35</v>
      </c>
      <c r="I443" s="1" t="s">
        <v>447</v>
      </c>
      <c r="J443" t="s">
        <v>447</v>
      </c>
      <c r="K443">
        <v>15</v>
      </c>
      <c r="L443" t="s">
        <v>447</v>
      </c>
    </row>
    <row r="444" spans="1:12" x14ac:dyDescent="0.6">
      <c r="A444">
        <v>690432</v>
      </c>
      <c r="B444">
        <v>6</v>
      </c>
      <c r="C444">
        <v>90432</v>
      </c>
      <c r="D444" t="s">
        <v>54</v>
      </c>
      <c r="E444" t="s">
        <v>55</v>
      </c>
      <c r="F444" s="5">
        <v>52322</v>
      </c>
      <c r="G444" s="2">
        <v>57</v>
      </c>
      <c r="H444" s="2" t="s">
        <v>447</v>
      </c>
      <c r="I444" s="1">
        <v>20.5</v>
      </c>
      <c r="J444">
        <v>4</v>
      </c>
      <c r="K444" t="s">
        <v>447</v>
      </c>
      <c r="L444">
        <v>4</v>
      </c>
    </row>
    <row r="445" spans="1:12" x14ac:dyDescent="0.6">
      <c r="A445">
        <v>605002</v>
      </c>
      <c r="B445">
        <v>6</v>
      </c>
      <c r="C445">
        <v>5002</v>
      </c>
      <c r="D445" t="s">
        <v>827</v>
      </c>
      <c r="E445" t="s">
        <v>828</v>
      </c>
      <c r="F445" s="5">
        <v>51930</v>
      </c>
      <c r="G445" s="2" t="s">
        <v>447</v>
      </c>
      <c r="H445" s="2" t="s">
        <v>447</v>
      </c>
      <c r="I445" s="1" t="s">
        <v>447</v>
      </c>
      <c r="J445" t="s">
        <v>447</v>
      </c>
      <c r="K445" t="s">
        <v>447</v>
      </c>
      <c r="L445" t="s">
        <v>447</v>
      </c>
    </row>
    <row r="446" spans="1:12" x14ac:dyDescent="0.6">
      <c r="A446">
        <v>690302</v>
      </c>
      <c r="B446">
        <v>6</v>
      </c>
      <c r="C446">
        <v>90302</v>
      </c>
      <c r="D446" t="s">
        <v>1383</v>
      </c>
      <c r="E446" t="s">
        <v>1384</v>
      </c>
      <c r="F446" s="5">
        <v>49918</v>
      </c>
      <c r="G446" s="2">
        <v>40</v>
      </c>
      <c r="H446" s="2" t="s">
        <v>447</v>
      </c>
      <c r="I446" s="1">
        <v>17.100000000000001</v>
      </c>
      <c r="J446">
        <v>7</v>
      </c>
      <c r="K446" t="s">
        <v>447</v>
      </c>
      <c r="L446">
        <v>16</v>
      </c>
    </row>
    <row r="447" spans="1:12" x14ac:dyDescent="0.6">
      <c r="A447">
        <v>600455</v>
      </c>
      <c r="B447">
        <v>6</v>
      </c>
      <c r="C447">
        <v>455</v>
      </c>
      <c r="D447" t="s">
        <v>469</v>
      </c>
      <c r="E447" t="s">
        <v>470</v>
      </c>
      <c r="F447" s="5">
        <v>49583</v>
      </c>
      <c r="G447" s="2" t="s">
        <v>447</v>
      </c>
      <c r="H447" s="2" t="s">
        <v>447</v>
      </c>
      <c r="I447" s="1" t="s">
        <v>447</v>
      </c>
      <c r="J447" t="s">
        <v>447</v>
      </c>
      <c r="K447" t="s">
        <v>447</v>
      </c>
      <c r="L447" t="s">
        <v>447</v>
      </c>
    </row>
    <row r="448" spans="1:12" x14ac:dyDescent="0.6">
      <c r="A448">
        <v>612920</v>
      </c>
      <c r="B448">
        <v>6</v>
      </c>
      <c r="C448">
        <v>12920</v>
      </c>
      <c r="D448" t="s">
        <v>1142</v>
      </c>
      <c r="E448" t="s">
        <v>1143</v>
      </c>
      <c r="F448" s="5">
        <v>48132</v>
      </c>
      <c r="G448" s="2" t="s">
        <v>447</v>
      </c>
      <c r="H448" s="2">
        <v>26.2</v>
      </c>
      <c r="I448" s="1">
        <v>16.649999999999999</v>
      </c>
      <c r="J448" t="s">
        <v>447</v>
      </c>
      <c r="K448">
        <v>1</v>
      </c>
      <c r="L448">
        <v>1</v>
      </c>
    </row>
    <row r="449" spans="1:12" x14ac:dyDescent="0.6">
      <c r="A449">
        <v>600417</v>
      </c>
      <c r="B449">
        <v>6</v>
      </c>
      <c r="C449">
        <v>417</v>
      </c>
      <c r="D449" t="s">
        <v>1064</v>
      </c>
      <c r="E449" t="s">
        <v>1065</v>
      </c>
      <c r="F449" s="5">
        <v>47560</v>
      </c>
      <c r="G449" s="2" t="s">
        <v>447</v>
      </c>
      <c r="H449" s="2" t="s">
        <v>447</v>
      </c>
      <c r="I449" s="1" t="s">
        <v>447</v>
      </c>
      <c r="J449" t="s">
        <v>447</v>
      </c>
      <c r="K449" t="s">
        <v>447</v>
      </c>
      <c r="L449" t="s">
        <v>447</v>
      </c>
    </row>
    <row r="450" spans="1:12" x14ac:dyDescent="0.6">
      <c r="A450">
        <v>600140</v>
      </c>
      <c r="B450">
        <v>6</v>
      </c>
      <c r="C450">
        <v>140</v>
      </c>
      <c r="D450" t="s">
        <v>683</v>
      </c>
      <c r="E450" t="s">
        <v>684</v>
      </c>
      <c r="F450" s="5">
        <v>46129</v>
      </c>
      <c r="G450" s="2" t="s">
        <v>447</v>
      </c>
      <c r="H450" s="2" t="s">
        <v>447</v>
      </c>
      <c r="I450" s="1" t="s">
        <v>447</v>
      </c>
      <c r="J450" t="s">
        <v>447</v>
      </c>
      <c r="K450" t="s">
        <v>447</v>
      </c>
      <c r="L450" t="s">
        <v>447</v>
      </c>
    </row>
    <row r="451" spans="1:12" x14ac:dyDescent="0.6">
      <c r="A451">
        <v>600526</v>
      </c>
      <c r="B451">
        <v>6</v>
      </c>
      <c r="C451">
        <v>526</v>
      </c>
      <c r="D451" t="s">
        <v>76</v>
      </c>
      <c r="E451" t="s">
        <v>77</v>
      </c>
      <c r="F451" s="5">
        <v>45709</v>
      </c>
      <c r="G451" s="2" t="s">
        <v>447</v>
      </c>
      <c r="H451" s="2" t="s">
        <v>447</v>
      </c>
      <c r="I451" s="1" t="s">
        <v>447</v>
      </c>
      <c r="J451" t="s">
        <v>447</v>
      </c>
      <c r="K451" t="s">
        <v>447</v>
      </c>
      <c r="L451" t="s">
        <v>447</v>
      </c>
    </row>
    <row r="452" spans="1:12" x14ac:dyDescent="0.6">
      <c r="A452">
        <v>602059</v>
      </c>
      <c r="B452">
        <v>6</v>
      </c>
      <c r="C452">
        <v>2059</v>
      </c>
      <c r="D452" t="s">
        <v>734</v>
      </c>
      <c r="E452" t="s">
        <v>735</v>
      </c>
      <c r="F452" s="5">
        <v>44586</v>
      </c>
      <c r="G452" s="2">
        <v>25</v>
      </c>
      <c r="H452" s="2">
        <v>23</v>
      </c>
      <c r="I452" s="1">
        <v>20.7</v>
      </c>
      <c r="J452">
        <v>13</v>
      </c>
      <c r="K452">
        <v>2</v>
      </c>
      <c r="L452">
        <v>1</v>
      </c>
    </row>
    <row r="453" spans="1:12" x14ac:dyDescent="0.6">
      <c r="A453">
        <v>600506</v>
      </c>
      <c r="B453">
        <v>6</v>
      </c>
      <c r="C453">
        <v>506</v>
      </c>
      <c r="D453" t="s">
        <v>544</v>
      </c>
      <c r="E453" t="s">
        <v>545</v>
      </c>
      <c r="F453" s="5">
        <v>43872</v>
      </c>
      <c r="G453" s="2">
        <v>46.5</v>
      </c>
      <c r="H453" s="2" t="s">
        <v>447</v>
      </c>
      <c r="I453" s="1">
        <v>19</v>
      </c>
      <c r="J453">
        <v>9</v>
      </c>
      <c r="K453" t="s">
        <v>447</v>
      </c>
      <c r="L453">
        <v>9</v>
      </c>
    </row>
    <row r="454" spans="1:12" x14ac:dyDescent="0.6">
      <c r="A454">
        <v>601300</v>
      </c>
      <c r="B454">
        <v>6</v>
      </c>
      <c r="C454">
        <v>1300</v>
      </c>
      <c r="D454" t="s">
        <v>201</v>
      </c>
      <c r="E454" t="s">
        <v>202</v>
      </c>
      <c r="F454" s="5">
        <v>43272</v>
      </c>
      <c r="G454" s="2" t="s">
        <v>447</v>
      </c>
      <c r="H454" s="2" t="s">
        <v>447</v>
      </c>
      <c r="I454" s="1" t="s">
        <v>447</v>
      </c>
      <c r="J454" t="s">
        <v>447</v>
      </c>
      <c r="K454" t="s">
        <v>447</v>
      </c>
      <c r="L454" t="s">
        <v>447</v>
      </c>
    </row>
    <row r="455" spans="1:12" x14ac:dyDescent="0.6">
      <c r="A455">
        <v>601084</v>
      </c>
      <c r="B455">
        <v>6</v>
      </c>
      <c r="C455">
        <v>1084</v>
      </c>
      <c r="D455" t="s">
        <v>181</v>
      </c>
      <c r="E455" t="s">
        <v>182</v>
      </c>
      <c r="F455" s="5">
        <v>43227</v>
      </c>
      <c r="G455" s="2" t="s">
        <v>447</v>
      </c>
      <c r="H455" s="2" t="s">
        <v>447</v>
      </c>
      <c r="I455" s="1">
        <f>(24.6+22.7+22.5+23+23.95)/5</f>
        <v>23.35</v>
      </c>
      <c r="J455" t="s">
        <v>447</v>
      </c>
      <c r="K455" t="s">
        <v>447</v>
      </c>
      <c r="L455">
        <v>1</v>
      </c>
    </row>
    <row r="456" spans="1:12" x14ac:dyDescent="0.6">
      <c r="A456">
        <v>600149</v>
      </c>
      <c r="B456">
        <v>6</v>
      </c>
      <c r="C456">
        <v>149</v>
      </c>
      <c r="D456" t="s">
        <v>701</v>
      </c>
      <c r="E456" t="s">
        <v>702</v>
      </c>
      <c r="F456" s="5">
        <v>42489</v>
      </c>
      <c r="G456" s="2">
        <v>34.6</v>
      </c>
      <c r="H456" s="2" t="s">
        <v>447</v>
      </c>
      <c r="I456" s="1">
        <v>15.5</v>
      </c>
      <c r="J456">
        <v>14</v>
      </c>
      <c r="K456" t="s">
        <v>447</v>
      </c>
      <c r="L456">
        <v>14</v>
      </c>
    </row>
    <row r="457" spans="1:12" x14ac:dyDescent="0.6">
      <c r="A457">
        <v>600342</v>
      </c>
      <c r="B457">
        <v>6</v>
      </c>
      <c r="C457">
        <v>342</v>
      </c>
      <c r="D457" t="s">
        <v>958</v>
      </c>
      <c r="E457" t="s">
        <v>959</v>
      </c>
      <c r="F457" s="5">
        <v>41992</v>
      </c>
      <c r="G457" s="2" t="s">
        <v>447</v>
      </c>
      <c r="H457" s="2" t="s">
        <v>447</v>
      </c>
      <c r="I457" s="1" t="s">
        <v>447</v>
      </c>
      <c r="J457" t="s">
        <v>447</v>
      </c>
      <c r="K457" t="s">
        <v>447</v>
      </c>
      <c r="L457" t="s">
        <v>447</v>
      </c>
    </row>
    <row r="458" spans="1:12" x14ac:dyDescent="0.6">
      <c r="A458">
        <v>601356</v>
      </c>
      <c r="B458">
        <v>6</v>
      </c>
      <c r="C458">
        <v>1356</v>
      </c>
      <c r="D458" t="s">
        <v>227</v>
      </c>
      <c r="E458" t="s">
        <v>228</v>
      </c>
      <c r="F458" s="5">
        <v>41854</v>
      </c>
      <c r="G458" s="2" t="s">
        <v>447</v>
      </c>
      <c r="H458" s="2">
        <v>50</v>
      </c>
      <c r="I458" s="1">
        <v>20.7</v>
      </c>
      <c r="J458" t="s">
        <v>447</v>
      </c>
      <c r="K458">
        <v>1</v>
      </c>
      <c r="L458">
        <v>1</v>
      </c>
    </row>
    <row r="459" spans="1:12" x14ac:dyDescent="0.6">
      <c r="A459">
        <v>600889</v>
      </c>
      <c r="B459">
        <v>6</v>
      </c>
      <c r="C459">
        <v>889</v>
      </c>
      <c r="D459" t="s">
        <v>142</v>
      </c>
      <c r="E459" t="s">
        <v>143</v>
      </c>
      <c r="F459" s="5">
        <v>41557</v>
      </c>
      <c r="G459" s="2" t="s">
        <v>447</v>
      </c>
      <c r="H459" s="2" t="s">
        <v>447</v>
      </c>
      <c r="I459" s="1" t="s">
        <v>447</v>
      </c>
      <c r="J459" t="s">
        <v>447</v>
      </c>
      <c r="K459" t="s">
        <v>447</v>
      </c>
      <c r="L459" t="s">
        <v>447</v>
      </c>
    </row>
    <row r="460" spans="1:12" x14ac:dyDescent="0.6">
      <c r="A460">
        <v>690158</v>
      </c>
      <c r="B460">
        <v>6</v>
      </c>
      <c r="C460">
        <v>90158</v>
      </c>
      <c r="D460" t="s">
        <v>1281</v>
      </c>
      <c r="E460" t="s">
        <v>1282</v>
      </c>
      <c r="F460" s="5">
        <v>40515</v>
      </c>
      <c r="G460" s="2" t="s">
        <v>447</v>
      </c>
      <c r="H460" s="2" t="s">
        <v>447</v>
      </c>
      <c r="I460" s="1" t="s">
        <v>447</v>
      </c>
      <c r="J460" t="s">
        <v>447</v>
      </c>
      <c r="K460" t="s">
        <v>447</v>
      </c>
      <c r="L460" t="s">
        <v>447</v>
      </c>
    </row>
    <row r="461" spans="1:12" x14ac:dyDescent="0.6">
      <c r="A461">
        <v>600297</v>
      </c>
      <c r="B461">
        <v>6</v>
      </c>
      <c r="C461">
        <v>297</v>
      </c>
      <c r="D461" t="s">
        <v>885</v>
      </c>
      <c r="E461" t="s">
        <v>886</v>
      </c>
      <c r="F461" s="5">
        <v>40432</v>
      </c>
      <c r="G461" s="2">
        <v>60</v>
      </c>
      <c r="H461" s="2" t="s">
        <v>447</v>
      </c>
      <c r="I461" s="1">
        <v>18.440000000000001</v>
      </c>
      <c r="J461">
        <v>2</v>
      </c>
      <c r="K461" t="s">
        <v>447</v>
      </c>
      <c r="L461">
        <v>16</v>
      </c>
    </row>
    <row r="462" spans="1:12" x14ac:dyDescent="0.6">
      <c r="A462">
        <v>600530</v>
      </c>
      <c r="B462">
        <v>6</v>
      </c>
      <c r="C462">
        <v>530</v>
      </c>
      <c r="D462" t="s">
        <v>84</v>
      </c>
      <c r="E462" t="s">
        <v>85</v>
      </c>
      <c r="F462" s="5">
        <v>40335</v>
      </c>
      <c r="G462" s="2" t="s">
        <v>447</v>
      </c>
      <c r="H462" s="2" t="s">
        <v>447</v>
      </c>
      <c r="I462" s="1" t="s">
        <v>447</v>
      </c>
      <c r="J462" t="s">
        <v>447</v>
      </c>
      <c r="K462" t="s">
        <v>447</v>
      </c>
      <c r="L462" t="s">
        <v>447</v>
      </c>
    </row>
    <row r="463" spans="1:12" x14ac:dyDescent="0.6">
      <c r="A463">
        <v>604313</v>
      </c>
      <c r="B463">
        <v>6</v>
      </c>
      <c r="C463">
        <v>4313</v>
      </c>
      <c r="D463" t="s">
        <v>794</v>
      </c>
      <c r="F463" s="5">
        <v>39885</v>
      </c>
      <c r="G463" s="2" t="s">
        <v>447</v>
      </c>
      <c r="H463" s="2" t="s">
        <v>447</v>
      </c>
      <c r="I463" s="1" t="s">
        <v>447</v>
      </c>
      <c r="J463" t="s">
        <v>447</v>
      </c>
      <c r="K463" t="s">
        <v>447</v>
      </c>
      <c r="L463" t="s">
        <v>447</v>
      </c>
    </row>
    <row r="464" spans="1:12" x14ac:dyDescent="0.6">
      <c r="A464">
        <v>690215</v>
      </c>
      <c r="B464">
        <v>6</v>
      </c>
      <c r="C464">
        <v>90215</v>
      </c>
      <c r="D464" t="s">
        <v>1323</v>
      </c>
      <c r="E464" t="s">
        <v>1324</v>
      </c>
      <c r="F464" s="5">
        <v>38928</v>
      </c>
      <c r="G464" s="2" t="s">
        <v>447</v>
      </c>
      <c r="H464" s="2" t="s">
        <v>447</v>
      </c>
      <c r="I464" s="1" t="s">
        <v>447</v>
      </c>
      <c r="J464" t="s">
        <v>447</v>
      </c>
      <c r="K464" t="s">
        <v>447</v>
      </c>
      <c r="L464" t="s">
        <v>447</v>
      </c>
    </row>
    <row r="465" spans="1:12" x14ac:dyDescent="0.6">
      <c r="A465">
        <v>600399</v>
      </c>
      <c r="B465">
        <v>6</v>
      </c>
      <c r="C465">
        <v>399</v>
      </c>
      <c r="D465" t="s">
        <v>1037</v>
      </c>
      <c r="E465" t="s">
        <v>1038</v>
      </c>
      <c r="F465" s="5">
        <v>38566</v>
      </c>
      <c r="G465" s="2" t="s">
        <v>447</v>
      </c>
      <c r="H465" s="2">
        <v>42.65</v>
      </c>
      <c r="I465" s="1">
        <f>(20.7+19.05)/2</f>
        <v>19.875</v>
      </c>
      <c r="J465" t="s">
        <v>447</v>
      </c>
      <c r="K465">
        <v>1</v>
      </c>
      <c r="L465">
        <v>1</v>
      </c>
    </row>
    <row r="466" spans="1:12" x14ac:dyDescent="0.6">
      <c r="A466">
        <v>690433</v>
      </c>
      <c r="B466">
        <v>6</v>
      </c>
      <c r="C466">
        <v>90433</v>
      </c>
      <c r="D466" t="s">
        <v>56</v>
      </c>
      <c r="E466" t="s">
        <v>57</v>
      </c>
      <c r="F466" s="5">
        <v>38331</v>
      </c>
      <c r="G466" s="2">
        <v>57</v>
      </c>
      <c r="H466" s="2" t="s">
        <v>447</v>
      </c>
      <c r="I466" s="1">
        <f>(20.5+20.3)/2</f>
        <v>20.399999999999999</v>
      </c>
      <c r="J466">
        <v>4</v>
      </c>
      <c r="K466" t="s">
        <v>447</v>
      </c>
      <c r="L466">
        <v>52</v>
      </c>
    </row>
    <row r="467" spans="1:12" x14ac:dyDescent="0.6">
      <c r="A467">
        <v>601933</v>
      </c>
      <c r="B467">
        <v>6</v>
      </c>
      <c r="C467">
        <v>1933</v>
      </c>
      <c r="D467" t="s">
        <v>720</v>
      </c>
      <c r="E467" t="s">
        <v>721</v>
      </c>
      <c r="F467" s="5">
        <v>37603</v>
      </c>
      <c r="G467" s="2" t="s">
        <v>447</v>
      </c>
      <c r="H467" s="2" t="s">
        <v>447</v>
      </c>
      <c r="I467" s="1">
        <v>19.8</v>
      </c>
      <c r="J467" t="s">
        <v>447</v>
      </c>
      <c r="K467" t="s">
        <v>447</v>
      </c>
      <c r="L467">
        <v>1</v>
      </c>
    </row>
    <row r="468" spans="1:12" x14ac:dyDescent="0.6">
      <c r="A468">
        <v>600442</v>
      </c>
      <c r="B468">
        <v>6</v>
      </c>
      <c r="C468">
        <v>442</v>
      </c>
      <c r="D468" t="s">
        <v>449</v>
      </c>
      <c r="E468" t="s">
        <v>450</v>
      </c>
      <c r="F468" s="5">
        <v>37523</v>
      </c>
      <c r="G468" s="2" t="s">
        <v>447</v>
      </c>
      <c r="H468" s="2" t="s">
        <v>447</v>
      </c>
      <c r="I468" s="1">
        <v>22.8</v>
      </c>
      <c r="J468" t="s">
        <v>447</v>
      </c>
      <c r="K468" t="s">
        <v>447</v>
      </c>
      <c r="L468">
        <v>1</v>
      </c>
    </row>
    <row r="469" spans="1:12" x14ac:dyDescent="0.6">
      <c r="A469">
        <v>601055</v>
      </c>
      <c r="B469">
        <v>6</v>
      </c>
      <c r="C469">
        <v>1055</v>
      </c>
      <c r="D469" t="s">
        <v>173</v>
      </c>
      <c r="E469" t="s">
        <v>174</v>
      </c>
      <c r="F469" s="5">
        <v>36878</v>
      </c>
      <c r="G469" s="2" t="s">
        <v>447</v>
      </c>
      <c r="H469" s="2" t="s">
        <v>447</v>
      </c>
      <c r="I469" s="1" t="s">
        <v>447</v>
      </c>
      <c r="J469" t="s">
        <v>447</v>
      </c>
      <c r="K469" t="s">
        <v>447</v>
      </c>
      <c r="L469" t="s">
        <v>447</v>
      </c>
    </row>
    <row r="470" spans="1:12" x14ac:dyDescent="0.6">
      <c r="A470">
        <v>600440</v>
      </c>
      <c r="B470">
        <v>6</v>
      </c>
      <c r="C470">
        <v>440</v>
      </c>
      <c r="D470" t="s">
        <v>1099</v>
      </c>
      <c r="E470" t="s">
        <v>1100</v>
      </c>
      <c r="F470" s="5">
        <v>36771</v>
      </c>
      <c r="G470" s="2" t="s">
        <v>447</v>
      </c>
      <c r="H470" s="2" t="s">
        <v>447</v>
      </c>
      <c r="I470" s="1" t="s">
        <v>447</v>
      </c>
      <c r="J470" t="s">
        <v>447</v>
      </c>
      <c r="K470" t="s">
        <v>447</v>
      </c>
      <c r="L470" t="s">
        <v>447</v>
      </c>
    </row>
    <row r="471" spans="1:12" x14ac:dyDescent="0.6">
      <c r="A471">
        <v>600441</v>
      </c>
      <c r="B471">
        <v>6</v>
      </c>
      <c r="C471">
        <v>441</v>
      </c>
      <c r="D471" t="s">
        <v>1101</v>
      </c>
      <c r="E471" t="s">
        <v>1102</v>
      </c>
      <c r="F471" s="5">
        <v>36622</v>
      </c>
      <c r="G471" s="2" t="s">
        <v>447</v>
      </c>
      <c r="H471" s="2" t="s">
        <v>447</v>
      </c>
      <c r="I471" s="1">
        <v>20.2</v>
      </c>
      <c r="J471" t="s">
        <v>447</v>
      </c>
      <c r="K471" t="s">
        <v>447</v>
      </c>
      <c r="L471">
        <v>1</v>
      </c>
    </row>
    <row r="472" spans="1:12" x14ac:dyDescent="0.6">
      <c r="A472">
        <v>601191</v>
      </c>
      <c r="B472">
        <v>6</v>
      </c>
      <c r="C472">
        <v>1191</v>
      </c>
      <c r="D472" t="s">
        <v>191</v>
      </c>
      <c r="E472" t="s">
        <v>192</v>
      </c>
      <c r="F472" s="5">
        <v>36035</v>
      </c>
      <c r="G472" s="2" t="s">
        <v>447</v>
      </c>
      <c r="H472" s="2" t="s">
        <v>447</v>
      </c>
      <c r="I472" s="1">
        <f>(19+19.4)/2</f>
        <v>19.2</v>
      </c>
      <c r="J472" t="s">
        <v>447</v>
      </c>
      <c r="K472" t="s">
        <v>447</v>
      </c>
      <c r="L472">
        <v>49</v>
      </c>
    </row>
    <row r="473" spans="1:12" x14ac:dyDescent="0.6">
      <c r="A473">
        <v>610308</v>
      </c>
      <c r="B473">
        <v>6</v>
      </c>
      <c r="C473">
        <v>10308</v>
      </c>
      <c r="D473" t="s">
        <v>1137</v>
      </c>
      <c r="F473" s="5">
        <v>35226</v>
      </c>
      <c r="G473" s="2" t="s">
        <v>447</v>
      </c>
      <c r="H473" s="2" t="s">
        <v>447</v>
      </c>
      <c r="I473" s="1" t="s">
        <v>447</v>
      </c>
      <c r="J473" t="s">
        <v>447</v>
      </c>
      <c r="K473" t="s">
        <v>447</v>
      </c>
      <c r="L473" t="s">
        <v>447</v>
      </c>
    </row>
    <row r="474" spans="1:12" x14ac:dyDescent="0.6">
      <c r="A474">
        <v>606317</v>
      </c>
      <c r="B474">
        <v>6</v>
      </c>
      <c r="C474">
        <v>6317</v>
      </c>
      <c r="D474" t="s">
        <v>845</v>
      </c>
      <c r="E474" t="s">
        <v>846</v>
      </c>
      <c r="F474" s="5">
        <v>34915</v>
      </c>
      <c r="G474" s="2" t="s">
        <v>447</v>
      </c>
      <c r="H474" s="2" t="s">
        <v>447</v>
      </c>
      <c r="I474" s="1" t="s">
        <v>447</v>
      </c>
      <c r="J474" t="s">
        <v>447</v>
      </c>
      <c r="K474" t="s">
        <v>447</v>
      </c>
      <c r="L474" t="s">
        <v>447</v>
      </c>
    </row>
    <row r="475" spans="1:12" x14ac:dyDescent="0.6">
      <c r="A475">
        <v>600108</v>
      </c>
      <c r="B475">
        <v>6</v>
      </c>
      <c r="C475">
        <v>108</v>
      </c>
      <c r="D475" t="s">
        <v>643</v>
      </c>
      <c r="E475" t="s">
        <v>644</v>
      </c>
      <c r="F475" s="5">
        <v>32097</v>
      </c>
      <c r="G475" s="2" t="s">
        <v>447</v>
      </c>
      <c r="H475" s="2">
        <v>53</v>
      </c>
      <c r="I475" s="1">
        <v>22.1</v>
      </c>
      <c r="J475" t="s">
        <v>447</v>
      </c>
      <c r="K475">
        <v>1</v>
      </c>
      <c r="L475">
        <v>1</v>
      </c>
    </row>
    <row r="476" spans="1:12" x14ac:dyDescent="0.6">
      <c r="A476">
        <v>690092</v>
      </c>
      <c r="B476">
        <v>6</v>
      </c>
      <c r="C476">
        <v>90092</v>
      </c>
      <c r="D476" t="s">
        <v>1243</v>
      </c>
      <c r="E476" t="s">
        <v>1244</v>
      </c>
      <c r="F476" s="5">
        <v>31605</v>
      </c>
      <c r="G476" s="2" t="s">
        <v>447</v>
      </c>
      <c r="H476" s="2" t="s">
        <v>447</v>
      </c>
      <c r="I476" s="1" t="s">
        <v>447</v>
      </c>
      <c r="J476" t="s">
        <v>447</v>
      </c>
      <c r="K476" t="s">
        <v>447</v>
      </c>
      <c r="L476" t="s">
        <v>447</v>
      </c>
    </row>
    <row r="477" spans="1:12" x14ac:dyDescent="0.6">
      <c r="A477">
        <v>600256</v>
      </c>
      <c r="B477">
        <v>6</v>
      </c>
      <c r="C477">
        <v>256</v>
      </c>
      <c r="D477" t="s">
        <v>873</v>
      </c>
      <c r="E477" t="s">
        <v>874</v>
      </c>
      <c r="F477" s="5">
        <v>31129</v>
      </c>
      <c r="G477" s="2" t="s">
        <v>447</v>
      </c>
      <c r="H477" s="2" t="s">
        <v>447</v>
      </c>
      <c r="I477" s="1" t="s">
        <v>447</v>
      </c>
      <c r="J477" t="s">
        <v>447</v>
      </c>
      <c r="K477" t="s">
        <v>447</v>
      </c>
      <c r="L477" t="s">
        <v>447</v>
      </c>
    </row>
    <row r="478" spans="1:12" x14ac:dyDescent="0.6">
      <c r="A478">
        <v>601181</v>
      </c>
      <c r="B478">
        <v>6</v>
      </c>
      <c r="C478">
        <v>1181</v>
      </c>
      <c r="D478" t="s">
        <v>189</v>
      </c>
      <c r="E478" t="s">
        <v>190</v>
      </c>
      <c r="F478" s="5">
        <v>30987</v>
      </c>
      <c r="G478" s="2" t="s">
        <v>447</v>
      </c>
      <c r="H478" s="2" t="s">
        <v>447</v>
      </c>
      <c r="I478" s="1" t="s">
        <v>447</v>
      </c>
      <c r="J478" t="s">
        <v>447</v>
      </c>
      <c r="K478" t="s">
        <v>447</v>
      </c>
      <c r="L478" t="s">
        <v>447</v>
      </c>
    </row>
    <row r="479" spans="1:12" x14ac:dyDescent="0.6">
      <c r="A479">
        <v>690036</v>
      </c>
      <c r="B479">
        <v>6</v>
      </c>
      <c r="C479">
        <v>90036</v>
      </c>
      <c r="D479" t="s">
        <v>1181</v>
      </c>
      <c r="E479" t="s">
        <v>1182</v>
      </c>
      <c r="F479" s="5">
        <v>30337</v>
      </c>
      <c r="G479" s="2">
        <v>26</v>
      </c>
      <c r="H479" s="2" t="s">
        <v>447</v>
      </c>
      <c r="I479" s="1" t="s">
        <v>447</v>
      </c>
      <c r="J479">
        <v>2</v>
      </c>
      <c r="K479" t="s">
        <v>447</v>
      </c>
      <c r="L479" t="s">
        <v>447</v>
      </c>
    </row>
    <row r="480" spans="1:12" x14ac:dyDescent="0.6">
      <c r="A480">
        <v>690320</v>
      </c>
      <c r="B480">
        <v>6</v>
      </c>
      <c r="C480">
        <v>90320</v>
      </c>
      <c r="D480" t="s">
        <v>1397</v>
      </c>
      <c r="E480" t="s">
        <v>1398</v>
      </c>
      <c r="F480" s="5">
        <v>30300</v>
      </c>
      <c r="G480" s="2" t="s">
        <v>447</v>
      </c>
      <c r="H480" s="2" t="s">
        <v>447</v>
      </c>
      <c r="I480" s="1" t="s">
        <v>447</v>
      </c>
      <c r="J480" t="s">
        <v>447</v>
      </c>
      <c r="K480" t="s">
        <v>447</v>
      </c>
      <c r="L480" t="s">
        <v>447</v>
      </c>
    </row>
    <row r="481" spans="1:12" x14ac:dyDescent="0.6">
      <c r="A481">
        <v>600331</v>
      </c>
      <c r="B481">
        <v>6</v>
      </c>
      <c r="C481">
        <v>331</v>
      </c>
      <c r="D481" t="s">
        <v>940</v>
      </c>
      <c r="E481" t="s">
        <v>941</v>
      </c>
      <c r="F481" s="5">
        <v>29997</v>
      </c>
      <c r="G481" s="2">
        <v>34.950000000000003</v>
      </c>
      <c r="H481" s="2" t="s">
        <v>447</v>
      </c>
      <c r="I481" s="1">
        <v>16.100000000000001</v>
      </c>
      <c r="J481">
        <v>1</v>
      </c>
      <c r="K481" t="s">
        <v>447</v>
      </c>
      <c r="L481">
        <v>1</v>
      </c>
    </row>
    <row r="482" spans="1:12" x14ac:dyDescent="0.6">
      <c r="A482">
        <v>600496</v>
      </c>
      <c r="B482">
        <v>6</v>
      </c>
      <c r="C482">
        <v>496</v>
      </c>
      <c r="D482" t="s">
        <v>531</v>
      </c>
      <c r="E482" t="s">
        <v>532</v>
      </c>
      <c r="F482" s="5">
        <v>29125</v>
      </c>
      <c r="G482" s="2" t="s">
        <v>447</v>
      </c>
      <c r="H482" s="2" t="s">
        <v>447</v>
      </c>
      <c r="I482" s="1">
        <v>19</v>
      </c>
      <c r="J482" t="s">
        <v>447</v>
      </c>
      <c r="K482" t="s">
        <v>447</v>
      </c>
      <c r="L482">
        <v>1</v>
      </c>
    </row>
    <row r="483" spans="1:12" x14ac:dyDescent="0.6">
      <c r="A483">
        <v>602508</v>
      </c>
      <c r="B483">
        <v>6</v>
      </c>
      <c r="C483">
        <v>2508</v>
      </c>
      <c r="D483" t="s">
        <v>744</v>
      </c>
      <c r="E483" t="s">
        <v>745</v>
      </c>
      <c r="F483" s="5">
        <v>28542</v>
      </c>
      <c r="G483" s="2" t="s">
        <v>447</v>
      </c>
      <c r="H483" s="2">
        <v>44</v>
      </c>
      <c r="I483" s="1">
        <v>19.600000000000001</v>
      </c>
      <c r="J483" t="s">
        <v>447</v>
      </c>
      <c r="K483">
        <v>1</v>
      </c>
      <c r="L483">
        <v>1</v>
      </c>
    </row>
    <row r="484" spans="1:12" x14ac:dyDescent="0.6">
      <c r="A484">
        <v>600238</v>
      </c>
      <c r="B484">
        <v>6</v>
      </c>
      <c r="C484">
        <v>238</v>
      </c>
      <c r="D484" t="s">
        <v>439</v>
      </c>
      <c r="E484" t="s">
        <v>440</v>
      </c>
      <c r="F484" s="5">
        <v>27482</v>
      </c>
      <c r="G484" s="2" t="s">
        <v>447</v>
      </c>
      <c r="H484" s="2">
        <v>55</v>
      </c>
      <c r="I484" s="1" t="s">
        <v>447</v>
      </c>
      <c r="J484" t="s">
        <v>447</v>
      </c>
      <c r="K484">
        <v>2</v>
      </c>
      <c r="L484" t="s">
        <v>447</v>
      </c>
    </row>
    <row r="485" spans="1:12" x14ac:dyDescent="0.6">
      <c r="A485">
        <v>600296</v>
      </c>
      <c r="B485">
        <v>6</v>
      </c>
      <c r="C485">
        <v>296</v>
      </c>
      <c r="D485" t="s">
        <v>883</v>
      </c>
      <c r="E485" t="s">
        <v>884</v>
      </c>
      <c r="F485" s="5">
        <v>26655</v>
      </c>
      <c r="G485" s="2">
        <v>60</v>
      </c>
      <c r="H485" s="2" t="s">
        <v>447</v>
      </c>
      <c r="I485" s="1">
        <v>18.440000000000001</v>
      </c>
      <c r="J485">
        <v>2</v>
      </c>
      <c r="K485" t="s">
        <v>447</v>
      </c>
      <c r="L485">
        <v>16</v>
      </c>
    </row>
    <row r="486" spans="1:12" x14ac:dyDescent="0.6">
      <c r="A486">
        <v>600850</v>
      </c>
      <c r="B486">
        <v>6</v>
      </c>
      <c r="C486">
        <v>850</v>
      </c>
      <c r="D486" t="s">
        <v>130</v>
      </c>
      <c r="E486" t="s">
        <v>131</v>
      </c>
      <c r="F486" s="5">
        <v>26381</v>
      </c>
      <c r="G486" s="2" t="s">
        <v>447</v>
      </c>
      <c r="H486" s="2" t="s">
        <v>447</v>
      </c>
      <c r="I486" s="1" t="s">
        <v>447</v>
      </c>
      <c r="J486" t="s">
        <v>447</v>
      </c>
      <c r="K486" t="s">
        <v>447</v>
      </c>
      <c r="L486" t="s">
        <v>447</v>
      </c>
    </row>
    <row r="487" spans="1:12" x14ac:dyDescent="0.6">
      <c r="A487">
        <v>600382</v>
      </c>
      <c r="B487">
        <v>6</v>
      </c>
      <c r="C487">
        <v>382</v>
      </c>
      <c r="D487" t="s">
        <v>1009</v>
      </c>
      <c r="E487" t="s">
        <v>1010</v>
      </c>
      <c r="F487" s="5">
        <v>26289</v>
      </c>
      <c r="G487" s="2" t="s">
        <v>447</v>
      </c>
      <c r="H487" s="2">
        <v>55.2</v>
      </c>
      <c r="I487" s="1">
        <v>20.100000000000001</v>
      </c>
      <c r="J487" t="s">
        <v>447</v>
      </c>
      <c r="K487">
        <v>1</v>
      </c>
      <c r="L487">
        <v>1</v>
      </c>
    </row>
    <row r="488" spans="1:12" x14ac:dyDescent="0.6">
      <c r="A488">
        <v>600475</v>
      </c>
      <c r="B488">
        <v>6</v>
      </c>
      <c r="C488">
        <v>475</v>
      </c>
      <c r="D488" t="s">
        <v>494</v>
      </c>
      <c r="E488" t="s">
        <v>495</v>
      </c>
      <c r="F488" s="5">
        <v>25827</v>
      </c>
      <c r="G488" s="2">
        <v>38.799999999999997</v>
      </c>
      <c r="H488" s="2" t="s">
        <v>447</v>
      </c>
      <c r="I488" s="1">
        <v>17.5</v>
      </c>
      <c r="J488">
        <v>1</v>
      </c>
      <c r="K488" t="s">
        <v>447</v>
      </c>
      <c r="L488">
        <v>1</v>
      </c>
    </row>
    <row r="489" spans="1:12" x14ac:dyDescent="0.6">
      <c r="A489">
        <v>605504</v>
      </c>
      <c r="B489">
        <v>6</v>
      </c>
      <c r="C489">
        <v>5504</v>
      </c>
      <c r="D489" t="s">
        <v>839</v>
      </c>
      <c r="E489" t="s">
        <v>840</v>
      </c>
      <c r="F489" s="5">
        <v>25642</v>
      </c>
      <c r="G489" s="2" t="s">
        <v>447</v>
      </c>
      <c r="H489" s="2">
        <f>(54+40)/2</f>
        <v>47</v>
      </c>
      <c r="I489" s="1">
        <f>(21.5+18.8)/2</f>
        <v>20.149999999999999</v>
      </c>
      <c r="J489" t="s">
        <v>447</v>
      </c>
      <c r="K489">
        <v>1</v>
      </c>
      <c r="L489">
        <v>1</v>
      </c>
    </row>
    <row r="490" spans="1:12" x14ac:dyDescent="0.6">
      <c r="A490">
        <v>600338</v>
      </c>
      <c r="B490">
        <v>6</v>
      </c>
      <c r="C490">
        <v>338</v>
      </c>
      <c r="D490" t="s">
        <v>950</v>
      </c>
      <c r="E490" t="s">
        <v>951</v>
      </c>
      <c r="F490" s="5">
        <v>25339</v>
      </c>
      <c r="G490" s="2" t="s">
        <v>447</v>
      </c>
      <c r="H490" s="2" t="s">
        <v>447</v>
      </c>
      <c r="I490" s="1" t="s">
        <v>447</v>
      </c>
      <c r="J490" t="s">
        <v>447</v>
      </c>
      <c r="K490" t="s">
        <v>447</v>
      </c>
      <c r="L490" t="s">
        <v>447</v>
      </c>
    </row>
    <row r="491" spans="1:12" x14ac:dyDescent="0.6">
      <c r="A491">
        <v>601590</v>
      </c>
      <c r="B491">
        <v>6</v>
      </c>
      <c r="C491">
        <v>1590</v>
      </c>
      <c r="D491" t="s">
        <v>307</v>
      </c>
      <c r="E491" t="s">
        <v>308</v>
      </c>
      <c r="F491" s="5">
        <v>25267</v>
      </c>
      <c r="G491" s="2" t="s">
        <v>447</v>
      </c>
      <c r="H491" s="2" t="s">
        <v>447</v>
      </c>
      <c r="I491" s="1" t="s">
        <v>447</v>
      </c>
      <c r="J491" t="s">
        <v>447</v>
      </c>
      <c r="K491" t="s">
        <v>447</v>
      </c>
      <c r="L491" t="s">
        <v>447</v>
      </c>
    </row>
    <row r="492" spans="1:12" x14ac:dyDescent="0.6">
      <c r="A492">
        <v>601306</v>
      </c>
      <c r="B492">
        <v>6</v>
      </c>
      <c r="C492">
        <v>1306</v>
      </c>
      <c r="D492" t="s">
        <v>203</v>
      </c>
      <c r="E492" t="s">
        <v>204</v>
      </c>
      <c r="F492" s="5">
        <v>25159</v>
      </c>
      <c r="G492" s="2">
        <v>44.75</v>
      </c>
      <c r="H492" s="2" t="s">
        <v>447</v>
      </c>
      <c r="I492" s="1">
        <v>17.899999999999999</v>
      </c>
      <c r="J492">
        <v>1</v>
      </c>
      <c r="K492" t="s">
        <v>447</v>
      </c>
      <c r="L492">
        <v>1</v>
      </c>
    </row>
    <row r="493" spans="1:12" x14ac:dyDescent="0.6">
      <c r="A493">
        <v>600481</v>
      </c>
      <c r="B493">
        <v>6</v>
      </c>
      <c r="C493">
        <v>481</v>
      </c>
      <c r="D493" t="s">
        <v>506</v>
      </c>
      <c r="E493" t="s">
        <v>507</v>
      </c>
      <c r="F493" s="5">
        <v>25029</v>
      </c>
      <c r="G493" s="2" t="s">
        <v>447</v>
      </c>
      <c r="H493" s="2" t="s">
        <v>447</v>
      </c>
      <c r="I493" s="1" t="s">
        <v>447</v>
      </c>
      <c r="J493" t="s">
        <v>447</v>
      </c>
      <c r="K493" t="s">
        <v>447</v>
      </c>
      <c r="L493" t="s">
        <v>447</v>
      </c>
    </row>
    <row r="494" spans="1:12" x14ac:dyDescent="0.6">
      <c r="A494">
        <v>600528</v>
      </c>
      <c r="B494">
        <v>6</v>
      </c>
      <c r="C494">
        <v>528</v>
      </c>
      <c r="D494" t="s">
        <v>80</v>
      </c>
      <c r="E494" t="s">
        <v>81</v>
      </c>
      <c r="F494" s="5">
        <v>24766</v>
      </c>
      <c r="G494" s="2" t="s">
        <v>447</v>
      </c>
      <c r="H494" s="2" t="s">
        <v>447</v>
      </c>
      <c r="I494" s="1" t="s">
        <v>447</v>
      </c>
      <c r="J494" t="s">
        <v>447</v>
      </c>
      <c r="K494" t="s">
        <v>447</v>
      </c>
      <c r="L494" t="s">
        <v>447</v>
      </c>
    </row>
    <row r="495" spans="1:12" x14ac:dyDescent="0.6">
      <c r="A495">
        <v>690403</v>
      </c>
      <c r="B495">
        <v>6</v>
      </c>
      <c r="C495">
        <v>90403</v>
      </c>
      <c r="D495" t="s">
        <v>36</v>
      </c>
      <c r="E495" t="s">
        <v>37</v>
      </c>
      <c r="F495" s="5">
        <v>24546</v>
      </c>
      <c r="G495" s="2" t="s">
        <v>447</v>
      </c>
      <c r="H495" s="2" t="s">
        <v>447</v>
      </c>
      <c r="I495" s="1" t="s">
        <v>447</v>
      </c>
      <c r="J495" t="s">
        <v>447</v>
      </c>
      <c r="K495" t="s">
        <v>447</v>
      </c>
      <c r="L495" t="s">
        <v>447</v>
      </c>
    </row>
    <row r="496" spans="1:12" x14ac:dyDescent="0.6">
      <c r="A496">
        <v>600134</v>
      </c>
      <c r="B496">
        <v>6</v>
      </c>
      <c r="C496">
        <v>134</v>
      </c>
      <c r="D496" t="s">
        <v>675</v>
      </c>
      <c r="E496" t="s">
        <v>676</v>
      </c>
      <c r="F496" s="5">
        <v>24283</v>
      </c>
      <c r="G496" s="2" t="s">
        <v>447</v>
      </c>
      <c r="H496" s="2" t="s">
        <v>447</v>
      </c>
      <c r="I496" s="1">
        <v>20</v>
      </c>
      <c r="J496" t="s">
        <v>447</v>
      </c>
      <c r="K496" t="s">
        <v>447</v>
      </c>
      <c r="L496">
        <v>1</v>
      </c>
    </row>
    <row r="497" spans="1:12" x14ac:dyDescent="0.6">
      <c r="A497">
        <v>690343</v>
      </c>
      <c r="B497">
        <v>6</v>
      </c>
      <c r="C497">
        <v>90343</v>
      </c>
      <c r="D497" t="s">
        <v>2</v>
      </c>
      <c r="E497" t="s">
        <v>3</v>
      </c>
      <c r="F497" s="5">
        <v>23939</v>
      </c>
      <c r="G497" s="2" t="s">
        <v>447</v>
      </c>
      <c r="H497" s="2" t="s">
        <v>447</v>
      </c>
      <c r="I497" s="1" t="s">
        <v>447</v>
      </c>
      <c r="J497" t="s">
        <v>447</v>
      </c>
      <c r="K497" t="s">
        <v>447</v>
      </c>
      <c r="L497" t="s">
        <v>447</v>
      </c>
    </row>
    <row r="498" spans="1:12" x14ac:dyDescent="0.6">
      <c r="A498">
        <v>600349</v>
      </c>
      <c r="B498">
        <v>6</v>
      </c>
      <c r="C498">
        <v>349</v>
      </c>
      <c r="D498" t="s">
        <v>966</v>
      </c>
      <c r="E498" t="s">
        <v>967</v>
      </c>
      <c r="F498" s="5">
        <v>23896</v>
      </c>
      <c r="G498" s="2" t="s">
        <v>447</v>
      </c>
      <c r="H498" s="2">
        <v>49</v>
      </c>
      <c r="I498" s="1">
        <v>19.100000000000001</v>
      </c>
      <c r="J498" t="s">
        <v>447</v>
      </c>
      <c r="K498">
        <v>1</v>
      </c>
      <c r="L498">
        <v>1</v>
      </c>
    </row>
    <row r="499" spans="1:12" x14ac:dyDescent="0.6">
      <c r="A499">
        <v>690416</v>
      </c>
      <c r="B499">
        <v>6</v>
      </c>
      <c r="C499">
        <v>90416</v>
      </c>
      <c r="D499" t="s">
        <v>44</v>
      </c>
      <c r="E499" t="s">
        <v>45</v>
      </c>
      <c r="F499" s="5">
        <v>23707</v>
      </c>
      <c r="G499" s="2" t="s">
        <v>447</v>
      </c>
      <c r="H499" s="2" t="s">
        <v>447</v>
      </c>
      <c r="I499" s="1" t="s">
        <v>447</v>
      </c>
      <c r="J499" t="s">
        <v>447</v>
      </c>
      <c r="K499" t="s">
        <v>447</v>
      </c>
      <c r="L499" t="s">
        <v>447</v>
      </c>
    </row>
    <row r="500" spans="1:12" x14ac:dyDescent="0.6">
      <c r="A500">
        <v>690381</v>
      </c>
      <c r="B500">
        <v>6</v>
      </c>
      <c r="C500">
        <v>90381</v>
      </c>
      <c r="D500" t="s">
        <v>24</v>
      </c>
      <c r="E500" t="s">
        <v>25</v>
      </c>
      <c r="F500" s="5">
        <v>23594</v>
      </c>
      <c r="G500" s="2" t="s">
        <v>447</v>
      </c>
      <c r="H500" s="2" t="s">
        <v>447</v>
      </c>
      <c r="I500" s="1" t="s">
        <v>447</v>
      </c>
      <c r="J500" t="s">
        <v>447</v>
      </c>
      <c r="K500" t="s">
        <v>447</v>
      </c>
      <c r="L500" t="s">
        <v>447</v>
      </c>
    </row>
    <row r="501" spans="1:12" x14ac:dyDescent="0.6">
      <c r="A501">
        <v>601059</v>
      </c>
      <c r="B501">
        <v>6</v>
      </c>
      <c r="C501">
        <v>1059</v>
      </c>
      <c r="D501" t="s">
        <v>175</v>
      </c>
      <c r="E501" t="s">
        <v>176</v>
      </c>
      <c r="F501" s="5">
        <v>23137</v>
      </c>
      <c r="G501" s="2" t="s">
        <v>447</v>
      </c>
      <c r="H501" s="2" t="s">
        <v>447</v>
      </c>
      <c r="I501" s="1" t="s">
        <v>447</v>
      </c>
      <c r="J501" t="s">
        <v>447</v>
      </c>
      <c r="K501" t="s">
        <v>447</v>
      </c>
      <c r="L501" t="s">
        <v>447</v>
      </c>
    </row>
    <row r="502" spans="1:12" x14ac:dyDescent="0.6">
      <c r="A502">
        <v>690444</v>
      </c>
      <c r="B502">
        <v>6</v>
      </c>
      <c r="C502">
        <v>90444</v>
      </c>
      <c r="D502" t="s">
        <v>62</v>
      </c>
      <c r="E502" t="s">
        <v>63</v>
      </c>
      <c r="F502" s="5">
        <v>22928</v>
      </c>
      <c r="G502" s="2">
        <v>57</v>
      </c>
      <c r="H502" s="2" t="s">
        <v>447</v>
      </c>
      <c r="I502" s="1">
        <f>(20.5+20.3)/2</f>
        <v>20.399999999999999</v>
      </c>
      <c r="J502">
        <v>4</v>
      </c>
      <c r="K502" t="s">
        <v>447</v>
      </c>
      <c r="L502">
        <v>52</v>
      </c>
    </row>
    <row r="503" spans="1:12" x14ac:dyDescent="0.6">
      <c r="A503">
        <v>600098</v>
      </c>
      <c r="B503">
        <v>6</v>
      </c>
      <c r="C503">
        <v>98</v>
      </c>
      <c r="D503" t="s">
        <v>637</v>
      </c>
      <c r="E503" t="s">
        <v>638</v>
      </c>
      <c r="F503" s="5">
        <v>22559</v>
      </c>
      <c r="G503" s="2" t="s">
        <v>447</v>
      </c>
      <c r="H503" s="2" t="s">
        <v>447</v>
      </c>
      <c r="I503" s="1" t="s">
        <v>447</v>
      </c>
      <c r="J503" t="s">
        <v>447</v>
      </c>
      <c r="K503" t="s">
        <v>447</v>
      </c>
      <c r="L503" t="s">
        <v>447</v>
      </c>
    </row>
    <row r="504" spans="1:12" x14ac:dyDescent="0.6">
      <c r="A504">
        <v>600369</v>
      </c>
      <c r="B504">
        <v>6</v>
      </c>
      <c r="C504">
        <v>369</v>
      </c>
      <c r="D504" t="s">
        <v>993</v>
      </c>
      <c r="E504" t="s">
        <v>994</v>
      </c>
      <c r="F504" s="5">
        <v>22533</v>
      </c>
      <c r="G504" s="2" t="s">
        <v>447</v>
      </c>
      <c r="H504" s="2" t="s">
        <v>447</v>
      </c>
      <c r="I504" s="1" t="s">
        <v>447</v>
      </c>
      <c r="J504" t="s">
        <v>447</v>
      </c>
      <c r="K504" t="s">
        <v>447</v>
      </c>
      <c r="L504" t="s">
        <v>447</v>
      </c>
    </row>
    <row r="505" spans="1:12" x14ac:dyDescent="0.6">
      <c r="A505">
        <v>604247</v>
      </c>
      <c r="B505">
        <v>6</v>
      </c>
      <c r="C505">
        <v>4247</v>
      </c>
      <c r="D505" t="s">
        <v>789</v>
      </c>
      <c r="E505" t="s">
        <v>790</v>
      </c>
      <c r="F505" s="5">
        <v>22334</v>
      </c>
      <c r="G505" s="2">
        <v>47.9</v>
      </c>
      <c r="H505" s="2">
        <f>(29+27.2)/2</f>
        <v>28.1</v>
      </c>
      <c r="I505" s="1">
        <v>15.2</v>
      </c>
      <c r="J505">
        <v>9</v>
      </c>
      <c r="K505">
        <v>37</v>
      </c>
      <c r="L505">
        <v>9</v>
      </c>
    </row>
    <row r="506" spans="1:12" x14ac:dyDescent="0.6">
      <c r="A506">
        <v>603811</v>
      </c>
      <c r="B506">
        <v>6</v>
      </c>
      <c r="C506">
        <v>3811</v>
      </c>
      <c r="D506" t="s">
        <v>769</v>
      </c>
      <c r="E506" t="s">
        <v>770</v>
      </c>
      <c r="F506" s="5">
        <v>22315</v>
      </c>
      <c r="G506" s="2">
        <v>45</v>
      </c>
      <c r="H506" s="2" t="s">
        <v>447</v>
      </c>
      <c r="I506" s="1" t="s">
        <v>447</v>
      </c>
      <c r="J506">
        <v>1</v>
      </c>
      <c r="K506" t="s">
        <v>447</v>
      </c>
      <c r="L506" t="s">
        <v>447</v>
      </c>
    </row>
    <row r="507" spans="1:12" x14ac:dyDescent="0.6">
      <c r="A507">
        <v>603578</v>
      </c>
      <c r="B507">
        <v>6</v>
      </c>
      <c r="C507">
        <v>3578</v>
      </c>
      <c r="D507" t="s">
        <v>761</v>
      </c>
      <c r="E507" t="s">
        <v>762</v>
      </c>
      <c r="F507" s="5">
        <v>21883</v>
      </c>
      <c r="G507" s="2" t="s">
        <v>447</v>
      </c>
      <c r="H507" s="2" t="s">
        <v>447</v>
      </c>
      <c r="I507" s="1" t="s">
        <v>447</v>
      </c>
      <c r="J507" t="s">
        <v>447</v>
      </c>
      <c r="K507" t="s">
        <v>447</v>
      </c>
      <c r="L507" t="s">
        <v>447</v>
      </c>
    </row>
    <row r="508" spans="1:12" x14ac:dyDescent="0.6">
      <c r="A508">
        <v>600423</v>
      </c>
      <c r="B508">
        <v>6</v>
      </c>
      <c r="C508">
        <v>423</v>
      </c>
      <c r="D508" t="s">
        <v>1074</v>
      </c>
      <c r="E508" t="s">
        <v>1075</v>
      </c>
      <c r="F508" s="5">
        <v>21817</v>
      </c>
      <c r="G508" s="2" t="s">
        <v>447</v>
      </c>
      <c r="H508" s="2" t="s">
        <v>447</v>
      </c>
      <c r="I508" s="1" t="s">
        <v>447</v>
      </c>
      <c r="J508" t="s">
        <v>447</v>
      </c>
      <c r="K508" t="s">
        <v>447</v>
      </c>
      <c r="L508" t="s">
        <v>447</v>
      </c>
    </row>
    <row r="509" spans="1:12" x14ac:dyDescent="0.6">
      <c r="A509">
        <v>612918</v>
      </c>
      <c r="B509">
        <v>6</v>
      </c>
      <c r="C509">
        <v>12918</v>
      </c>
      <c r="D509" t="s">
        <v>1138</v>
      </c>
      <c r="E509" t="s">
        <v>1139</v>
      </c>
      <c r="F509" s="5">
        <v>21460</v>
      </c>
      <c r="G509" s="2" t="s">
        <v>447</v>
      </c>
      <c r="H509" s="2" t="s">
        <v>447</v>
      </c>
      <c r="I509" s="1">
        <v>20.8</v>
      </c>
      <c r="J509" t="s">
        <v>447</v>
      </c>
      <c r="K509" t="s">
        <v>447</v>
      </c>
      <c r="L509">
        <v>1</v>
      </c>
    </row>
    <row r="510" spans="1:12" x14ac:dyDescent="0.6">
      <c r="A510">
        <v>690120</v>
      </c>
      <c r="B510">
        <v>6</v>
      </c>
      <c r="C510">
        <v>90120</v>
      </c>
      <c r="D510" t="s">
        <v>1257</v>
      </c>
      <c r="E510" t="s">
        <v>1258</v>
      </c>
      <c r="F510" s="5">
        <v>20800</v>
      </c>
      <c r="G510" s="2" t="s">
        <v>447</v>
      </c>
      <c r="H510" s="2" t="s">
        <v>447</v>
      </c>
      <c r="I510" s="1" t="s">
        <v>447</v>
      </c>
      <c r="J510" t="s">
        <v>447</v>
      </c>
      <c r="K510" t="s">
        <v>447</v>
      </c>
      <c r="L510" t="s">
        <v>447</v>
      </c>
    </row>
    <row r="511" spans="1:12" x14ac:dyDescent="0.6">
      <c r="A511">
        <v>600432</v>
      </c>
      <c r="B511">
        <v>6</v>
      </c>
      <c r="C511">
        <v>432</v>
      </c>
      <c r="D511" t="s">
        <v>1088</v>
      </c>
      <c r="E511" t="s">
        <v>1089</v>
      </c>
      <c r="F511" s="5">
        <v>20398</v>
      </c>
      <c r="G511" s="2" t="s">
        <v>447</v>
      </c>
      <c r="H511" s="2" t="s">
        <v>447</v>
      </c>
      <c r="I511" s="1" t="s">
        <v>447</v>
      </c>
      <c r="J511" t="s">
        <v>447</v>
      </c>
      <c r="K511" t="s">
        <v>447</v>
      </c>
      <c r="L511" t="s">
        <v>447</v>
      </c>
    </row>
    <row r="512" spans="1:12" x14ac:dyDescent="0.6">
      <c r="A512">
        <v>600018</v>
      </c>
      <c r="B512">
        <v>6</v>
      </c>
      <c r="C512">
        <v>18</v>
      </c>
      <c r="D512" t="s">
        <v>582</v>
      </c>
      <c r="E512" t="s">
        <v>583</v>
      </c>
      <c r="F512" s="5">
        <v>20196</v>
      </c>
      <c r="G512" s="2" t="s">
        <v>447</v>
      </c>
      <c r="H512" s="2" t="s">
        <v>447</v>
      </c>
      <c r="I512" s="1">
        <v>19.38</v>
      </c>
      <c r="J512" t="s">
        <v>447</v>
      </c>
      <c r="K512" t="s">
        <v>447</v>
      </c>
      <c r="L512">
        <v>16</v>
      </c>
    </row>
    <row r="513" spans="1:12" x14ac:dyDescent="0.6">
      <c r="A513">
        <v>600502</v>
      </c>
      <c r="B513">
        <v>6</v>
      </c>
      <c r="C513">
        <v>502</v>
      </c>
      <c r="D513" t="s">
        <v>536</v>
      </c>
      <c r="E513" t="s">
        <v>537</v>
      </c>
      <c r="F513" s="5">
        <v>20158</v>
      </c>
      <c r="G513" s="2">
        <v>46.5</v>
      </c>
      <c r="H513" s="2">
        <f>(23+27.8)/2</f>
        <v>25.4</v>
      </c>
      <c r="I513" s="1">
        <f>(18.6+19)/2</f>
        <v>18.8</v>
      </c>
      <c r="J513">
        <v>9</v>
      </c>
      <c r="K513">
        <v>37</v>
      </c>
      <c r="L513">
        <v>31</v>
      </c>
    </row>
    <row r="514" spans="1:12" x14ac:dyDescent="0.6">
      <c r="A514">
        <v>601363</v>
      </c>
      <c r="B514">
        <v>6</v>
      </c>
      <c r="C514">
        <v>1363</v>
      </c>
      <c r="D514" t="s">
        <v>231</v>
      </c>
      <c r="E514" t="s">
        <v>232</v>
      </c>
      <c r="F514" s="5">
        <v>19859</v>
      </c>
      <c r="G514" s="2" t="s">
        <v>447</v>
      </c>
      <c r="H514" s="2" t="s">
        <v>447</v>
      </c>
      <c r="I514" s="1">
        <v>19.399999999999999</v>
      </c>
      <c r="J514" t="s">
        <v>447</v>
      </c>
      <c r="K514" t="s">
        <v>447</v>
      </c>
      <c r="L514">
        <v>1</v>
      </c>
    </row>
    <row r="515" spans="1:12" x14ac:dyDescent="0.6">
      <c r="A515">
        <v>690324</v>
      </c>
      <c r="B515">
        <v>6</v>
      </c>
      <c r="C515">
        <v>90324</v>
      </c>
      <c r="D515" t="s">
        <v>1403</v>
      </c>
      <c r="E515" t="s">
        <v>1404</v>
      </c>
      <c r="F515" s="5">
        <v>19230</v>
      </c>
      <c r="G515" s="2" t="s">
        <v>447</v>
      </c>
      <c r="H515" s="2" t="s">
        <v>447</v>
      </c>
      <c r="I515" s="1" t="s">
        <v>447</v>
      </c>
      <c r="J515" t="s">
        <v>447</v>
      </c>
      <c r="K515" t="s">
        <v>447</v>
      </c>
      <c r="L515" t="s">
        <v>447</v>
      </c>
    </row>
    <row r="516" spans="1:12" x14ac:dyDescent="0.6">
      <c r="A516">
        <v>600454</v>
      </c>
      <c r="B516">
        <v>6</v>
      </c>
      <c r="C516">
        <v>454</v>
      </c>
      <c r="D516" t="s">
        <v>467</v>
      </c>
      <c r="E516" t="s">
        <v>468</v>
      </c>
      <c r="F516" s="5">
        <v>18833</v>
      </c>
      <c r="G516" s="2" t="s">
        <v>447</v>
      </c>
      <c r="H516" s="2" t="s">
        <v>447</v>
      </c>
      <c r="I516" s="1" t="s">
        <v>447</v>
      </c>
      <c r="J516" t="s">
        <v>447</v>
      </c>
      <c r="K516" t="s">
        <v>447</v>
      </c>
      <c r="L516" t="s">
        <v>447</v>
      </c>
    </row>
    <row r="517" spans="1:12" x14ac:dyDescent="0.6">
      <c r="A517">
        <v>600394</v>
      </c>
      <c r="B517">
        <v>6</v>
      </c>
      <c r="C517">
        <v>394</v>
      </c>
      <c r="D517" t="s">
        <v>1027</v>
      </c>
      <c r="E517" t="s">
        <v>1028</v>
      </c>
      <c r="F517" s="5">
        <v>17994</v>
      </c>
      <c r="G517" s="2" t="s">
        <v>447</v>
      </c>
      <c r="H517" s="2" t="s">
        <v>447</v>
      </c>
      <c r="I517" s="1" t="s">
        <v>447</v>
      </c>
      <c r="J517" t="s">
        <v>447</v>
      </c>
      <c r="K517" t="s">
        <v>447</v>
      </c>
      <c r="L517" t="s">
        <v>447</v>
      </c>
    </row>
    <row r="518" spans="1:12" x14ac:dyDescent="0.6">
      <c r="A518">
        <v>600227</v>
      </c>
      <c r="B518">
        <v>6</v>
      </c>
      <c r="C518">
        <v>227</v>
      </c>
      <c r="D518" t="s">
        <v>423</v>
      </c>
      <c r="E518" t="s">
        <v>424</v>
      </c>
      <c r="F518" s="5">
        <v>17770</v>
      </c>
      <c r="G518" s="2" t="s">
        <v>447</v>
      </c>
      <c r="H518" s="2" t="s">
        <v>447</v>
      </c>
      <c r="I518" s="1">
        <v>22</v>
      </c>
      <c r="J518" t="s">
        <v>447</v>
      </c>
      <c r="K518" t="s">
        <v>447</v>
      </c>
      <c r="L518">
        <v>1</v>
      </c>
    </row>
    <row r="519" spans="1:12" x14ac:dyDescent="0.6">
      <c r="A519">
        <v>690182</v>
      </c>
      <c r="B519">
        <v>6</v>
      </c>
      <c r="C519">
        <v>90182</v>
      </c>
      <c r="D519" t="s">
        <v>1299</v>
      </c>
      <c r="E519" t="s">
        <v>1300</v>
      </c>
      <c r="F519" s="5">
        <v>17218</v>
      </c>
      <c r="G519" s="2">
        <v>0</v>
      </c>
      <c r="H519" s="2" t="s">
        <v>447</v>
      </c>
      <c r="I519" s="1" t="s">
        <v>447</v>
      </c>
      <c r="J519" t="s">
        <v>447</v>
      </c>
      <c r="K519" t="s">
        <v>447</v>
      </c>
      <c r="L519" t="s">
        <v>447</v>
      </c>
    </row>
    <row r="520" spans="1:12" x14ac:dyDescent="0.6">
      <c r="A520">
        <v>601454</v>
      </c>
      <c r="B520">
        <v>6</v>
      </c>
      <c r="C520">
        <v>1454</v>
      </c>
      <c r="D520" t="s">
        <v>257</v>
      </c>
      <c r="E520" t="s">
        <v>258</v>
      </c>
      <c r="F520" s="5">
        <v>16776</v>
      </c>
      <c r="G520" s="2" t="s">
        <v>447</v>
      </c>
      <c r="H520" s="2" t="s">
        <v>447</v>
      </c>
      <c r="I520" s="1">
        <v>21.3</v>
      </c>
      <c r="J520" t="s">
        <v>447</v>
      </c>
      <c r="K520" t="s">
        <v>447</v>
      </c>
      <c r="L520">
        <v>1</v>
      </c>
    </row>
    <row r="521" spans="1:12" x14ac:dyDescent="0.6">
      <c r="A521">
        <v>600478</v>
      </c>
      <c r="B521">
        <v>6</v>
      </c>
      <c r="C521">
        <v>478</v>
      </c>
      <c r="D521" t="s">
        <v>500</v>
      </c>
      <c r="E521" t="s">
        <v>501</v>
      </c>
      <c r="F521" s="5">
        <v>16670</v>
      </c>
      <c r="G521" s="2" t="s">
        <v>447</v>
      </c>
      <c r="H521" s="2" t="s">
        <v>447</v>
      </c>
      <c r="I521" s="1" t="s">
        <v>447</v>
      </c>
      <c r="J521" t="s">
        <v>447</v>
      </c>
      <c r="K521" t="s">
        <v>447</v>
      </c>
      <c r="L521" t="s">
        <v>447</v>
      </c>
    </row>
    <row r="522" spans="1:12" x14ac:dyDescent="0.6">
      <c r="A522">
        <v>600175</v>
      </c>
      <c r="B522">
        <v>6</v>
      </c>
      <c r="C522">
        <v>175</v>
      </c>
      <c r="D522" t="s">
        <v>707</v>
      </c>
      <c r="E522" t="s">
        <v>708</v>
      </c>
      <c r="F522" s="5">
        <v>16646</v>
      </c>
      <c r="G522" s="2" t="s">
        <v>447</v>
      </c>
      <c r="H522" s="2" t="s">
        <v>447</v>
      </c>
      <c r="I522" s="1">
        <v>23</v>
      </c>
      <c r="J522" t="s">
        <v>447</v>
      </c>
      <c r="K522" t="s">
        <v>447</v>
      </c>
      <c r="L522">
        <v>1</v>
      </c>
    </row>
    <row r="523" spans="1:12" x14ac:dyDescent="0.6">
      <c r="A523">
        <v>600395</v>
      </c>
      <c r="B523">
        <v>6</v>
      </c>
      <c r="C523">
        <v>395</v>
      </c>
      <c r="D523" t="s">
        <v>1029</v>
      </c>
      <c r="E523" t="s">
        <v>1030</v>
      </c>
      <c r="F523" s="5">
        <v>16116</v>
      </c>
      <c r="G523" s="2" t="s">
        <v>447</v>
      </c>
      <c r="H523" s="2" t="s">
        <v>447</v>
      </c>
      <c r="I523" s="1" t="s">
        <v>447</v>
      </c>
      <c r="J523" t="s">
        <v>447</v>
      </c>
      <c r="K523" t="s">
        <v>447</v>
      </c>
      <c r="L523" t="s">
        <v>447</v>
      </c>
    </row>
    <row r="524" spans="1:12" x14ac:dyDescent="0.6">
      <c r="A524">
        <v>690024</v>
      </c>
      <c r="B524">
        <v>6</v>
      </c>
      <c r="C524">
        <v>90024</v>
      </c>
      <c r="D524" t="s">
        <v>1169</v>
      </c>
      <c r="E524" t="s">
        <v>1170</v>
      </c>
      <c r="F524" s="5">
        <v>15918</v>
      </c>
      <c r="G524" s="2" t="s">
        <v>447</v>
      </c>
      <c r="H524" s="2" t="s">
        <v>447</v>
      </c>
      <c r="I524" s="1" t="s">
        <v>447</v>
      </c>
      <c r="J524" t="s">
        <v>447</v>
      </c>
      <c r="K524" t="s">
        <v>447</v>
      </c>
      <c r="L524" t="s">
        <v>447</v>
      </c>
    </row>
    <row r="525" spans="1:12" x14ac:dyDescent="0.6">
      <c r="A525">
        <v>600453</v>
      </c>
      <c r="B525">
        <v>6</v>
      </c>
      <c r="C525">
        <v>453</v>
      </c>
      <c r="D525" t="s">
        <v>465</v>
      </c>
      <c r="E525" t="s">
        <v>466</v>
      </c>
      <c r="F525" s="5">
        <v>15195</v>
      </c>
      <c r="G525" s="2" t="s">
        <v>447</v>
      </c>
      <c r="H525" s="2" t="s">
        <v>447</v>
      </c>
      <c r="I525" s="1" t="s">
        <v>447</v>
      </c>
      <c r="J525" t="s">
        <v>447</v>
      </c>
      <c r="K525" t="s">
        <v>447</v>
      </c>
      <c r="L525" t="s">
        <v>447</v>
      </c>
    </row>
    <row r="526" spans="1:12" x14ac:dyDescent="0.6">
      <c r="A526">
        <v>600114</v>
      </c>
      <c r="B526">
        <v>6</v>
      </c>
      <c r="C526">
        <v>114</v>
      </c>
      <c r="D526" t="s">
        <v>651</v>
      </c>
      <c r="E526" t="s">
        <v>652</v>
      </c>
      <c r="F526" s="5">
        <v>15154</v>
      </c>
      <c r="G526" s="2" t="s">
        <v>447</v>
      </c>
      <c r="H526" s="2">
        <v>70.2</v>
      </c>
      <c r="I526" s="1">
        <f>(19.2+24.7)/2</f>
        <v>21.95</v>
      </c>
      <c r="J526" t="s">
        <v>447</v>
      </c>
      <c r="K526">
        <v>1</v>
      </c>
      <c r="L526">
        <v>49</v>
      </c>
    </row>
    <row r="527" spans="1:12" x14ac:dyDescent="0.6">
      <c r="A527">
        <v>604329</v>
      </c>
      <c r="B527">
        <v>6</v>
      </c>
      <c r="C527">
        <v>4329</v>
      </c>
      <c r="D527" t="s">
        <v>797</v>
      </c>
      <c r="E527" t="s">
        <v>798</v>
      </c>
      <c r="F527" s="5">
        <v>15075</v>
      </c>
      <c r="G527" s="2">
        <v>25</v>
      </c>
      <c r="H527" s="2">
        <v>23</v>
      </c>
      <c r="I527" s="1" t="s">
        <v>447</v>
      </c>
      <c r="J527">
        <v>13</v>
      </c>
      <c r="K527">
        <v>2</v>
      </c>
      <c r="L527" t="s">
        <v>447</v>
      </c>
    </row>
    <row r="528" spans="1:12" x14ac:dyDescent="0.6">
      <c r="A528">
        <v>600503</v>
      </c>
      <c r="B528">
        <v>6</v>
      </c>
      <c r="C528">
        <v>503</v>
      </c>
      <c r="D528" t="s">
        <v>538</v>
      </c>
      <c r="E528" t="s">
        <v>539</v>
      </c>
      <c r="F528" s="5">
        <v>14917</v>
      </c>
      <c r="G528" s="2">
        <v>46.5</v>
      </c>
      <c r="H528" s="2">
        <f>(23+27.8)/2</f>
        <v>25.4</v>
      </c>
      <c r="I528" s="1">
        <v>19</v>
      </c>
      <c r="J528">
        <v>9</v>
      </c>
      <c r="K528">
        <v>37</v>
      </c>
      <c r="L528">
        <v>9</v>
      </c>
    </row>
    <row r="529" spans="1:12" x14ac:dyDescent="0.6">
      <c r="A529">
        <v>600299</v>
      </c>
      <c r="B529">
        <v>6</v>
      </c>
      <c r="C529">
        <v>299</v>
      </c>
      <c r="D529" t="s">
        <v>889</v>
      </c>
      <c r="E529" t="s">
        <v>890</v>
      </c>
      <c r="F529" s="5">
        <v>14914</v>
      </c>
      <c r="G529" s="2" t="s">
        <v>447</v>
      </c>
      <c r="H529" s="2" t="s">
        <v>447</v>
      </c>
      <c r="I529" s="1" t="s">
        <v>447</v>
      </c>
      <c r="J529" t="s">
        <v>447</v>
      </c>
      <c r="K529" t="s">
        <v>447</v>
      </c>
      <c r="L529" t="s">
        <v>447</v>
      </c>
    </row>
    <row r="530" spans="1:12" x14ac:dyDescent="0.6">
      <c r="A530">
        <v>600443</v>
      </c>
      <c r="B530">
        <v>6</v>
      </c>
      <c r="C530">
        <v>443</v>
      </c>
      <c r="D530" t="s">
        <v>451</v>
      </c>
      <c r="E530" t="s">
        <v>452</v>
      </c>
      <c r="F530" s="5">
        <v>13979</v>
      </c>
      <c r="G530" s="2" t="s">
        <v>447</v>
      </c>
      <c r="H530" s="2" t="s">
        <v>447</v>
      </c>
      <c r="I530" s="1" t="s">
        <v>447</v>
      </c>
      <c r="J530" t="s">
        <v>447</v>
      </c>
      <c r="K530" t="s">
        <v>447</v>
      </c>
      <c r="L530" t="s">
        <v>447</v>
      </c>
    </row>
    <row r="531" spans="1:12" x14ac:dyDescent="0.6">
      <c r="A531">
        <v>600228</v>
      </c>
      <c r="B531">
        <v>6</v>
      </c>
      <c r="C531">
        <v>228</v>
      </c>
      <c r="D531" t="s">
        <v>425</v>
      </c>
      <c r="E531" t="s">
        <v>426</v>
      </c>
      <c r="F531" s="5">
        <v>13776</v>
      </c>
      <c r="G531" s="2">
        <v>61</v>
      </c>
      <c r="H531" s="2" t="s">
        <v>447</v>
      </c>
      <c r="I531" s="1">
        <v>22.8</v>
      </c>
      <c r="J531">
        <v>1</v>
      </c>
      <c r="K531" t="s">
        <v>447</v>
      </c>
      <c r="L531">
        <v>1</v>
      </c>
    </row>
    <row r="532" spans="1:12" x14ac:dyDescent="0.6">
      <c r="A532">
        <v>690203</v>
      </c>
      <c r="B532">
        <v>6</v>
      </c>
      <c r="C532">
        <v>90203</v>
      </c>
      <c r="D532" t="s">
        <v>1317</v>
      </c>
      <c r="E532" t="s">
        <v>1318</v>
      </c>
      <c r="F532" s="5">
        <v>13614</v>
      </c>
      <c r="G532" s="2" t="s">
        <v>447</v>
      </c>
      <c r="H532" s="2" t="s">
        <v>447</v>
      </c>
      <c r="I532" s="1" t="s">
        <v>447</v>
      </c>
      <c r="J532" t="s">
        <v>447</v>
      </c>
      <c r="K532" t="s">
        <v>447</v>
      </c>
      <c r="L532" t="s">
        <v>447</v>
      </c>
    </row>
    <row r="533" spans="1:12" x14ac:dyDescent="0.6">
      <c r="A533">
        <v>600316</v>
      </c>
      <c r="B533">
        <v>6</v>
      </c>
      <c r="C533">
        <v>316</v>
      </c>
      <c r="D533" t="s">
        <v>916</v>
      </c>
      <c r="E533" t="s">
        <v>917</v>
      </c>
      <c r="F533" s="5">
        <v>13607</v>
      </c>
      <c r="G533" s="2" t="s">
        <v>447</v>
      </c>
      <c r="H533" s="2" t="s">
        <v>447</v>
      </c>
      <c r="I533" s="1" t="s">
        <v>447</v>
      </c>
      <c r="J533" t="s">
        <v>447</v>
      </c>
      <c r="K533" t="s">
        <v>447</v>
      </c>
      <c r="L533" t="s">
        <v>447</v>
      </c>
    </row>
    <row r="534" spans="1:12" x14ac:dyDescent="0.6">
      <c r="A534">
        <v>690167</v>
      </c>
      <c r="B534">
        <v>6</v>
      </c>
      <c r="C534">
        <v>90167</v>
      </c>
      <c r="D534" t="s">
        <v>1289</v>
      </c>
      <c r="E534" t="s">
        <v>1290</v>
      </c>
      <c r="F534" s="5">
        <v>13351</v>
      </c>
      <c r="G534" s="2" t="s">
        <v>447</v>
      </c>
      <c r="H534" s="2" t="s">
        <v>447</v>
      </c>
      <c r="I534" s="1" t="s">
        <v>447</v>
      </c>
      <c r="J534" t="s">
        <v>447</v>
      </c>
      <c r="K534" t="s">
        <v>447</v>
      </c>
      <c r="L534" t="s">
        <v>447</v>
      </c>
    </row>
    <row r="535" spans="1:12" x14ac:dyDescent="0.6">
      <c r="A535">
        <v>600706</v>
      </c>
      <c r="B535">
        <v>6</v>
      </c>
      <c r="C535">
        <v>706</v>
      </c>
      <c r="D535" t="s">
        <v>116</v>
      </c>
      <c r="E535" t="s">
        <v>117</v>
      </c>
      <c r="F535" s="5">
        <v>13252</v>
      </c>
      <c r="G535" s="2" t="s">
        <v>447</v>
      </c>
      <c r="H535" s="2" t="s">
        <v>447</v>
      </c>
      <c r="I535" s="1" t="s">
        <v>447</v>
      </c>
      <c r="J535" t="s">
        <v>447</v>
      </c>
      <c r="K535" t="s">
        <v>447</v>
      </c>
      <c r="L535" t="s">
        <v>447</v>
      </c>
    </row>
    <row r="536" spans="1:12" x14ac:dyDescent="0.6">
      <c r="A536">
        <v>690374</v>
      </c>
      <c r="B536">
        <v>6</v>
      </c>
      <c r="C536">
        <v>90374</v>
      </c>
      <c r="D536" t="s">
        <v>16</v>
      </c>
      <c r="E536" t="s">
        <v>17</v>
      </c>
      <c r="F536" s="5">
        <v>13138</v>
      </c>
      <c r="G536" s="2" t="s">
        <v>447</v>
      </c>
      <c r="H536" s="2" t="s">
        <v>447</v>
      </c>
      <c r="I536" s="1" t="s">
        <v>447</v>
      </c>
      <c r="J536" t="s">
        <v>447</v>
      </c>
      <c r="K536" t="s">
        <v>447</v>
      </c>
      <c r="L536" t="s">
        <v>447</v>
      </c>
    </row>
    <row r="537" spans="1:12" x14ac:dyDescent="0.6">
      <c r="A537">
        <v>612919</v>
      </c>
      <c r="B537">
        <v>6</v>
      </c>
      <c r="C537">
        <v>12919</v>
      </c>
      <c r="D537" t="s">
        <v>1140</v>
      </c>
      <c r="E537" t="s">
        <v>1141</v>
      </c>
      <c r="F537" s="5">
        <v>13121</v>
      </c>
      <c r="G537" s="2" t="s">
        <v>447</v>
      </c>
      <c r="H537" s="2">
        <v>34.1</v>
      </c>
      <c r="I537" s="1">
        <v>15.3</v>
      </c>
      <c r="J537" t="s">
        <v>447</v>
      </c>
      <c r="K537">
        <v>1</v>
      </c>
      <c r="L537">
        <v>1</v>
      </c>
    </row>
    <row r="538" spans="1:12" x14ac:dyDescent="0.6">
      <c r="A538">
        <v>690242</v>
      </c>
      <c r="B538">
        <v>6</v>
      </c>
      <c r="C538">
        <v>90242</v>
      </c>
      <c r="D538" t="s">
        <v>1339</v>
      </c>
      <c r="E538" t="s">
        <v>1340</v>
      </c>
      <c r="F538" s="5">
        <v>13007</v>
      </c>
      <c r="G538" s="2" t="s">
        <v>447</v>
      </c>
      <c r="H538" s="2" t="s">
        <v>447</v>
      </c>
      <c r="I538" s="1" t="s">
        <v>447</v>
      </c>
      <c r="J538" t="s">
        <v>447</v>
      </c>
      <c r="K538" t="s">
        <v>447</v>
      </c>
      <c r="L538" t="s">
        <v>447</v>
      </c>
    </row>
    <row r="539" spans="1:12" x14ac:dyDescent="0.6">
      <c r="A539">
        <v>600473</v>
      </c>
      <c r="B539">
        <v>6</v>
      </c>
      <c r="C539">
        <v>473</v>
      </c>
      <c r="D539" t="s">
        <v>490</v>
      </c>
      <c r="E539" t="s">
        <v>491</v>
      </c>
      <c r="F539" s="5">
        <v>12607</v>
      </c>
      <c r="G539" s="2">
        <v>37.4</v>
      </c>
      <c r="H539" s="2" t="s">
        <v>447</v>
      </c>
      <c r="I539" s="1">
        <v>17.100000000000001</v>
      </c>
      <c r="J539">
        <v>1</v>
      </c>
      <c r="K539" t="s">
        <v>447</v>
      </c>
      <c r="L539">
        <v>1</v>
      </c>
    </row>
    <row r="540" spans="1:12" x14ac:dyDescent="0.6">
      <c r="A540">
        <v>600380</v>
      </c>
      <c r="B540">
        <v>6</v>
      </c>
      <c r="C540">
        <v>380</v>
      </c>
      <c r="D540" t="s">
        <v>1005</v>
      </c>
      <c r="E540" t="s">
        <v>1006</v>
      </c>
      <c r="F540" s="5">
        <v>12574</v>
      </c>
      <c r="G540" s="2" t="s">
        <v>447</v>
      </c>
      <c r="H540" s="2" t="s">
        <v>447</v>
      </c>
      <c r="I540" s="1" t="s">
        <v>447</v>
      </c>
      <c r="J540" t="s">
        <v>447</v>
      </c>
      <c r="K540" t="s">
        <v>447</v>
      </c>
      <c r="L540" t="s">
        <v>447</v>
      </c>
    </row>
    <row r="541" spans="1:12" x14ac:dyDescent="0.6">
      <c r="A541">
        <v>600386</v>
      </c>
      <c r="B541">
        <v>6</v>
      </c>
      <c r="C541">
        <v>386</v>
      </c>
      <c r="D541" t="s">
        <v>1015</v>
      </c>
      <c r="E541" t="s">
        <v>1016</v>
      </c>
      <c r="F541" s="5">
        <v>12075</v>
      </c>
      <c r="G541" s="2" t="s">
        <v>447</v>
      </c>
      <c r="H541" s="2" t="s">
        <v>447</v>
      </c>
      <c r="I541" s="1" t="s">
        <v>447</v>
      </c>
      <c r="J541" t="s">
        <v>447</v>
      </c>
      <c r="K541" t="s">
        <v>447</v>
      </c>
      <c r="L541" t="s">
        <v>447</v>
      </c>
    </row>
    <row r="542" spans="1:12" x14ac:dyDescent="0.6">
      <c r="A542">
        <v>606531</v>
      </c>
      <c r="B542">
        <v>6</v>
      </c>
      <c r="C542">
        <v>6531</v>
      </c>
      <c r="D542" t="s">
        <v>1103</v>
      </c>
      <c r="E542" t="s">
        <v>1104</v>
      </c>
      <c r="F542" s="5">
        <v>11999</v>
      </c>
      <c r="G542" s="2" t="s">
        <v>447</v>
      </c>
      <c r="H542" s="2" t="s">
        <v>447</v>
      </c>
      <c r="I542" s="1" t="s">
        <v>447</v>
      </c>
      <c r="J542" t="s">
        <v>447</v>
      </c>
      <c r="K542" t="s">
        <v>447</v>
      </c>
      <c r="L542" t="s">
        <v>447</v>
      </c>
    </row>
    <row r="543" spans="1:12" x14ac:dyDescent="0.6">
      <c r="A543">
        <v>600422</v>
      </c>
      <c r="B543">
        <v>6</v>
      </c>
      <c r="C543">
        <v>422</v>
      </c>
      <c r="D543" t="s">
        <v>1072</v>
      </c>
      <c r="E543" t="s">
        <v>1073</v>
      </c>
      <c r="F543" s="5">
        <v>11971</v>
      </c>
      <c r="G543" s="2" t="s">
        <v>447</v>
      </c>
      <c r="H543" s="2" t="s">
        <v>447</v>
      </c>
      <c r="I543" s="1" t="s">
        <v>447</v>
      </c>
      <c r="J543" t="s">
        <v>447</v>
      </c>
      <c r="K543" t="s">
        <v>447</v>
      </c>
      <c r="L543" t="s">
        <v>447</v>
      </c>
    </row>
    <row r="544" spans="1:12" x14ac:dyDescent="0.6">
      <c r="A544">
        <v>613146</v>
      </c>
      <c r="B544">
        <v>6</v>
      </c>
      <c r="C544">
        <v>13146</v>
      </c>
      <c r="D544" t="s">
        <v>1147</v>
      </c>
      <c r="E544" t="s">
        <v>1148</v>
      </c>
      <c r="F544" s="5">
        <v>11925</v>
      </c>
      <c r="G544" s="2" t="s">
        <v>447</v>
      </c>
      <c r="H544" s="2">
        <v>32</v>
      </c>
      <c r="I544" s="1" t="s">
        <v>447</v>
      </c>
      <c r="J544" t="s">
        <v>447</v>
      </c>
      <c r="K544">
        <v>2</v>
      </c>
      <c r="L544" t="s">
        <v>447</v>
      </c>
    </row>
    <row r="545" spans="1:12" x14ac:dyDescent="0.6">
      <c r="A545">
        <v>690286</v>
      </c>
      <c r="B545">
        <v>6</v>
      </c>
      <c r="C545">
        <v>90286</v>
      </c>
      <c r="D545" t="s">
        <v>1377</v>
      </c>
      <c r="E545" t="s">
        <v>1378</v>
      </c>
      <c r="F545" s="5">
        <v>11851</v>
      </c>
      <c r="G545" s="2">
        <v>44</v>
      </c>
      <c r="H545" s="2" t="s">
        <v>447</v>
      </c>
      <c r="I545" s="1" t="s">
        <v>447</v>
      </c>
      <c r="J545">
        <v>2</v>
      </c>
      <c r="K545" t="s">
        <v>447</v>
      </c>
      <c r="L545" t="s">
        <v>447</v>
      </c>
    </row>
    <row r="546" spans="1:12" x14ac:dyDescent="0.6">
      <c r="A546">
        <v>690075</v>
      </c>
      <c r="B546">
        <v>6</v>
      </c>
      <c r="C546">
        <v>90075</v>
      </c>
      <c r="D546" t="s">
        <v>1221</v>
      </c>
      <c r="E546" t="s">
        <v>1222</v>
      </c>
      <c r="F546" s="5">
        <v>11523</v>
      </c>
      <c r="G546" s="2">
        <v>10</v>
      </c>
      <c r="H546" s="2" t="s">
        <v>447</v>
      </c>
      <c r="I546" s="1" t="s">
        <v>447</v>
      </c>
      <c r="J546">
        <v>7</v>
      </c>
      <c r="K546" t="s">
        <v>447</v>
      </c>
      <c r="L546" t="s">
        <v>447</v>
      </c>
    </row>
    <row r="547" spans="1:12" x14ac:dyDescent="0.6">
      <c r="A547">
        <v>604464</v>
      </c>
      <c r="B547">
        <v>6</v>
      </c>
      <c r="C547">
        <v>4464</v>
      </c>
      <c r="D547" t="s">
        <v>801</v>
      </c>
      <c r="E547" t="s">
        <v>802</v>
      </c>
      <c r="F547" s="5">
        <v>11140</v>
      </c>
      <c r="G547" s="2">
        <v>47</v>
      </c>
      <c r="H547" s="2" t="s">
        <v>447</v>
      </c>
      <c r="I547" s="1">
        <v>21.45</v>
      </c>
      <c r="J547">
        <v>1</v>
      </c>
      <c r="K547" t="s">
        <v>447</v>
      </c>
      <c r="L547">
        <v>1</v>
      </c>
    </row>
    <row r="548" spans="1:12" x14ac:dyDescent="0.6">
      <c r="A548">
        <v>600898</v>
      </c>
      <c r="B548">
        <v>6</v>
      </c>
      <c r="C548">
        <v>898</v>
      </c>
      <c r="D548" t="s">
        <v>148</v>
      </c>
      <c r="E548" t="s">
        <v>149</v>
      </c>
      <c r="F548" s="5">
        <v>10935</v>
      </c>
      <c r="G548" s="2">
        <v>51.3</v>
      </c>
      <c r="H548" s="2">
        <v>40</v>
      </c>
      <c r="I548" s="1">
        <f>(15.3+19.4)/2</f>
        <v>17.350000000000001</v>
      </c>
      <c r="J548">
        <v>14</v>
      </c>
      <c r="K548">
        <v>2</v>
      </c>
      <c r="L548">
        <v>40</v>
      </c>
    </row>
    <row r="549" spans="1:12" x14ac:dyDescent="0.6">
      <c r="A549">
        <v>600420</v>
      </c>
      <c r="B549">
        <v>6</v>
      </c>
      <c r="C549">
        <v>420</v>
      </c>
      <c r="D549" t="s">
        <v>1070</v>
      </c>
      <c r="E549" t="s">
        <v>1071</v>
      </c>
      <c r="F549" s="5">
        <v>10317</v>
      </c>
      <c r="G549" s="2" t="s">
        <v>447</v>
      </c>
      <c r="H549" s="2" t="s">
        <v>447</v>
      </c>
      <c r="I549" s="1" t="s">
        <v>447</v>
      </c>
      <c r="J549" t="s">
        <v>447</v>
      </c>
      <c r="K549" t="s">
        <v>447</v>
      </c>
      <c r="L549" t="s">
        <v>447</v>
      </c>
    </row>
    <row r="550" spans="1:12" x14ac:dyDescent="0.6">
      <c r="A550">
        <v>690189</v>
      </c>
      <c r="B550">
        <v>6</v>
      </c>
      <c r="C550">
        <v>90189</v>
      </c>
      <c r="D550" t="s">
        <v>1303</v>
      </c>
      <c r="E550" t="s">
        <v>1304</v>
      </c>
      <c r="F550" s="5">
        <v>9993</v>
      </c>
      <c r="G550" s="2">
        <v>57</v>
      </c>
      <c r="H550" s="2" t="s">
        <v>447</v>
      </c>
      <c r="I550" s="1">
        <v>20.5</v>
      </c>
      <c r="J550">
        <v>4</v>
      </c>
      <c r="K550" t="s">
        <v>447</v>
      </c>
      <c r="L550">
        <v>4</v>
      </c>
    </row>
    <row r="551" spans="1:12" x14ac:dyDescent="0.6">
      <c r="A551">
        <v>690400</v>
      </c>
      <c r="B551">
        <v>6</v>
      </c>
      <c r="C551">
        <v>90400</v>
      </c>
      <c r="D551" t="s">
        <v>34</v>
      </c>
      <c r="E551" t="s">
        <v>35</v>
      </c>
      <c r="F551" s="5">
        <v>9948</v>
      </c>
      <c r="G551" s="2">
        <v>8</v>
      </c>
      <c r="H551" s="2" t="s">
        <v>447</v>
      </c>
      <c r="I551" s="1" t="s">
        <v>447</v>
      </c>
      <c r="J551">
        <v>10</v>
      </c>
      <c r="K551" t="s">
        <v>447</v>
      </c>
      <c r="L551" t="s">
        <v>447</v>
      </c>
    </row>
    <row r="552" spans="1:12" x14ac:dyDescent="0.6">
      <c r="A552">
        <v>600167</v>
      </c>
      <c r="B552">
        <v>6</v>
      </c>
      <c r="C552">
        <v>167</v>
      </c>
      <c r="D552" t="s">
        <v>703</v>
      </c>
      <c r="E552" t="s">
        <v>704</v>
      </c>
      <c r="F552" s="5">
        <v>9625</v>
      </c>
      <c r="G552" s="2" t="s">
        <v>447</v>
      </c>
      <c r="H552" s="2" t="s">
        <v>447</v>
      </c>
      <c r="I552" s="1" t="s">
        <v>447</v>
      </c>
      <c r="J552" t="s">
        <v>447</v>
      </c>
      <c r="K552" t="s">
        <v>447</v>
      </c>
      <c r="L552" t="s">
        <v>447</v>
      </c>
    </row>
    <row r="553" spans="1:12" x14ac:dyDescent="0.6">
      <c r="A553">
        <v>601005</v>
      </c>
      <c r="B553">
        <v>6</v>
      </c>
      <c r="C553">
        <v>1005</v>
      </c>
      <c r="D553" t="s">
        <v>161</v>
      </c>
      <c r="E553" t="s">
        <v>162</v>
      </c>
      <c r="F553" s="5">
        <v>9075</v>
      </c>
      <c r="G553" s="2" t="s">
        <v>447</v>
      </c>
      <c r="H553" s="2" t="s">
        <v>447</v>
      </c>
      <c r="I553" s="1">
        <v>22.5</v>
      </c>
      <c r="J553" t="s">
        <v>447</v>
      </c>
      <c r="K553" t="s">
        <v>447</v>
      </c>
      <c r="L553">
        <v>1</v>
      </c>
    </row>
    <row r="554" spans="1:12" x14ac:dyDescent="0.6">
      <c r="A554">
        <v>601279</v>
      </c>
      <c r="B554">
        <v>6</v>
      </c>
      <c r="C554">
        <v>1279</v>
      </c>
      <c r="D554" t="s">
        <v>197</v>
      </c>
      <c r="E554" t="s">
        <v>198</v>
      </c>
      <c r="F554" s="5">
        <v>8975</v>
      </c>
      <c r="G554" s="2" t="s">
        <v>447</v>
      </c>
      <c r="H554" s="2" t="s">
        <v>447</v>
      </c>
      <c r="I554" s="1" t="s">
        <v>447</v>
      </c>
      <c r="J554" t="s">
        <v>447</v>
      </c>
      <c r="K554" t="s">
        <v>447</v>
      </c>
      <c r="L554" t="s">
        <v>447</v>
      </c>
    </row>
    <row r="555" spans="1:12" x14ac:dyDescent="0.6">
      <c r="A555">
        <v>604791</v>
      </c>
      <c r="B555">
        <v>6</v>
      </c>
      <c r="C555">
        <v>4791</v>
      </c>
      <c r="D555" t="s">
        <v>819</v>
      </c>
      <c r="E555" t="s">
        <v>820</v>
      </c>
      <c r="F555" s="5">
        <v>8651</v>
      </c>
      <c r="G555" s="2" t="s">
        <v>447</v>
      </c>
      <c r="H555" s="2" t="s">
        <v>447</v>
      </c>
      <c r="I555" s="1" t="s">
        <v>447</v>
      </c>
      <c r="J555" t="s">
        <v>447</v>
      </c>
      <c r="K555" t="s">
        <v>447</v>
      </c>
      <c r="L555" t="s">
        <v>447</v>
      </c>
    </row>
    <row r="556" spans="1:12" x14ac:dyDescent="0.6">
      <c r="A556">
        <v>601466</v>
      </c>
      <c r="B556">
        <v>6</v>
      </c>
      <c r="C556">
        <v>1466</v>
      </c>
      <c r="D556" t="s">
        <v>265</v>
      </c>
      <c r="E556" t="s">
        <v>266</v>
      </c>
      <c r="F556" s="5">
        <v>8603</v>
      </c>
      <c r="G556" s="2" t="s">
        <v>447</v>
      </c>
      <c r="H556" s="2" t="s">
        <v>447</v>
      </c>
      <c r="I556" s="1" t="s">
        <v>447</v>
      </c>
      <c r="J556" t="s">
        <v>447</v>
      </c>
      <c r="K556" t="s">
        <v>447</v>
      </c>
      <c r="L556" t="s">
        <v>447</v>
      </c>
    </row>
    <row r="557" spans="1:12" x14ac:dyDescent="0.6">
      <c r="A557">
        <v>602058</v>
      </c>
      <c r="B557">
        <v>6</v>
      </c>
      <c r="C557">
        <v>2058</v>
      </c>
      <c r="D557" t="s">
        <v>732</v>
      </c>
      <c r="E557" t="s">
        <v>733</v>
      </c>
      <c r="F557" s="5">
        <v>8254</v>
      </c>
      <c r="G557" s="2" t="s">
        <v>447</v>
      </c>
      <c r="H557" s="2">
        <v>20.399999999999999</v>
      </c>
      <c r="I557" s="1" t="s">
        <v>447</v>
      </c>
      <c r="J557" t="s">
        <v>447</v>
      </c>
      <c r="K557">
        <v>10</v>
      </c>
      <c r="L557" t="s">
        <v>447</v>
      </c>
    </row>
    <row r="558" spans="1:12" x14ac:dyDescent="0.6">
      <c r="A558">
        <v>600458</v>
      </c>
      <c r="B558">
        <v>6</v>
      </c>
      <c r="C558">
        <v>458</v>
      </c>
      <c r="D558" t="s">
        <v>471</v>
      </c>
      <c r="E558" t="s">
        <v>472</v>
      </c>
      <c r="F558" s="5">
        <v>8068</v>
      </c>
      <c r="G558" s="2" t="s">
        <v>447</v>
      </c>
      <c r="H558" s="2" t="s">
        <v>447</v>
      </c>
      <c r="I558" s="1" t="s">
        <v>447</v>
      </c>
      <c r="J558" t="s">
        <v>447</v>
      </c>
      <c r="K558" t="s">
        <v>447</v>
      </c>
      <c r="L558" t="s">
        <v>447</v>
      </c>
    </row>
    <row r="559" spans="1:12" x14ac:dyDescent="0.6">
      <c r="A559">
        <v>690257</v>
      </c>
      <c r="B559">
        <v>6</v>
      </c>
      <c r="C559">
        <v>90257</v>
      </c>
      <c r="D559" t="s">
        <v>1347</v>
      </c>
      <c r="E559" t="s">
        <v>1348</v>
      </c>
      <c r="F559" s="5">
        <v>7986</v>
      </c>
      <c r="G559" s="2" t="s">
        <v>447</v>
      </c>
      <c r="H559" s="2" t="s">
        <v>447</v>
      </c>
      <c r="I559" s="1" t="s">
        <v>447</v>
      </c>
      <c r="J559" t="s">
        <v>447</v>
      </c>
      <c r="K559" t="s">
        <v>447</v>
      </c>
      <c r="L559" t="s">
        <v>447</v>
      </c>
    </row>
    <row r="560" spans="1:12" x14ac:dyDescent="0.6">
      <c r="A560">
        <v>601753</v>
      </c>
      <c r="B560">
        <v>6</v>
      </c>
      <c r="C560">
        <v>1753</v>
      </c>
      <c r="D560" t="s">
        <v>343</v>
      </c>
      <c r="E560" t="s">
        <v>344</v>
      </c>
      <c r="F560" s="5">
        <v>7871</v>
      </c>
      <c r="G560" s="2" t="s">
        <v>447</v>
      </c>
      <c r="H560" s="2" t="s">
        <v>447</v>
      </c>
      <c r="I560" s="1" t="s">
        <v>447</v>
      </c>
      <c r="J560" t="s">
        <v>447</v>
      </c>
      <c r="K560" t="s">
        <v>447</v>
      </c>
      <c r="L560" t="s">
        <v>447</v>
      </c>
    </row>
    <row r="561" spans="1:12" x14ac:dyDescent="0.6">
      <c r="A561">
        <v>602565</v>
      </c>
      <c r="B561">
        <v>6</v>
      </c>
      <c r="C561">
        <v>2565</v>
      </c>
      <c r="D561" t="s">
        <v>754</v>
      </c>
      <c r="E561" t="s">
        <v>755</v>
      </c>
      <c r="F561" s="5">
        <v>7743</v>
      </c>
      <c r="G561" s="2">
        <v>25</v>
      </c>
      <c r="H561" s="2">
        <v>23</v>
      </c>
      <c r="I561" s="1" t="s">
        <v>447</v>
      </c>
      <c r="J561">
        <v>13</v>
      </c>
      <c r="K561">
        <v>2</v>
      </c>
      <c r="L561" t="s">
        <v>447</v>
      </c>
    </row>
    <row r="562" spans="1:12" x14ac:dyDescent="0.6">
      <c r="A562">
        <v>690194</v>
      </c>
      <c r="B562">
        <v>6</v>
      </c>
      <c r="C562">
        <v>90194</v>
      </c>
      <c r="D562" t="s">
        <v>1307</v>
      </c>
      <c r="E562" t="s">
        <v>1308</v>
      </c>
      <c r="F562" s="5">
        <v>7162</v>
      </c>
      <c r="G562" s="2" t="s">
        <v>447</v>
      </c>
      <c r="H562" s="2" t="s">
        <v>447</v>
      </c>
      <c r="I562" s="1" t="s">
        <v>447</v>
      </c>
      <c r="J562" t="s">
        <v>447</v>
      </c>
      <c r="K562" t="s">
        <v>447</v>
      </c>
      <c r="L562" t="s">
        <v>447</v>
      </c>
    </row>
    <row r="563" spans="1:12" x14ac:dyDescent="0.6">
      <c r="A563">
        <v>600461</v>
      </c>
      <c r="B563">
        <v>6</v>
      </c>
      <c r="C563">
        <v>461</v>
      </c>
      <c r="D563" t="s">
        <v>474</v>
      </c>
      <c r="E563" t="s">
        <v>475</v>
      </c>
      <c r="F563" s="5">
        <v>7154</v>
      </c>
      <c r="G563" s="2" t="s">
        <v>447</v>
      </c>
      <c r="H563" s="2" t="s">
        <v>447</v>
      </c>
      <c r="I563" s="1" t="s">
        <v>447</v>
      </c>
      <c r="J563" t="s">
        <v>447</v>
      </c>
      <c r="K563" t="s">
        <v>447</v>
      </c>
      <c r="L563" t="s">
        <v>447</v>
      </c>
    </row>
    <row r="564" spans="1:12" x14ac:dyDescent="0.6">
      <c r="A564">
        <v>601828</v>
      </c>
      <c r="B564">
        <v>6</v>
      </c>
      <c r="C564">
        <v>1828</v>
      </c>
      <c r="D564" t="s">
        <v>349</v>
      </c>
      <c r="E564" t="s">
        <v>350</v>
      </c>
      <c r="F564" s="5">
        <v>6668</v>
      </c>
      <c r="G564" s="2">
        <f>(48.9+46.9)/2</f>
        <v>47.9</v>
      </c>
      <c r="H564" s="2" t="s">
        <v>447</v>
      </c>
      <c r="I564" s="1">
        <f>(16.4+19.3+18.3)/3</f>
        <v>18</v>
      </c>
      <c r="J564">
        <v>1</v>
      </c>
      <c r="K564" t="s">
        <v>447</v>
      </c>
      <c r="L564">
        <v>1</v>
      </c>
    </row>
    <row r="565" spans="1:12" x14ac:dyDescent="0.6">
      <c r="A565">
        <v>690249</v>
      </c>
      <c r="B565">
        <v>6</v>
      </c>
      <c r="C565">
        <v>90249</v>
      </c>
      <c r="D565" t="s">
        <v>1341</v>
      </c>
      <c r="E565" t="s">
        <v>1342</v>
      </c>
      <c r="F565" s="5">
        <v>6538</v>
      </c>
      <c r="G565" s="2" t="s">
        <v>447</v>
      </c>
      <c r="H565" s="2" t="s">
        <v>447</v>
      </c>
      <c r="I565" s="1" t="s">
        <v>447</v>
      </c>
      <c r="J565" t="s">
        <v>447</v>
      </c>
      <c r="K565" t="s">
        <v>447</v>
      </c>
      <c r="L565" t="s">
        <v>447</v>
      </c>
    </row>
    <row r="566" spans="1:12" x14ac:dyDescent="0.6">
      <c r="A566">
        <v>605009</v>
      </c>
      <c r="B566">
        <v>6</v>
      </c>
      <c r="C566">
        <v>5009</v>
      </c>
      <c r="D566" t="s">
        <v>831</v>
      </c>
      <c r="E566" t="s">
        <v>832</v>
      </c>
      <c r="F566" s="5">
        <v>6451</v>
      </c>
      <c r="G566" s="2" t="s">
        <v>447</v>
      </c>
      <c r="H566" s="2" t="s">
        <v>447</v>
      </c>
      <c r="I566" s="1" t="s">
        <v>447</v>
      </c>
      <c r="J566" t="s">
        <v>447</v>
      </c>
      <c r="K566" t="s">
        <v>447</v>
      </c>
      <c r="L566" t="s">
        <v>447</v>
      </c>
    </row>
    <row r="567" spans="1:12" x14ac:dyDescent="0.6">
      <c r="A567">
        <v>600486</v>
      </c>
      <c r="B567">
        <v>6</v>
      </c>
      <c r="C567">
        <v>486</v>
      </c>
      <c r="D567" t="s">
        <v>515</v>
      </c>
      <c r="E567" t="s">
        <v>516</v>
      </c>
      <c r="F567" s="5">
        <v>6410</v>
      </c>
      <c r="G567" s="2" t="s">
        <v>447</v>
      </c>
      <c r="H567" s="2" t="s">
        <v>447</v>
      </c>
      <c r="I567" s="1" t="s">
        <v>447</v>
      </c>
      <c r="J567" t="s">
        <v>447</v>
      </c>
      <c r="K567" t="s">
        <v>447</v>
      </c>
      <c r="L567" t="s">
        <v>447</v>
      </c>
    </row>
    <row r="568" spans="1:12" x14ac:dyDescent="0.6">
      <c r="A568">
        <v>690122</v>
      </c>
      <c r="B568">
        <v>6</v>
      </c>
      <c r="C568">
        <v>90122</v>
      </c>
      <c r="D568" t="s">
        <v>1259</v>
      </c>
      <c r="E568" t="s">
        <v>1260</v>
      </c>
      <c r="F568" s="5">
        <v>6145</v>
      </c>
      <c r="G568" s="2" t="s">
        <v>447</v>
      </c>
      <c r="H568" s="2" t="s">
        <v>447</v>
      </c>
      <c r="I568" s="1" t="s">
        <v>447</v>
      </c>
      <c r="J568" t="s">
        <v>447</v>
      </c>
      <c r="K568" t="s">
        <v>447</v>
      </c>
      <c r="L568" t="s">
        <v>447</v>
      </c>
    </row>
    <row r="569" spans="1:12" x14ac:dyDescent="0.6">
      <c r="A569">
        <v>690355</v>
      </c>
      <c r="B569">
        <v>6</v>
      </c>
      <c r="C569">
        <v>90355</v>
      </c>
      <c r="D569" t="s">
        <v>6</v>
      </c>
      <c r="E569" t="s">
        <v>7</v>
      </c>
      <c r="F569" s="5">
        <v>5807</v>
      </c>
      <c r="G569" s="2">
        <v>10</v>
      </c>
      <c r="H569" s="2" t="s">
        <v>447</v>
      </c>
      <c r="I569" s="1" t="s">
        <v>447</v>
      </c>
      <c r="J569">
        <v>7</v>
      </c>
      <c r="K569" t="s">
        <v>447</v>
      </c>
      <c r="L569" t="s">
        <v>447</v>
      </c>
    </row>
    <row r="570" spans="1:12" x14ac:dyDescent="0.6">
      <c r="A570">
        <v>690287</v>
      </c>
      <c r="B570">
        <v>6</v>
      </c>
      <c r="C570">
        <v>90287</v>
      </c>
      <c r="D570" t="s">
        <v>1379</v>
      </c>
      <c r="E570" t="s">
        <v>1380</v>
      </c>
      <c r="F570" s="5">
        <v>5702</v>
      </c>
      <c r="G570" s="2">
        <v>20.5</v>
      </c>
      <c r="H570" s="2" t="s">
        <v>447</v>
      </c>
      <c r="I570" s="1" t="s">
        <v>447</v>
      </c>
      <c r="J570">
        <v>10</v>
      </c>
      <c r="K570" t="s">
        <v>447</v>
      </c>
      <c r="L570" t="s">
        <v>447</v>
      </c>
    </row>
    <row r="571" spans="1:12" x14ac:dyDescent="0.6">
      <c r="A571">
        <v>690043</v>
      </c>
      <c r="B571">
        <v>6</v>
      </c>
      <c r="C571">
        <v>90043</v>
      </c>
      <c r="D571" t="s">
        <v>1187</v>
      </c>
      <c r="E571" t="s">
        <v>1188</v>
      </c>
      <c r="F571" s="5">
        <v>5489</v>
      </c>
      <c r="G571" s="2" t="s">
        <v>447</v>
      </c>
      <c r="H571" s="2" t="s">
        <v>447</v>
      </c>
      <c r="I571" s="1" t="s">
        <v>447</v>
      </c>
      <c r="J571" t="s">
        <v>447</v>
      </c>
      <c r="K571" t="s">
        <v>447</v>
      </c>
      <c r="L571" t="s">
        <v>447</v>
      </c>
    </row>
    <row r="572" spans="1:12" x14ac:dyDescent="0.6">
      <c r="A572">
        <v>690090</v>
      </c>
      <c r="B572">
        <v>6</v>
      </c>
      <c r="C572">
        <v>90090</v>
      </c>
      <c r="D572" t="s">
        <v>1239</v>
      </c>
      <c r="E572" t="s">
        <v>1240</v>
      </c>
      <c r="F572" s="5">
        <v>5440</v>
      </c>
      <c r="G572" s="2" t="s">
        <v>447</v>
      </c>
      <c r="H572" s="2" t="s">
        <v>447</v>
      </c>
      <c r="I572" s="1" t="s">
        <v>447</v>
      </c>
      <c r="J572" t="s">
        <v>447</v>
      </c>
      <c r="K572" t="s">
        <v>447</v>
      </c>
      <c r="L572" t="s">
        <v>447</v>
      </c>
    </row>
    <row r="573" spans="1:12" x14ac:dyDescent="0.6">
      <c r="A573">
        <v>603923</v>
      </c>
      <c r="B573">
        <v>6</v>
      </c>
      <c r="C573">
        <v>3923</v>
      </c>
      <c r="D573" t="s">
        <v>773</v>
      </c>
      <c r="E573" t="s">
        <v>774</v>
      </c>
      <c r="F573" s="5">
        <v>5152</v>
      </c>
      <c r="G573" s="2" t="s">
        <v>447</v>
      </c>
      <c r="H573" s="2" t="s">
        <v>447</v>
      </c>
      <c r="I573" s="1" t="s">
        <v>447</v>
      </c>
      <c r="J573" t="s">
        <v>447</v>
      </c>
      <c r="K573" t="s">
        <v>447</v>
      </c>
      <c r="L573" t="s">
        <v>447</v>
      </c>
    </row>
    <row r="574" spans="1:12" x14ac:dyDescent="0.6">
      <c r="A574">
        <v>600125</v>
      </c>
      <c r="B574">
        <v>6</v>
      </c>
      <c r="C574">
        <v>125</v>
      </c>
      <c r="D574" t="s">
        <v>669</v>
      </c>
      <c r="E574" t="s">
        <v>670</v>
      </c>
      <c r="F574" s="5">
        <v>5001</v>
      </c>
      <c r="G574" s="2" t="s">
        <v>447</v>
      </c>
      <c r="H574" s="2" t="s">
        <v>447</v>
      </c>
      <c r="I574" s="1" t="s">
        <v>447</v>
      </c>
      <c r="J574" t="s">
        <v>447</v>
      </c>
      <c r="K574" t="s">
        <v>447</v>
      </c>
      <c r="L574" t="s">
        <v>447</v>
      </c>
    </row>
    <row r="575" spans="1:12" x14ac:dyDescent="0.6">
      <c r="A575">
        <v>600508</v>
      </c>
      <c r="B575">
        <v>6</v>
      </c>
      <c r="C575">
        <v>508</v>
      </c>
      <c r="D575" t="s">
        <v>548</v>
      </c>
      <c r="E575" t="s">
        <v>549</v>
      </c>
      <c r="F575" s="5">
        <v>4916</v>
      </c>
      <c r="G575" s="2" t="s">
        <v>447</v>
      </c>
      <c r="H575" s="2" t="s">
        <v>447</v>
      </c>
      <c r="I575" s="1" t="s">
        <v>447</v>
      </c>
      <c r="J575" t="s">
        <v>447</v>
      </c>
      <c r="K575" t="s">
        <v>447</v>
      </c>
      <c r="L575" t="s">
        <v>447</v>
      </c>
    </row>
    <row r="576" spans="1:12" x14ac:dyDescent="0.6">
      <c r="A576">
        <v>690335</v>
      </c>
      <c r="B576">
        <v>6</v>
      </c>
      <c r="C576">
        <v>90335</v>
      </c>
      <c r="D576" t="s">
        <v>1413</v>
      </c>
      <c r="E576" t="s">
        <v>1414</v>
      </c>
      <c r="F576" s="5">
        <v>4839</v>
      </c>
      <c r="G576" s="2" t="s">
        <v>447</v>
      </c>
      <c r="H576" s="2" t="s">
        <v>447</v>
      </c>
      <c r="I576" s="1" t="s">
        <v>447</v>
      </c>
      <c r="J576" t="s">
        <v>447</v>
      </c>
      <c r="K576" t="s">
        <v>447</v>
      </c>
      <c r="L576" t="s">
        <v>447</v>
      </c>
    </row>
    <row r="577" spans="1:12" x14ac:dyDescent="0.6">
      <c r="A577">
        <v>600339</v>
      </c>
      <c r="B577">
        <v>6</v>
      </c>
      <c r="C577">
        <v>339</v>
      </c>
      <c r="D577" t="s">
        <v>952</v>
      </c>
      <c r="E577" t="s">
        <v>953</v>
      </c>
      <c r="F577" s="5">
        <v>4811</v>
      </c>
      <c r="G577" s="2" t="s">
        <v>447</v>
      </c>
      <c r="H577" s="2" t="s">
        <v>447</v>
      </c>
      <c r="I577" s="1" t="s">
        <v>447</v>
      </c>
      <c r="J577" t="s">
        <v>447</v>
      </c>
      <c r="K577" t="s">
        <v>447</v>
      </c>
      <c r="L577" t="s">
        <v>447</v>
      </c>
    </row>
    <row r="578" spans="1:12" x14ac:dyDescent="0.6">
      <c r="A578">
        <v>600247</v>
      </c>
      <c r="B578">
        <v>6</v>
      </c>
      <c r="C578">
        <v>247</v>
      </c>
      <c r="D578" t="s">
        <v>865</v>
      </c>
      <c r="E578" t="s">
        <v>866</v>
      </c>
      <c r="F578" s="5">
        <v>4209</v>
      </c>
      <c r="G578" s="2" t="s">
        <v>447</v>
      </c>
      <c r="H578" s="2">
        <v>55</v>
      </c>
      <c r="I578" s="1">
        <v>20.2</v>
      </c>
      <c r="J578" t="s">
        <v>447</v>
      </c>
      <c r="K578">
        <v>2</v>
      </c>
      <c r="L578">
        <v>1</v>
      </c>
    </row>
    <row r="579" spans="1:12" x14ac:dyDescent="0.6">
      <c r="A579">
        <v>600472</v>
      </c>
      <c r="B579">
        <v>6</v>
      </c>
      <c r="C579">
        <v>472</v>
      </c>
      <c r="D579" t="s">
        <v>488</v>
      </c>
      <c r="E579" t="s">
        <v>489</v>
      </c>
      <c r="F579" s="5">
        <v>4054</v>
      </c>
      <c r="G579" s="2" t="s">
        <v>447</v>
      </c>
      <c r="H579" s="2" t="s">
        <v>447</v>
      </c>
      <c r="I579" s="1" t="s">
        <v>447</v>
      </c>
      <c r="J579" t="s">
        <v>447</v>
      </c>
      <c r="K579" t="s">
        <v>447</v>
      </c>
      <c r="L579" t="s">
        <v>447</v>
      </c>
    </row>
    <row r="580" spans="1:12" x14ac:dyDescent="0.6">
      <c r="A580">
        <v>605038</v>
      </c>
      <c r="B580">
        <v>6</v>
      </c>
      <c r="C580">
        <v>5038</v>
      </c>
      <c r="D580" t="s">
        <v>833</v>
      </c>
      <c r="E580" t="s">
        <v>834</v>
      </c>
      <c r="F580" s="5">
        <v>3671</v>
      </c>
      <c r="G580" s="2" t="s">
        <v>447</v>
      </c>
      <c r="H580" s="2" t="s">
        <v>447</v>
      </c>
      <c r="I580" s="1" t="s">
        <v>447</v>
      </c>
      <c r="J580" t="s">
        <v>447</v>
      </c>
      <c r="K580" t="s">
        <v>447</v>
      </c>
      <c r="L580" t="s">
        <v>447</v>
      </c>
    </row>
    <row r="581" spans="1:12" x14ac:dyDescent="0.6">
      <c r="A581">
        <v>607616</v>
      </c>
      <c r="B581">
        <v>6</v>
      </c>
      <c r="C581">
        <v>7616</v>
      </c>
      <c r="D581" t="s">
        <v>1117</v>
      </c>
      <c r="E581" t="s">
        <v>1118</v>
      </c>
      <c r="F581" s="5">
        <v>3646</v>
      </c>
      <c r="G581" s="2" t="s">
        <v>447</v>
      </c>
      <c r="H581" s="2" t="s">
        <v>447</v>
      </c>
      <c r="I581" s="1" t="s">
        <v>447</v>
      </c>
      <c r="J581" t="s">
        <v>447</v>
      </c>
      <c r="K581" t="s">
        <v>447</v>
      </c>
      <c r="L581" t="s">
        <v>447</v>
      </c>
    </row>
    <row r="582" spans="1:12" x14ac:dyDescent="0.6">
      <c r="A582">
        <v>603310</v>
      </c>
      <c r="B582">
        <v>6</v>
      </c>
      <c r="C582">
        <v>3310</v>
      </c>
      <c r="D582" t="s">
        <v>756</v>
      </c>
      <c r="E582" t="s">
        <v>757</v>
      </c>
      <c r="F582" s="5">
        <v>3555</v>
      </c>
      <c r="G582" s="2" t="s">
        <v>447</v>
      </c>
      <c r="H582" s="2" t="s">
        <v>447</v>
      </c>
      <c r="I582" s="1" t="s">
        <v>447</v>
      </c>
      <c r="J582" t="s">
        <v>447</v>
      </c>
      <c r="K582" t="s">
        <v>447</v>
      </c>
      <c r="L582" t="s">
        <v>447</v>
      </c>
    </row>
    <row r="583" spans="1:12" x14ac:dyDescent="0.6">
      <c r="A583">
        <v>603334</v>
      </c>
      <c r="B583">
        <v>6</v>
      </c>
      <c r="C583">
        <v>3334</v>
      </c>
      <c r="D583" t="s">
        <v>758</v>
      </c>
      <c r="E583" t="s">
        <v>759</v>
      </c>
      <c r="F583" s="5">
        <v>3459</v>
      </c>
      <c r="G583" s="2" t="s">
        <v>447</v>
      </c>
      <c r="H583" s="2" t="s">
        <v>447</v>
      </c>
      <c r="I583" s="1" t="s">
        <v>447</v>
      </c>
      <c r="J583" t="s">
        <v>447</v>
      </c>
      <c r="K583" t="s">
        <v>447</v>
      </c>
      <c r="L583" t="s">
        <v>447</v>
      </c>
    </row>
    <row r="584" spans="1:12" x14ac:dyDescent="0.6">
      <c r="A584">
        <v>604237</v>
      </c>
      <c r="B584">
        <v>6</v>
      </c>
      <c r="C584">
        <v>4237</v>
      </c>
      <c r="D584" t="s">
        <v>783</v>
      </c>
      <c r="E584" t="s">
        <v>784</v>
      </c>
      <c r="F584" s="5">
        <v>3401</v>
      </c>
      <c r="G584" s="2">
        <v>62.9</v>
      </c>
      <c r="H584" s="2">
        <f>(29+32)/2</f>
        <v>30.5</v>
      </c>
      <c r="I584" s="1">
        <f>(18.2+18.2)/2</f>
        <v>18.2</v>
      </c>
      <c r="J584">
        <v>9</v>
      </c>
      <c r="K584">
        <v>37</v>
      </c>
      <c r="L584">
        <v>31</v>
      </c>
    </row>
    <row r="585" spans="1:12" x14ac:dyDescent="0.6">
      <c r="A585">
        <v>604887</v>
      </c>
      <c r="B585">
        <v>6</v>
      </c>
      <c r="C585">
        <v>4887</v>
      </c>
      <c r="D585" t="s">
        <v>823</v>
      </c>
      <c r="E585" t="s">
        <v>824</v>
      </c>
      <c r="F585" s="5">
        <v>3278</v>
      </c>
      <c r="G585" s="2" t="s">
        <v>447</v>
      </c>
      <c r="H585" s="2" t="s">
        <v>447</v>
      </c>
      <c r="I585" s="1" t="s">
        <v>447</v>
      </c>
      <c r="J585" t="s">
        <v>447</v>
      </c>
      <c r="K585" t="s">
        <v>447</v>
      </c>
      <c r="L585" t="s">
        <v>447</v>
      </c>
    </row>
    <row r="586" spans="1:12" x14ac:dyDescent="0.6">
      <c r="A586">
        <v>603971</v>
      </c>
      <c r="B586">
        <v>6</v>
      </c>
      <c r="C586">
        <v>3971</v>
      </c>
      <c r="D586" t="s">
        <v>775</v>
      </c>
      <c r="E586" t="s">
        <v>776</v>
      </c>
      <c r="F586" s="5">
        <v>3123</v>
      </c>
      <c r="G586" s="2">
        <v>46.5</v>
      </c>
      <c r="H586" s="2">
        <v>44.5</v>
      </c>
      <c r="I586" s="1">
        <f>(19+18+19)/3</f>
        <v>18.666666666666668</v>
      </c>
      <c r="J586">
        <v>9</v>
      </c>
      <c r="K586">
        <v>1</v>
      </c>
      <c r="L586">
        <v>31</v>
      </c>
    </row>
    <row r="587" spans="1:12" x14ac:dyDescent="0.6">
      <c r="A587">
        <v>606356</v>
      </c>
      <c r="B587">
        <v>6</v>
      </c>
      <c r="C587">
        <v>6356</v>
      </c>
      <c r="D587" t="s">
        <v>847</v>
      </c>
      <c r="E587" t="s">
        <v>848</v>
      </c>
      <c r="F587" s="5">
        <v>3115</v>
      </c>
      <c r="G587" s="2">
        <v>47</v>
      </c>
      <c r="H587" s="2" t="s">
        <v>447</v>
      </c>
      <c r="I587" s="1">
        <v>20</v>
      </c>
      <c r="J587">
        <v>1</v>
      </c>
      <c r="K587" t="s">
        <v>447</v>
      </c>
      <c r="L587">
        <v>1</v>
      </c>
    </row>
    <row r="588" spans="1:12" x14ac:dyDescent="0.6">
      <c r="A588">
        <v>601336</v>
      </c>
      <c r="B588">
        <v>6</v>
      </c>
      <c r="C588">
        <v>1336</v>
      </c>
      <c r="D588" t="s">
        <v>209</v>
      </c>
      <c r="E588" t="s">
        <v>210</v>
      </c>
      <c r="F588" s="5">
        <v>3063</v>
      </c>
      <c r="G588" s="2">
        <v>60</v>
      </c>
      <c r="H588" s="2" t="s">
        <v>447</v>
      </c>
      <c r="I588" s="1">
        <v>18.2</v>
      </c>
      <c r="J588">
        <v>1</v>
      </c>
      <c r="K588" t="s">
        <v>447</v>
      </c>
      <c r="L588">
        <v>1</v>
      </c>
    </row>
    <row r="589" spans="1:12" x14ac:dyDescent="0.6">
      <c r="A589">
        <v>600450</v>
      </c>
      <c r="B589">
        <v>6</v>
      </c>
      <c r="C589">
        <v>450</v>
      </c>
      <c r="D589" t="s">
        <v>461</v>
      </c>
      <c r="E589" t="s">
        <v>462</v>
      </c>
      <c r="F589" s="5">
        <v>2753</v>
      </c>
      <c r="G589" s="2" t="s">
        <v>447</v>
      </c>
      <c r="H589" s="2" t="s">
        <v>447</v>
      </c>
      <c r="I589" s="1" t="s">
        <v>447</v>
      </c>
      <c r="J589" t="s">
        <v>447</v>
      </c>
      <c r="K589" t="s">
        <v>447</v>
      </c>
      <c r="L589" t="s">
        <v>447</v>
      </c>
    </row>
    <row r="590" spans="1:12" x14ac:dyDescent="0.6">
      <c r="A590">
        <v>600044</v>
      </c>
      <c r="B590">
        <v>6</v>
      </c>
      <c r="C590">
        <v>44</v>
      </c>
      <c r="D590" t="s">
        <v>602</v>
      </c>
      <c r="F590" s="5">
        <v>2672</v>
      </c>
      <c r="G590" s="2" t="s">
        <v>447</v>
      </c>
      <c r="H590" s="2" t="s">
        <v>447</v>
      </c>
      <c r="I590" s="1" t="s">
        <v>447</v>
      </c>
      <c r="J590" t="s">
        <v>447</v>
      </c>
      <c r="K590" t="s">
        <v>447</v>
      </c>
      <c r="L590" t="s">
        <v>447</v>
      </c>
    </row>
    <row r="591" spans="1:12" x14ac:dyDescent="0.6">
      <c r="A591">
        <v>600449</v>
      </c>
      <c r="B591">
        <v>6</v>
      </c>
      <c r="C591">
        <v>449</v>
      </c>
      <c r="D591" t="s">
        <v>459</v>
      </c>
      <c r="E591" t="s">
        <v>460</v>
      </c>
      <c r="F591" s="5">
        <v>2636</v>
      </c>
      <c r="G591" s="2" t="s">
        <v>447</v>
      </c>
      <c r="H591" s="2" t="s">
        <v>447</v>
      </c>
      <c r="I591" s="1" t="s">
        <v>447</v>
      </c>
      <c r="J591" t="s">
        <v>447</v>
      </c>
      <c r="K591" t="s">
        <v>447</v>
      </c>
      <c r="L591" t="s">
        <v>447</v>
      </c>
    </row>
    <row r="592" spans="1:12" x14ac:dyDescent="0.6">
      <c r="A592">
        <v>600138</v>
      </c>
      <c r="B592">
        <v>6</v>
      </c>
      <c r="C592">
        <v>138</v>
      </c>
      <c r="D592" t="s">
        <v>679</v>
      </c>
      <c r="E592" t="s">
        <v>680</v>
      </c>
      <c r="F592" s="5">
        <v>2612</v>
      </c>
      <c r="G592" s="2" t="s">
        <v>447</v>
      </c>
      <c r="H592" s="2">
        <v>32</v>
      </c>
      <c r="I592" s="1" t="s">
        <v>447</v>
      </c>
      <c r="J592" t="s">
        <v>447</v>
      </c>
      <c r="K592">
        <v>2</v>
      </c>
      <c r="L592" t="s">
        <v>447</v>
      </c>
    </row>
    <row r="593" spans="1:12" x14ac:dyDescent="0.6">
      <c r="A593">
        <v>603989</v>
      </c>
      <c r="B593">
        <v>6</v>
      </c>
      <c r="C593">
        <v>3989</v>
      </c>
      <c r="D593" t="s">
        <v>779</v>
      </c>
      <c r="E593" t="s">
        <v>780</v>
      </c>
      <c r="F593" s="5">
        <v>2575</v>
      </c>
      <c r="G593" s="2">
        <v>46.5</v>
      </c>
      <c r="H593" s="2">
        <f>(23+27.8)/2</f>
        <v>25.4</v>
      </c>
      <c r="I593" s="1">
        <f>(18.7+19)/2</f>
        <v>18.850000000000001</v>
      </c>
      <c r="J593">
        <v>9</v>
      </c>
      <c r="K593">
        <v>37</v>
      </c>
      <c r="L593">
        <v>31</v>
      </c>
    </row>
    <row r="594" spans="1:12" x14ac:dyDescent="0.6">
      <c r="A594">
        <v>600476</v>
      </c>
      <c r="B594">
        <v>6</v>
      </c>
      <c r="C594">
        <v>476</v>
      </c>
      <c r="D594" t="s">
        <v>496</v>
      </c>
      <c r="E594" t="s">
        <v>497</v>
      </c>
      <c r="F594" s="5">
        <v>2534</v>
      </c>
      <c r="G594" s="2" t="s">
        <v>447</v>
      </c>
      <c r="H594" s="2" t="s">
        <v>447</v>
      </c>
      <c r="I594" s="1" t="s">
        <v>447</v>
      </c>
      <c r="J594" t="s">
        <v>447</v>
      </c>
      <c r="K594" t="s">
        <v>447</v>
      </c>
      <c r="L594" t="s">
        <v>447</v>
      </c>
    </row>
    <row r="595" spans="1:12" x14ac:dyDescent="0.6">
      <c r="A595">
        <v>600410</v>
      </c>
      <c r="B595">
        <v>6</v>
      </c>
      <c r="C595">
        <v>410</v>
      </c>
      <c r="D595" t="s">
        <v>1054</v>
      </c>
      <c r="E595" t="s">
        <v>1055</v>
      </c>
      <c r="F595" s="5">
        <v>2287</v>
      </c>
      <c r="G595" s="2" t="s">
        <v>447</v>
      </c>
      <c r="H595" s="2" t="s">
        <v>447</v>
      </c>
      <c r="I595" s="1" t="s">
        <v>447</v>
      </c>
      <c r="J595" t="s">
        <v>447</v>
      </c>
      <c r="K595" t="s">
        <v>447</v>
      </c>
      <c r="L595" t="s">
        <v>447</v>
      </c>
    </row>
    <row r="596" spans="1:12" x14ac:dyDescent="0.6">
      <c r="A596">
        <v>690253</v>
      </c>
      <c r="B596">
        <v>6</v>
      </c>
      <c r="C596">
        <v>90253</v>
      </c>
      <c r="D596" t="s">
        <v>1343</v>
      </c>
      <c r="E596" t="s">
        <v>1344</v>
      </c>
      <c r="F596" s="5">
        <v>2240</v>
      </c>
      <c r="G596" s="2" t="s">
        <v>447</v>
      </c>
      <c r="H596" s="2" t="s">
        <v>447</v>
      </c>
      <c r="I596" s="1" t="s">
        <v>447</v>
      </c>
      <c r="J596" t="s">
        <v>447</v>
      </c>
      <c r="K596" t="s">
        <v>447</v>
      </c>
      <c r="L596" t="s">
        <v>447</v>
      </c>
    </row>
    <row r="597" spans="1:12" x14ac:dyDescent="0.6">
      <c r="A597">
        <v>690205</v>
      </c>
      <c r="B597">
        <v>6</v>
      </c>
      <c r="C597">
        <v>90205</v>
      </c>
      <c r="D597" t="s">
        <v>1319</v>
      </c>
      <c r="E597" t="s">
        <v>1320</v>
      </c>
      <c r="F597" s="5">
        <v>2207</v>
      </c>
      <c r="G597" s="2" t="s">
        <v>447</v>
      </c>
      <c r="H597" s="2" t="s">
        <v>447</v>
      </c>
      <c r="I597" s="1" t="s">
        <v>447</v>
      </c>
      <c r="J597" t="s">
        <v>447</v>
      </c>
      <c r="K597" t="s">
        <v>447</v>
      </c>
      <c r="L597" t="s">
        <v>447</v>
      </c>
    </row>
    <row r="598" spans="1:12" x14ac:dyDescent="0.6">
      <c r="A598">
        <v>600490</v>
      </c>
      <c r="B598">
        <v>6</v>
      </c>
      <c r="C598">
        <v>490</v>
      </c>
      <c r="D598" t="s">
        <v>523</v>
      </c>
      <c r="E598" t="s">
        <v>524</v>
      </c>
      <c r="F598" s="5">
        <v>2043</v>
      </c>
      <c r="G598" s="2" t="s">
        <v>447</v>
      </c>
      <c r="H598" s="2" t="s">
        <v>447</v>
      </c>
      <c r="I598" s="1" t="s">
        <v>447</v>
      </c>
      <c r="J598" t="s">
        <v>447</v>
      </c>
      <c r="K598" t="s">
        <v>447</v>
      </c>
      <c r="L598" t="s">
        <v>447</v>
      </c>
    </row>
    <row r="599" spans="1:12" x14ac:dyDescent="0.6">
      <c r="A599">
        <v>600005</v>
      </c>
      <c r="B599">
        <v>6</v>
      </c>
      <c r="C599">
        <v>5</v>
      </c>
      <c r="D599" t="s">
        <v>576</v>
      </c>
      <c r="E599" t="s">
        <v>577</v>
      </c>
      <c r="F599" s="5">
        <v>1987</v>
      </c>
      <c r="G599" s="2" t="s">
        <v>447</v>
      </c>
      <c r="H599" s="2" t="s">
        <v>447</v>
      </c>
      <c r="I599" s="1" t="s">
        <v>447</v>
      </c>
      <c r="J599" t="s">
        <v>447</v>
      </c>
      <c r="K599" t="s">
        <v>447</v>
      </c>
      <c r="L599" t="s">
        <v>447</v>
      </c>
    </row>
    <row r="600" spans="1:12" x14ac:dyDescent="0.6">
      <c r="A600">
        <v>600409</v>
      </c>
      <c r="B600">
        <v>6</v>
      </c>
      <c r="C600">
        <v>409</v>
      </c>
      <c r="D600" t="s">
        <v>1052</v>
      </c>
      <c r="E600" t="s">
        <v>1053</v>
      </c>
      <c r="F600" s="5">
        <v>1844</v>
      </c>
      <c r="G600" s="2" t="s">
        <v>447</v>
      </c>
      <c r="H600" s="2" t="s">
        <v>447</v>
      </c>
      <c r="I600" s="1" t="s">
        <v>447</v>
      </c>
      <c r="J600" t="s">
        <v>447</v>
      </c>
      <c r="K600" t="s">
        <v>447</v>
      </c>
      <c r="L600" t="s">
        <v>447</v>
      </c>
    </row>
    <row r="601" spans="1:12" x14ac:dyDescent="0.6">
      <c r="A601">
        <v>604641</v>
      </c>
      <c r="B601">
        <v>6</v>
      </c>
      <c r="C601">
        <v>4641</v>
      </c>
      <c r="D601" t="s">
        <v>809</v>
      </c>
      <c r="E601" t="s">
        <v>810</v>
      </c>
      <c r="F601" s="5">
        <v>1790</v>
      </c>
      <c r="G601" s="2" t="s">
        <v>447</v>
      </c>
      <c r="H601" s="2" t="s">
        <v>447</v>
      </c>
      <c r="I601" s="1" t="s">
        <v>447</v>
      </c>
      <c r="J601" t="s">
        <v>447</v>
      </c>
      <c r="K601" t="s">
        <v>447</v>
      </c>
      <c r="L601" t="s">
        <v>447</v>
      </c>
    </row>
    <row r="602" spans="1:12" x14ac:dyDescent="0.6">
      <c r="A602">
        <v>605003</v>
      </c>
      <c r="B602">
        <v>6</v>
      </c>
      <c r="C602">
        <v>5003</v>
      </c>
      <c r="D602" t="s">
        <v>829</v>
      </c>
      <c r="E602" t="s">
        <v>830</v>
      </c>
      <c r="F602" s="5">
        <v>1574</v>
      </c>
      <c r="G602" s="2" t="s">
        <v>447</v>
      </c>
      <c r="H602" s="2" t="s">
        <v>447</v>
      </c>
      <c r="I602" s="1" t="s">
        <v>447</v>
      </c>
      <c r="J602" t="s">
        <v>447</v>
      </c>
      <c r="K602" t="s">
        <v>447</v>
      </c>
      <c r="L602" t="s">
        <v>447</v>
      </c>
    </row>
    <row r="603" spans="1:12" x14ac:dyDescent="0.6">
      <c r="A603">
        <v>600300</v>
      </c>
      <c r="B603">
        <v>6</v>
      </c>
      <c r="C603">
        <v>300</v>
      </c>
      <c r="D603" t="s">
        <v>891</v>
      </c>
      <c r="E603" t="s">
        <v>892</v>
      </c>
      <c r="F603" s="5">
        <v>1542</v>
      </c>
      <c r="G603" s="2" t="s">
        <v>447</v>
      </c>
      <c r="H603" s="2" t="s">
        <v>447</v>
      </c>
      <c r="I603" s="1" t="s">
        <v>447</v>
      </c>
      <c r="J603" t="s">
        <v>447</v>
      </c>
      <c r="K603" t="s">
        <v>447</v>
      </c>
      <c r="L603" t="s">
        <v>447</v>
      </c>
    </row>
    <row r="604" spans="1:12" x14ac:dyDescent="0.6">
      <c r="A604">
        <v>607619</v>
      </c>
      <c r="B604">
        <v>6</v>
      </c>
      <c r="C604">
        <v>7619</v>
      </c>
      <c r="D604" t="s">
        <v>1119</v>
      </c>
      <c r="E604" t="s">
        <v>1120</v>
      </c>
      <c r="F604" s="5">
        <v>1505</v>
      </c>
      <c r="G604" s="2">
        <v>25</v>
      </c>
      <c r="H604" s="2">
        <v>23</v>
      </c>
      <c r="I604" s="1" t="s">
        <v>447</v>
      </c>
      <c r="J604">
        <v>13</v>
      </c>
      <c r="K604">
        <v>2</v>
      </c>
      <c r="L604" t="s">
        <v>447</v>
      </c>
    </row>
    <row r="605" spans="1:12" x14ac:dyDescent="0.6">
      <c r="A605">
        <v>690157</v>
      </c>
      <c r="B605">
        <v>6</v>
      </c>
      <c r="C605">
        <v>90157</v>
      </c>
      <c r="D605" t="s">
        <v>1279</v>
      </c>
      <c r="E605" t="s">
        <v>1280</v>
      </c>
      <c r="F605" s="5">
        <v>1491</v>
      </c>
      <c r="G605" s="2">
        <v>10</v>
      </c>
      <c r="H605" s="2" t="s">
        <v>447</v>
      </c>
      <c r="I605" s="1" t="s">
        <v>447</v>
      </c>
      <c r="J605">
        <v>2</v>
      </c>
      <c r="K605" t="s">
        <v>447</v>
      </c>
      <c r="L605" t="s">
        <v>447</v>
      </c>
    </row>
    <row r="606" spans="1:12" x14ac:dyDescent="0.6">
      <c r="A606">
        <v>600255</v>
      </c>
      <c r="B606">
        <v>6</v>
      </c>
      <c r="C606">
        <v>255</v>
      </c>
      <c r="D606" t="s">
        <v>871</v>
      </c>
      <c r="E606" t="s">
        <v>872</v>
      </c>
      <c r="F606" s="5">
        <v>1474</v>
      </c>
      <c r="G606" s="2" t="s">
        <v>447</v>
      </c>
      <c r="H606" s="2">
        <v>38</v>
      </c>
      <c r="I606" s="1" t="s">
        <v>447</v>
      </c>
      <c r="J606" t="s">
        <v>447</v>
      </c>
      <c r="K606">
        <v>2</v>
      </c>
      <c r="L606" t="s">
        <v>447</v>
      </c>
    </row>
    <row r="607" spans="1:12" x14ac:dyDescent="0.6">
      <c r="A607">
        <v>690054</v>
      </c>
      <c r="B607">
        <v>6</v>
      </c>
      <c r="C607">
        <v>90054</v>
      </c>
      <c r="D607" t="s">
        <v>1201</v>
      </c>
      <c r="E607" t="s">
        <v>1202</v>
      </c>
      <c r="F607" s="5">
        <v>1400</v>
      </c>
      <c r="G607" s="2">
        <v>57</v>
      </c>
      <c r="H607" s="2" t="s">
        <v>447</v>
      </c>
      <c r="I607" s="1">
        <f>(20.5+20.3)/2</f>
        <v>20.399999999999999</v>
      </c>
      <c r="J607">
        <v>4</v>
      </c>
      <c r="K607" t="s">
        <v>447</v>
      </c>
      <c r="L607">
        <v>52</v>
      </c>
    </row>
    <row r="608" spans="1:12" x14ac:dyDescent="0.6">
      <c r="A608">
        <v>603987</v>
      </c>
      <c r="B608">
        <v>6</v>
      </c>
      <c r="C608">
        <v>3987</v>
      </c>
      <c r="D608" t="s">
        <v>777</v>
      </c>
      <c r="E608" t="s">
        <v>778</v>
      </c>
      <c r="F608" s="5">
        <v>1320</v>
      </c>
      <c r="G608" s="2">
        <v>46.5</v>
      </c>
      <c r="H608" s="2" t="s">
        <v>447</v>
      </c>
      <c r="I608" s="1">
        <f>(19.4+19)/2</f>
        <v>19.2</v>
      </c>
      <c r="J608">
        <v>9</v>
      </c>
      <c r="K608" t="s">
        <v>447</v>
      </c>
      <c r="L608">
        <v>31</v>
      </c>
    </row>
    <row r="609" spans="1:12" x14ac:dyDescent="0.6">
      <c r="A609">
        <v>600348</v>
      </c>
      <c r="B609">
        <v>6</v>
      </c>
      <c r="C609">
        <v>348</v>
      </c>
      <c r="D609" t="s">
        <v>964</v>
      </c>
      <c r="E609" t="s">
        <v>965</v>
      </c>
      <c r="F609" s="5">
        <v>1265</v>
      </c>
      <c r="G609" s="2" t="s">
        <v>447</v>
      </c>
      <c r="H609" s="2" t="s">
        <v>447</v>
      </c>
      <c r="I609" s="1">
        <v>19.38</v>
      </c>
      <c r="J609" t="s">
        <v>447</v>
      </c>
      <c r="K609" t="s">
        <v>447</v>
      </c>
      <c r="L609">
        <v>16</v>
      </c>
    </row>
    <row r="610" spans="1:12" x14ac:dyDescent="0.6">
      <c r="A610">
        <v>600669</v>
      </c>
      <c r="B610">
        <v>6</v>
      </c>
      <c r="C610">
        <v>669</v>
      </c>
      <c r="D610" t="s">
        <v>108</v>
      </c>
      <c r="E610" t="s">
        <v>109</v>
      </c>
      <c r="F610" s="5">
        <v>1264</v>
      </c>
      <c r="G610" s="2" t="s">
        <v>447</v>
      </c>
      <c r="H610" s="2">
        <v>32</v>
      </c>
      <c r="I610" s="1" t="s">
        <v>447</v>
      </c>
      <c r="J610" t="s">
        <v>447</v>
      </c>
      <c r="K610">
        <v>2</v>
      </c>
      <c r="L610" t="s">
        <v>447</v>
      </c>
    </row>
    <row r="611" spans="1:12" x14ac:dyDescent="0.6">
      <c r="A611">
        <v>600493</v>
      </c>
      <c r="B611">
        <v>6</v>
      </c>
      <c r="C611">
        <v>493</v>
      </c>
      <c r="D611" t="s">
        <v>529</v>
      </c>
      <c r="E611" t="s">
        <v>530</v>
      </c>
      <c r="F611" s="5">
        <v>1223</v>
      </c>
      <c r="G611" s="2" t="s">
        <v>447</v>
      </c>
      <c r="H611" s="2" t="s">
        <v>447</v>
      </c>
      <c r="I611" s="1" t="s">
        <v>447</v>
      </c>
      <c r="J611" t="s">
        <v>447</v>
      </c>
      <c r="K611" t="s">
        <v>447</v>
      </c>
      <c r="L611" t="s">
        <v>447</v>
      </c>
    </row>
    <row r="612" spans="1:12" x14ac:dyDescent="0.6">
      <c r="A612">
        <v>690029</v>
      </c>
      <c r="B612">
        <v>6</v>
      </c>
      <c r="C612">
        <v>90029</v>
      </c>
      <c r="D612" t="s">
        <v>1171</v>
      </c>
      <c r="E612" t="s">
        <v>1172</v>
      </c>
      <c r="F612" s="5">
        <v>1178</v>
      </c>
      <c r="G612" s="2">
        <v>18</v>
      </c>
      <c r="H612" s="2" t="s">
        <v>447</v>
      </c>
      <c r="I612" s="1">
        <v>10.8</v>
      </c>
      <c r="J612">
        <v>4</v>
      </c>
      <c r="K612" t="s">
        <v>447</v>
      </c>
      <c r="L612">
        <v>4</v>
      </c>
    </row>
    <row r="613" spans="1:12" x14ac:dyDescent="0.6">
      <c r="A613">
        <v>601867</v>
      </c>
      <c r="B613">
        <v>6</v>
      </c>
      <c r="C613">
        <v>1867</v>
      </c>
      <c r="D613" t="s">
        <v>351</v>
      </c>
      <c r="E613" t="s">
        <v>715</v>
      </c>
      <c r="F613" s="5">
        <v>1082</v>
      </c>
      <c r="G613" s="2" t="s">
        <v>447</v>
      </c>
      <c r="H613" s="2" t="s">
        <v>447</v>
      </c>
      <c r="I613" s="1" t="s">
        <v>447</v>
      </c>
      <c r="J613" t="s">
        <v>447</v>
      </c>
      <c r="K613" t="s">
        <v>447</v>
      </c>
      <c r="L613" t="s">
        <v>447</v>
      </c>
    </row>
    <row r="614" spans="1:12" x14ac:dyDescent="0.6">
      <c r="A614">
        <v>601494</v>
      </c>
      <c r="B614">
        <v>6</v>
      </c>
      <c r="C614">
        <v>1494</v>
      </c>
      <c r="D614" t="s">
        <v>281</v>
      </c>
      <c r="E614" t="s">
        <v>282</v>
      </c>
      <c r="F614" s="5">
        <v>1052</v>
      </c>
      <c r="G614" s="2" t="s">
        <v>447</v>
      </c>
      <c r="H614" s="2" t="s">
        <v>447</v>
      </c>
      <c r="I614" s="1" t="s">
        <v>447</v>
      </c>
      <c r="J614" t="s">
        <v>447</v>
      </c>
      <c r="K614" t="s">
        <v>447</v>
      </c>
      <c r="L614" t="s">
        <v>447</v>
      </c>
    </row>
    <row r="615" spans="1:12" x14ac:dyDescent="0.6">
      <c r="A615">
        <v>603611</v>
      </c>
      <c r="B615">
        <v>6</v>
      </c>
      <c r="C615">
        <v>3611</v>
      </c>
      <c r="D615" t="s">
        <v>763</v>
      </c>
      <c r="E615" t="s">
        <v>764</v>
      </c>
      <c r="F615" s="5">
        <v>1050</v>
      </c>
      <c r="G615" s="2" t="s">
        <v>447</v>
      </c>
      <c r="H615" s="2" t="s">
        <v>447</v>
      </c>
      <c r="I615" s="1" t="s">
        <v>447</v>
      </c>
      <c r="J615" t="s">
        <v>447</v>
      </c>
      <c r="K615" t="s">
        <v>447</v>
      </c>
      <c r="L615" t="s">
        <v>447</v>
      </c>
    </row>
    <row r="616" spans="1:12" x14ac:dyDescent="0.6">
      <c r="A616">
        <v>690168</v>
      </c>
      <c r="B616">
        <v>6</v>
      </c>
      <c r="C616">
        <v>90168</v>
      </c>
      <c r="D616" t="s">
        <v>1291</v>
      </c>
      <c r="E616" t="s">
        <v>1292</v>
      </c>
      <c r="F616" s="5">
        <v>1016</v>
      </c>
      <c r="G616" s="2" t="s">
        <v>447</v>
      </c>
      <c r="H616" s="2" t="s">
        <v>447</v>
      </c>
      <c r="I616" s="1" t="s">
        <v>447</v>
      </c>
      <c r="J616" t="s">
        <v>447</v>
      </c>
      <c r="K616" t="s">
        <v>447</v>
      </c>
      <c r="L616" t="s">
        <v>447</v>
      </c>
    </row>
    <row r="617" spans="1:12" x14ac:dyDescent="0.6">
      <c r="A617">
        <v>690431</v>
      </c>
      <c r="B617">
        <v>6</v>
      </c>
      <c r="C617">
        <v>90431</v>
      </c>
      <c r="D617" t="s">
        <v>52</v>
      </c>
      <c r="E617" t="s">
        <v>53</v>
      </c>
      <c r="F617" s="5">
        <v>980</v>
      </c>
      <c r="G617" s="2" t="s">
        <v>447</v>
      </c>
      <c r="H617" s="2" t="s">
        <v>447</v>
      </c>
      <c r="I617" s="1" t="s">
        <v>447</v>
      </c>
      <c r="J617" t="s">
        <v>447</v>
      </c>
      <c r="K617" t="s">
        <v>447</v>
      </c>
      <c r="L617" t="s">
        <v>447</v>
      </c>
    </row>
    <row r="618" spans="1:12" x14ac:dyDescent="0.6">
      <c r="A618">
        <v>601574</v>
      </c>
      <c r="B618">
        <v>6</v>
      </c>
      <c r="C618">
        <v>1574</v>
      </c>
      <c r="D618" t="s">
        <v>297</v>
      </c>
      <c r="E618" t="s">
        <v>298</v>
      </c>
      <c r="F618" s="5">
        <v>979</v>
      </c>
      <c r="G618" s="2" t="s">
        <v>447</v>
      </c>
      <c r="H618" s="2" t="s">
        <v>447</v>
      </c>
      <c r="I618" s="1" t="s">
        <v>447</v>
      </c>
      <c r="J618" t="s">
        <v>447</v>
      </c>
      <c r="K618" t="s">
        <v>447</v>
      </c>
      <c r="L618" t="s">
        <v>447</v>
      </c>
    </row>
    <row r="619" spans="1:12" x14ac:dyDescent="0.6">
      <c r="A619">
        <v>600229</v>
      </c>
      <c r="B619">
        <v>6</v>
      </c>
      <c r="C619">
        <v>229</v>
      </c>
      <c r="D619" t="s">
        <v>427</v>
      </c>
      <c r="E619" t="s">
        <v>428</v>
      </c>
      <c r="F619" s="5">
        <v>856</v>
      </c>
      <c r="G619" s="2" t="s">
        <v>447</v>
      </c>
      <c r="H619" s="2">
        <v>50</v>
      </c>
      <c r="I619" s="1">
        <v>19.399999999999999</v>
      </c>
      <c r="J619" t="s">
        <v>447</v>
      </c>
      <c r="K619">
        <v>1</v>
      </c>
      <c r="L619">
        <v>1</v>
      </c>
    </row>
    <row r="620" spans="1:12" x14ac:dyDescent="0.6">
      <c r="A620">
        <v>602503</v>
      </c>
      <c r="B620">
        <v>6</v>
      </c>
      <c r="C620">
        <v>2503</v>
      </c>
      <c r="D620" t="s">
        <v>742</v>
      </c>
      <c r="E620" t="s">
        <v>743</v>
      </c>
      <c r="F620" s="5">
        <v>841</v>
      </c>
      <c r="G620" s="2" t="s">
        <v>447</v>
      </c>
      <c r="H620" s="2" t="s">
        <v>447</v>
      </c>
      <c r="I620" s="1" t="s">
        <v>447</v>
      </c>
      <c r="J620" t="s">
        <v>447</v>
      </c>
      <c r="K620" t="s">
        <v>447</v>
      </c>
      <c r="L620" t="s">
        <v>447</v>
      </c>
    </row>
    <row r="621" spans="1:12" x14ac:dyDescent="0.6">
      <c r="A621">
        <v>690018</v>
      </c>
      <c r="B621">
        <v>6</v>
      </c>
      <c r="C621">
        <v>90018</v>
      </c>
      <c r="D621" t="s">
        <v>1163</v>
      </c>
      <c r="E621" t="s">
        <v>1164</v>
      </c>
      <c r="F621" s="5">
        <v>796</v>
      </c>
      <c r="G621" s="2" t="s">
        <v>447</v>
      </c>
      <c r="H621" s="2" t="s">
        <v>447</v>
      </c>
      <c r="I621" s="1" t="s">
        <v>447</v>
      </c>
      <c r="J621" t="s">
        <v>447</v>
      </c>
      <c r="K621" t="s">
        <v>447</v>
      </c>
      <c r="L621" t="s">
        <v>447</v>
      </c>
    </row>
    <row r="622" spans="1:12" x14ac:dyDescent="0.6">
      <c r="A622">
        <v>600444</v>
      </c>
      <c r="B622">
        <v>6</v>
      </c>
      <c r="C622">
        <v>444</v>
      </c>
      <c r="D622" t="s">
        <v>453</v>
      </c>
      <c r="E622" t="s">
        <v>454</v>
      </c>
      <c r="F622" s="5">
        <v>744</v>
      </c>
      <c r="G622" s="2" t="s">
        <v>447</v>
      </c>
      <c r="H622" s="2" t="s">
        <v>447</v>
      </c>
      <c r="I622" s="1" t="s">
        <v>447</v>
      </c>
      <c r="J622" t="s">
        <v>447</v>
      </c>
      <c r="K622" t="s">
        <v>447</v>
      </c>
      <c r="L622" t="s">
        <v>447</v>
      </c>
    </row>
    <row r="623" spans="1:12" x14ac:dyDescent="0.6">
      <c r="A623">
        <v>600447</v>
      </c>
      <c r="B623">
        <v>6</v>
      </c>
      <c r="C623">
        <v>447</v>
      </c>
      <c r="D623" t="s">
        <v>455</v>
      </c>
      <c r="E623" t="s">
        <v>456</v>
      </c>
      <c r="F623" s="5">
        <v>709</v>
      </c>
      <c r="G623" s="2" t="s">
        <v>447</v>
      </c>
      <c r="H623" s="2" t="s">
        <v>447</v>
      </c>
      <c r="I623" s="1" t="s">
        <v>447</v>
      </c>
      <c r="J623" t="s">
        <v>447</v>
      </c>
      <c r="K623" t="s">
        <v>447</v>
      </c>
      <c r="L623" t="s">
        <v>447</v>
      </c>
    </row>
    <row r="624" spans="1:12" x14ac:dyDescent="0.6">
      <c r="A624">
        <v>600752</v>
      </c>
      <c r="B624">
        <v>6</v>
      </c>
      <c r="C624">
        <v>752</v>
      </c>
      <c r="D624" t="s">
        <v>122</v>
      </c>
      <c r="E624" t="s">
        <v>123</v>
      </c>
      <c r="F624" s="5">
        <v>640</v>
      </c>
      <c r="G624" s="2" t="s">
        <v>447</v>
      </c>
      <c r="H624" s="2">
        <v>32</v>
      </c>
      <c r="I624" s="1">
        <f>(21+23.3+21)/3</f>
        <v>21.766666666666666</v>
      </c>
      <c r="J624" t="s">
        <v>447</v>
      </c>
      <c r="K624">
        <v>2</v>
      </c>
      <c r="L624">
        <v>1</v>
      </c>
    </row>
    <row r="625" spans="1:12" x14ac:dyDescent="0.6">
      <c r="A625">
        <v>601747</v>
      </c>
      <c r="B625">
        <v>6</v>
      </c>
      <c r="C625">
        <v>1747</v>
      </c>
      <c r="D625" t="s">
        <v>341</v>
      </c>
      <c r="E625" t="s">
        <v>342</v>
      </c>
      <c r="F625" s="5">
        <v>638</v>
      </c>
      <c r="G625" s="2" t="s">
        <v>447</v>
      </c>
      <c r="H625" s="2" t="s">
        <v>447</v>
      </c>
      <c r="I625" s="1" t="s">
        <v>447</v>
      </c>
      <c r="J625" t="s">
        <v>447</v>
      </c>
      <c r="K625" t="s">
        <v>447</v>
      </c>
      <c r="L625" t="s">
        <v>447</v>
      </c>
    </row>
    <row r="626" spans="1:12" x14ac:dyDescent="0.6">
      <c r="A626">
        <v>602535</v>
      </c>
      <c r="B626">
        <v>6</v>
      </c>
      <c r="C626">
        <v>2535</v>
      </c>
      <c r="D626" t="s">
        <v>750</v>
      </c>
      <c r="E626" t="s">
        <v>751</v>
      </c>
      <c r="F626" s="5">
        <v>605</v>
      </c>
      <c r="G626" s="2" t="s">
        <v>447</v>
      </c>
      <c r="H626" s="2">
        <v>44</v>
      </c>
      <c r="I626" s="1">
        <v>14</v>
      </c>
      <c r="J626" t="s">
        <v>447</v>
      </c>
      <c r="K626">
        <v>2</v>
      </c>
      <c r="L626">
        <v>1</v>
      </c>
    </row>
    <row r="627" spans="1:12" x14ac:dyDescent="0.6">
      <c r="A627">
        <v>604961</v>
      </c>
      <c r="B627">
        <v>6</v>
      </c>
      <c r="C627">
        <v>4961</v>
      </c>
      <c r="D627" t="s">
        <v>825</v>
      </c>
      <c r="E627" t="s">
        <v>826</v>
      </c>
      <c r="F627" s="5">
        <v>557</v>
      </c>
      <c r="G627" s="2" t="s">
        <v>447</v>
      </c>
      <c r="H627" s="2" t="s">
        <v>447</v>
      </c>
      <c r="I627" s="1">
        <v>19.38</v>
      </c>
      <c r="J627" t="s">
        <v>447</v>
      </c>
      <c r="K627" t="s">
        <v>447</v>
      </c>
      <c r="L627">
        <v>16</v>
      </c>
    </row>
    <row r="628" spans="1:12" x14ac:dyDescent="0.6">
      <c r="A628">
        <v>604228</v>
      </c>
      <c r="B628">
        <v>6</v>
      </c>
      <c r="C628">
        <v>4228</v>
      </c>
      <c r="D628" t="s">
        <v>781</v>
      </c>
      <c r="E628" t="s">
        <v>782</v>
      </c>
      <c r="F628" s="5">
        <v>523</v>
      </c>
      <c r="G628" s="2" t="s">
        <v>447</v>
      </c>
      <c r="H628" s="2" t="s">
        <v>447</v>
      </c>
      <c r="I628" s="1" t="s">
        <v>447</v>
      </c>
      <c r="J628" t="s">
        <v>447</v>
      </c>
      <c r="K628" t="s">
        <v>447</v>
      </c>
      <c r="L628" t="s">
        <v>447</v>
      </c>
    </row>
    <row r="629" spans="1:12" x14ac:dyDescent="0.6">
      <c r="A629">
        <v>690058</v>
      </c>
      <c r="B629">
        <v>6</v>
      </c>
      <c r="C629">
        <v>90058</v>
      </c>
      <c r="D629" t="s">
        <v>1205</v>
      </c>
      <c r="E629" t="s">
        <v>1206</v>
      </c>
      <c r="F629" s="5">
        <v>513</v>
      </c>
      <c r="G629" s="2" t="s">
        <v>447</v>
      </c>
      <c r="H629" s="2" t="s">
        <v>447</v>
      </c>
      <c r="I629" s="1" t="s">
        <v>447</v>
      </c>
      <c r="J629" t="s">
        <v>447</v>
      </c>
      <c r="K629" t="s">
        <v>447</v>
      </c>
      <c r="L629" t="s">
        <v>447</v>
      </c>
    </row>
    <row r="630" spans="1:12" x14ac:dyDescent="0.6">
      <c r="A630">
        <v>604712</v>
      </c>
      <c r="B630">
        <v>6</v>
      </c>
      <c r="C630">
        <v>4712</v>
      </c>
      <c r="D630" t="s">
        <v>817</v>
      </c>
      <c r="E630" t="s">
        <v>818</v>
      </c>
      <c r="F630" s="5">
        <v>512</v>
      </c>
      <c r="G630" s="2" t="s">
        <v>447</v>
      </c>
      <c r="H630" s="2">
        <v>45</v>
      </c>
      <c r="I630" s="1" t="s">
        <v>447</v>
      </c>
      <c r="J630" t="s">
        <v>447</v>
      </c>
      <c r="K630">
        <v>2</v>
      </c>
      <c r="L630" t="s">
        <v>447</v>
      </c>
    </row>
    <row r="631" spans="1:12" x14ac:dyDescent="0.6">
      <c r="A631">
        <v>690305</v>
      </c>
      <c r="B631">
        <v>6</v>
      </c>
      <c r="C631">
        <v>90305</v>
      </c>
      <c r="D631" t="s">
        <v>1387</v>
      </c>
      <c r="E631" t="s">
        <v>1388</v>
      </c>
      <c r="F631" s="5">
        <v>506</v>
      </c>
      <c r="G631" s="2" t="s">
        <v>447</v>
      </c>
      <c r="H631" s="2" t="s">
        <v>447</v>
      </c>
      <c r="I631" s="1" t="s">
        <v>447</v>
      </c>
      <c r="J631" t="s">
        <v>447</v>
      </c>
      <c r="K631" t="s">
        <v>447</v>
      </c>
      <c r="L631" t="s">
        <v>447</v>
      </c>
    </row>
    <row r="632" spans="1:12" x14ac:dyDescent="0.6">
      <c r="A632">
        <v>604461</v>
      </c>
      <c r="B632">
        <v>6</v>
      </c>
      <c r="C632">
        <v>4461</v>
      </c>
      <c r="D632" t="s">
        <v>799</v>
      </c>
      <c r="E632" t="s">
        <v>800</v>
      </c>
      <c r="F632" s="5">
        <v>393</v>
      </c>
      <c r="G632" s="2" t="s">
        <v>447</v>
      </c>
      <c r="H632" s="2" t="s">
        <v>447</v>
      </c>
      <c r="I632" s="1">
        <v>19.38</v>
      </c>
      <c r="J632" t="s">
        <v>447</v>
      </c>
      <c r="K632" t="s">
        <v>447</v>
      </c>
      <c r="L632">
        <v>16</v>
      </c>
    </row>
    <row r="633" spans="1:12" x14ac:dyDescent="0.6">
      <c r="A633">
        <v>607327</v>
      </c>
      <c r="B633">
        <v>6</v>
      </c>
      <c r="C633">
        <v>7327</v>
      </c>
      <c r="D633" t="s">
        <v>1115</v>
      </c>
      <c r="E633" t="s">
        <v>1116</v>
      </c>
      <c r="F633" s="5">
        <v>331</v>
      </c>
      <c r="G633" s="2" t="s">
        <v>447</v>
      </c>
      <c r="H633" s="2" t="s">
        <v>447</v>
      </c>
      <c r="I633" s="1" t="s">
        <v>447</v>
      </c>
      <c r="J633" t="s">
        <v>447</v>
      </c>
      <c r="K633" t="s">
        <v>447</v>
      </c>
      <c r="L633" t="s">
        <v>447</v>
      </c>
    </row>
    <row r="634" spans="1:12" x14ac:dyDescent="0.6">
      <c r="A634">
        <v>690338</v>
      </c>
      <c r="B634">
        <v>6</v>
      </c>
      <c r="C634">
        <v>90338</v>
      </c>
      <c r="D634" t="s">
        <v>0</v>
      </c>
      <c r="E634" t="s">
        <v>1</v>
      </c>
      <c r="F634" s="5">
        <v>331</v>
      </c>
      <c r="G634" s="2">
        <v>57</v>
      </c>
      <c r="H634" s="2" t="s">
        <v>447</v>
      </c>
      <c r="I634" s="1">
        <f>(20.5+20.3)/2</f>
        <v>20.399999999999999</v>
      </c>
      <c r="J634">
        <v>4</v>
      </c>
      <c r="K634" t="s">
        <v>447</v>
      </c>
      <c r="L634">
        <v>52</v>
      </c>
    </row>
    <row r="635" spans="1:12" x14ac:dyDescent="0.6">
      <c r="A635">
        <v>604238</v>
      </c>
      <c r="B635">
        <v>6</v>
      </c>
      <c r="C635">
        <v>4238</v>
      </c>
      <c r="D635" t="s">
        <v>785</v>
      </c>
      <c r="E635" t="s">
        <v>786</v>
      </c>
      <c r="F635" s="5">
        <v>289</v>
      </c>
      <c r="G635" s="2">
        <v>49.4</v>
      </c>
      <c r="H635" s="2">
        <v>33</v>
      </c>
      <c r="I635" s="1">
        <f>(16.5+16.6)/2</f>
        <v>16.55</v>
      </c>
      <c r="J635">
        <v>9</v>
      </c>
      <c r="K635">
        <v>2</v>
      </c>
      <c r="L635">
        <v>31</v>
      </c>
    </row>
    <row r="636" spans="1:12" x14ac:dyDescent="0.6">
      <c r="A636">
        <v>600878</v>
      </c>
      <c r="B636">
        <v>6</v>
      </c>
      <c r="C636">
        <v>878</v>
      </c>
      <c r="D636" t="s">
        <v>138</v>
      </c>
      <c r="E636" t="s">
        <v>139</v>
      </c>
      <c r="F636" s="5">
        <v>241</v>
      </c>
      <c r="G636" s="2" t="s">
        <v>447</v>
      </c>
      <c r="H636" s="2">
        <v>32</v>
      </c>
      <c r="I636" s="1">
        <v>21</v>
      </c>
      <c r="J636" t="s">
        <v>447</v>
      </c>
      <c r="K636">
        <v>2</v>
      </c>
      <c r="L636">
        <v>1</v>
      </c>
    </row>
    <row r="637" spans="1:12" x14ac:dyDescent="0.6">
      <c r="A637">
        <v>690420</v>
      </c>
      <c r="B637">
        <v>6</v>
      </c>
      <c r="C637">
        <v>90420</v>
      </c>
      <c r="D637" t="s">
        <v>46</v>
      </c>
      <c r="E637" t="s">
        <v>47</v>
      </c>
      <c r="F637" s="5">
        <v>240</v>
      </c>
      <c r="G637" s="2">
        <v>40</v>
      </c>
      <c r="H637" s="2" t="s">
        <v>447</v>
      </c>
      <c r="I637" s="1">
        <v>17.100000000000001</v>
      </c>
      <c r="J637">
        <v>7</v>
      </c>
      <c r="K637" t="s">
        <v>447</v>
      </c>
      <c r="L637">
        <v>16</v>
      </c>
    </row>
    <row r="638" spans="1:12" x14ac:dyDescent="0.6">
      <c r="A638">
        <v>600736</v>
      </c>
      <c r="B638">
        <v>6</v>
      </c>
      <c r="C638">
        <v>736</v>
      </c>
      <c r="D638" t="s">
        <v>120</v>
      </c>
      <c r="E638" t="s">
        <v>121</v>
      </c>
      <c r="F638" s="5">
        <v>236</v>
      </c>
      <c r="G638" s="2" t="s">
        <v>447</v>
      </c>
      <c r="H638" s="2">
        <v>32</v>
      </c>
      <c r="I638" s="1">
        <v>20</v>
      </c>
      <c r="J638" t="s">
        <v>447</v>
      </c>
      <c r="K638">
        <v>2</v>
      </c>
      <c r="L638">
        <v>1</v>
      </c>
    </row>
    <row r="639" spans="1:12" x14ac:dyDescent="0.6">
      <c r="A639">
        <v>600220</v>
      </c>
      <c r="B639">
        <v>6</v>
      </c>
      <c r="C639">
        <v>220</v>
      </c>
      <c r="D639" t="s">
        <v>417</v>
      </c>
      <c r="E639" t="s">
        <v>418</v>
      </c>
      <c r="F639" s="5">
        <v>228</v>
      </c>
      <c r="G639" s="2" t="s">
        <v>447</v>
      </c>
      <c r="H639" s="2" t="s">
        <v>447</v>
      </c>
      <c r="I639" s="1" t="s">
        <v>447</v>
      </c>
      <c r="J639" t="s">
        <v>447</v>
      </c>
      <c r="K639" t="s">
        <v>447</v>
      </c>
      <c r="L639" t="s">
        <v>447</v>
      </c>
    </row>
    <row r="640" spans="1:12" x14ac:dyDescent="0.6">
      <c r="A640">
        <v>600233</v>
      </c>
      <c r="B640">
        <v>6</v>
      </c>
      <c r="C640">
        <v>233</v>
      </c>
      <c r="D640" t="s">
        <v>435</v>
      </c>
      <c r="E640" t="s">
        <v>436</v>
      </c>
      <c r="F640" s="5">
        <v>210</v>
      </c>
      <c r="G640" s="2" t="s">
        <v>447</v>
      </c>
      <c r="H640" s="2" t="s">
        <v>447</v>
      </c>
      <c r="I640" s="1" t="s">
        <v>447</v>
      </c>
      <c r="J640" t="s">
        <v>447</v>
      </c>
      <c r="K640" t="s">
        <v>447</v>
      </c>
      <c r="L640" t="s">
        <v>447</v>
      </c>
    </row>
    <row r="641" spans="1:12" x14ac:dyDescent="0.6">
      <c r="A641">
        <v>600912</v>
      </c>
      <c r="B641">
        <v>6</v>
      </c>
      <c r="C641">
        <v>912</v>
      </c>
      <c r="D641" t="s">
        <v>150</v>
      </c>
      <c r="E641" t="s">
        <v>151</v>
      </c>
      <c r="F641" s="5">
        <v>206</v>
      </c>
      <c r="G641" s="2" t="s">
        <v>447</v>
      </c>
      <c r="H641" s="2">
        <v>32</v>
      </c>
      <c r="I641" s="1">
        <v>24.7</v>
      </c>
      <c r="J641" t="s">
        <v>447</v>
      </c>
      <c r="K641">
        <v>2</v>
      </c>
      <c r="L641">
        <v>1</v>
      </c>
    </row>
    <row r="642" spans="1:12" x14ac:dyDescent="0.6">
      <c r="A642">
        <v>690318</v>
      </c>
      <c r="B642">
        <v>6</v>
      </c>
      <c r="C642">
        <v>90318</v>
      </c>
      <c r="D642" t="s">
        <v>1395</v>
      </c>
      <c r="E642" t="s">
        <v>1396</v>
      </c>
      <c r="F642" s="5">
        <v>194</v>
      </c>
      <c r="G642" s="2" t="s">
        <v>447</v>
      </c>
      <c r="H642" s="2" t="s">
        <v>447</v>
      </c>
      <c r="I642" s="1" t="s">
        <v>447</v>
      </c>
      <c r="J642" t="s">
        <v>447</v>
      </c>
      <c r="K642" t="s">
        <v>447</v>
      </c>
      <c r="L642" t="s">
        <v>447</v>
      </c>
    </row>
    <row r="643" spans="1:12" x14ac:dyDescent="0.6">
      <c r="A643">
        <v>600662</v>
      </c>
      <c r="B643">
        <v>6</v>
      </c>
      <c r="C643">
        <v>662</v>
      </c>
      <c r="D643" t="s">
        <v>104</v>
      </c>
      <c r="E643" t="s">
        <v>105</v>
      </c>
      <c r="F643" s="5">
        <v>154</v>
      </c>
      <c r="G643" s="2" t="s">
        <v>447</v>
      </c>
      <c r="H643" s="2" t="s">
        <v>447</v>
      </c>
      <c r="I643" s="1" t="s">
        <v>447</v>
      </c>
      <c r="J643" t="s">
        <v>447</v>
      </c>
      <c r="K643" t="s">
        <v>447</v>
      </c>
      <c r="L643" t="s">
        <v>447</v>
      </c>
    </row>
    <row r="644" spans="1:12" x14ac:dyDescent="0.6">
      <c r="A644">
        <v>603671</v>
      </c>
      <c r="B644">
        <v>6</v>
      </c>
      <c r="C644">
        <v>3671</v>
      </c>
      <c r="D644" t="s">
        <v>765</v>
      </c>
      <c r="E644" t="s">
        <v>766</v>
      </c>
      <c r="F644" s="5">
        <v>118</v>
      </c>
      <c r="G644" s="2" t="s">
        <v>447</v>
      </c>
      <c r="H644" s="2" t="s">
        <v>447</v>
      </c>
      <c r="I644" s="1" t="s">
        <v>447</v>
      </c>
      <c r="J644" t="s">
        <v>447</v>
      </c>
      <c r="K644" t="s">
        <v>447</v>
      </c>
      <c r="L644" t="s">
        <v>447</v>
      </c>
    </row>
    <row r="645" spans="1:12" x14ac:dyDescent="0.6">
      <c r="A645">
        <v>601072</v>
      </c>
      <c r="B645">
        <v>6</v>
      </c>
      <c r="C645">
        <v>1072</v>
      </c>
      <c r="D645" t="s">
        <v>177</v>
      </c>
      <c r="E645" t="s">
        <v>178</v>
      </c>
      <c r="F645" s="5">
        <v>115</v>
      </c>
      <c r="G645" s="2" t="s">
        <v>447</v>
      </c>
      <c r="H645" s="2" t="s">
        <v>447</v>
      </c>
      <c r="I645" s="1">
        <v>23.6</v>
      </c>
      <c r="J645" t="s">
        <v>447</v>
      </c>
      <c r="K645" t="s">
        <v>447</v>
      </c>
      <c r="L645">
        <v>1</v>
      </c>
    </row>
    <row r="646" spans="1:12" x14ac:dyDescent="0.6">
      <c r="A646">
        <v>600880</v>
      </c>
      <c r="B646">
        <v>6</v>
      </c>
      <c r="C646">
        <v>880</v>
      </c>
      <c r="D646" t="s">
        <v>140</v>
      </c>
      <c r="E646" t="s">
        <v>141</v>
      </c>
      <c r="F646" s="5">
        <v>113</v>
      </c>
      <c r="G646" s="2" t="s">
        <v>447</v>
      </c>
      <c r="H646" s="2">
        <v>32</v>
      </c>
      <c r="I646" s="1">
        <v>22</v>
      </c>
      <c r="J646" t="s">
        <v>447</v>
      </c>
      <c r="K646">
        <v>2</v>
      </c>
      <c r="L646">
        <v>1</v>
      </c>
    </row>
    <row r="647" spans="1:12" x14ac:dyDescent="0.6">
      <c r="A647">
        <v>604540</v>
      </c>
      <c r="B647">
        <v>6</v>
      </c>
      <c r="C647">
        <v>4540</v>
      </c>
      <c r="D647" t="s">
        <v>805</v>
      </c>
      <c r="E647" t="s">
        <v>806</v>
      </c>
      <c r="F647" s="5">
        <v>109</v>
      </c>
      <c r="G647" s="2" t="s">
        <v>447</v>
      </c>
      <c r="H647" s="2" t="s">
        <v>447</v>
      </c>
      <c r="I647" s="1" t="s">
        <v>447</v>
      </c>
      <c r="J647" t="s">
        <v>447</v>
      </c>
      <c r="K647" t="s">
        <v>447</v>
      </c>
      <c r="L647" t="s">
        <v>447</v>
      </c>
    </row>
    <row r="648" spans="1:12" x14ac:dyDescent="0.6">
      <c r="A648">
        <v>600477</v>
      </c>
      <c r="B648">
        <v>6</v>
      </c>
      <c r="C648">
        <v>477</v>
      </c>
      <c r="D648" t="s">
        <v>498</v>
      </c>
      <c r="E648" t="s">
        <v>499</v>
      </c>
      <c r="F648" s="5">
        <v>106</v>
      </c>
      <c r="G648" s="2">
        <v>41.3</v>
      </c>
      <c r="H648" s="2" t="s">
        <v>447</v>
      </c>
      <c r="I648" s="1">
        <v>19</v>
      </c>
      <c r="J648">
        <v>1</v>
      </c>
      <c r="K648" t="s">
        <v>447</v>
      </c>
      <c r="L648">
        <v>1</v>
      </c>
    </row>
    <row r="649" spans="1:12" x14ac:dyDescent="0.6">
      <c r="A649">
        <v>602065</v>
      </c>
      <c r="B649">
        <v>6</v>
      </c>
      <c r="C649">
        <v>2065</v>
      </c>
      <c r="D649" t="s">
        <v>736</v>
      </c>
      <c r="E649" t="s">
        <v>737</v>
      </c>
      <c r="F649" s="5">
        <v>89</v>
      </c>
      <c r="G649" s="2" t="s">
        <v>447</v>
      </c>
      <c r="H649" s="2">
        <v>45</v>
      </c>
      <c r="I649" s="1">
        <v>16.2</v>
      </c>
      <c r="J649" t="s">
        <v>447</v>
      </c>
      <c r="K649">
        <v>2</v>
      </c>
      <c r="L649">
        <v>1</v>
      </c>
    </row>
    <row r="650" spans="1:12" x14ac:dyDescent="0.6">
      <c r="A650">
        <v>690274</v>
      </c>
      <c r="B650">
        <v>6</v>
      </c>
      <c r="C650">
        <v>90274</v>
      </c>
      <c r="D650" t="s">
        <v>1367</v>
      </c>
      <c r="E650" t="s">
        <v>1368</v>
      </c>
      <c r="F650" s="5">
        <v>88</v>
      </c>
      <c r="G650" s="2" t="s">
        <v>447</v>
      </c>
      <c r="H650" s="2" t="s">
        <v>447</v>
      </c>
      <c r="I650" s="1" t="s">
        <v>447</v>
      </c>
      <c r="J650" t="s">
        <v>447</v>
      </c>
      <c r="K650" t="s">
        <v>447</v>
      </c>
      <c r="L650" t="s">
        <v>447</v>
      </c>
    </row>
    <row r="651" spans="1:12" x14ac:dyDescent="0.6">
      <c r="A651">
        <v>603915</v>
      </c>
      <c r="B651">
        <v>6</v>
      </c>
      <c r="C651">
        <v>3915</v>
      </c>
      <c r="D651" t="s">
        <v>771</v>
      </c>
      <c r="E651" t="s">
        <v>772</v>
      </c>
      <c r="F651" s="5">
        <v>72</v>
      </c>
      <c r="G651" s="2" t="s">
        <v>447</v>
      </c>
      <c r="H651" s="2" t="s">
        <v>447</v>
      </c>
      <c r="I651" s="1" t="s">
        <v>447</v>
      </c>
      <c r="J651" t="s">
        <v>447</v>
      </c>
      <c r="K651" t="s">
        <v>447</v>
      </c>
      <c r="L651" t="s">
        <v>447</v>
      </c>
    </row>
    <row r="652" spans="1:12" x14ac:dyDescent="0.6">
      <c r="A652">
        <v>690370</v>
      </c>
      <c r="B652">
        <v>6</v>
      </c>
      <c r="C652">
        <v>90370</v>
      </c>
      <c r="D652" t="s">
        <v>14</v>
      </c>
      <c r="E652" t="s">
        <v>15</v>
      </c>
      <c r="F652" s="5">
        <v>59</v>
      </c>
      <c r="G652" s="2" t="s">
        <v>447</v>
      </c>
      <c r="H652" s="2" t="s">
        <v>447</v>
      </c>
      <c r="I652" s="1" t="s">
        <v>447</v>
      </c>
      <c r="J652" t="s">
        <v>447</v>
      </c>
      <c r="K652" t="s">
        <v>447</v>
      </c>
      <c r="L652" t="s">
        <v>447</v>
      </c>
    </row>
    <row r="653" spans="1:12" x14ac:dyDescent="0.6">
      <c r="A653">
        <v>601042</v>
      </c>
      <c r="B653">
        <v>6</v>
      </c>
      <c r="C653">
        <v>1042</v>
      </c>
      <c r="D653" t="s">
        <v>165</v>
      </c>
      <c r="E653" t="s">
        <v>166</v>
      </c>
      <c r="F653" s="5">
        <v>54</v>
      </c>
      <c r="G653" s="2" t="s">
        <v>447</v>
      </c>
      <c r="H653" s="2" t="s">
        <v>447</v>
      </c>
      <c r="I653" s="1" t="s">
        <v>447</v>
      </c>
      <c r="J653" t="s">
        <v>447</v>
      </c>
      <c r="K653" t="s">
        <v>447</v>
      </c>
      <c r="L653" t="s">
        <v>447</v>
      </c>
    </row>
    <row r="654" spans="1:12" x14ac:dyDescent="0.6">
      <c r="A654">
        <v>602005</v>
      </c>
      <c r="B654">
        <v>6</v>
      </c>
      <c r="C654">
        <v>2005</v>
      </c>
      <c r="D654" t="s">
        <v>728</v>
      </c>
      <c r="E654" t="s">
        <v>729</v>
      </c>
      <c r="F654" s="5">
        <v>51</v>
      </c>
      <c r="G654" s="2" t="s">
        <v>447</v>
      </c>
      <c r="H654" s="2" t="s">
        <v>447</v>
      </c>
      <c r="I654" s="1" t="s">
        <v>447</v>
      </c>
      <c r="J654" t="s">
        <v>447</v>
      </c>
      <c r="K654" t="s">
        <v>447</v>
      </c>
      <c r="L654" t="s">
        <v>447</v>
      </c>
    </row>
    <row r="655" spans="1:12" x14ac:dyDescent="0.6">
      <c r="A655">
        <v>603672</v>
      </c>
      <c r="B655">
        <v>6</v>
      </c>
      <c r="C655">
        <v>3672</v>
      </c>
      <c r="D655" t="s">
        <v>767</v>
      </c>
      <c r="E655" t="s">
        <v>768</v>
      </c>
      <c r="F655" s="5">
        <v>49</v>
      </c>
      <c r="G655" s="2" t="s">
        <v>447</v>
      </c>
      <c r="H655" s="2">
        <v>41</v>
      </c>
      <c r="I655" s="1">
        <v>18.600000000000001</v>
      </c>
      <c r="J655" t="s">
        <v>447</v>
      </c>
      <c r="K655">
        <v>1</v>
      </c>
      <c r="L655">
        <v>1</v>
      </c>
    </row>
    <row r="656" spans="1:12" x14ac:dyDescent="0.6">
      <c r="A656">
        <v>607039</v>
      </c>
      <c r="B656">
        <v>6</v>
      </c>
      <c r="C656">
        <v>7039</v>
      </c>
      <c r="D656" t="s">
        <v>1105</v>
      </c>
      <c r="E656" t="s">
        <v>1106</v>
      </c>
      <c r="F656" s="5">
        <v>42</v>
      </c>
      <c r="G656" s="2" t="s">
        <v>447</v>
      </c>
      <c r="H656" s="2" t="s">
        <v>447</v>
      </c>
      <c r="I656" s="1" t="s">
        <v>447</v>
      </c>
      <c r="J656" t="s">
        <v>447</v>
      </c>
      <c r="K656" t="s">
        <v>447</v>
      </c>
      <c r="L656" t="s">
        <v>447</v>
      </c>
    </row>
    <row r="657" spans="1:12" x14ac:dyDescent="0.6">
      <c r="A657">
        <v>690013</v>
      </c>
      <c r="B657">
        <v>6</v>
      </c>
      <c r="C657">
        <v>90013</v>
      </c>
      <c r="D657" t="s">
        <v>1159</v>
      </c>
      <c r="E657" t="s">
        <v>1160</v>
      </c>
      <c r="F657" s="5">
        <v>39</v>
      </c>
      <c r="G657" s="2" t="s">
        <v>447</v>
      </c>
      <c r="H657" s="2" t="s">
        <v>447</v>
      </c>
      <c r="I657" s="1" t="s">
        <v>447</v>
      </c>
      <c r="J657" t="s">
        <v>447</v>
      </c>
      <c r="K657" t="s">
        <v>447</v>
      </c>
      <c r="L657" t="s">
        <v>447</v>
      </c>
    </row>
    <row r="658" spans="1:12" x14ac:dyDescent="0.6">
      <c r="A658">
        <v>600230</v>
      </c>
      <c r="B658">
        <v>6</v>
      </c>
      <c r="C658">
        <v>230</v>
      </c>
      <c r="D658" t="s">
        <v>429</v>
      </c>
      <c r="E658" t="s">
        <v>430</v>
      </c>
      <c r="F658" s="5">
        <v>38</v>
      </c>
      <c r="G658" s="2" t="s">
        <v>447</v>
      </c>
      <c r="H658" s="2" t="s">
        <v>447</v>
      </c>
      <c r="I658" s="1" t="s">
        <v>447</v>
      </c>
      <c r="J658" t="s">
        <v>447</v>
      </c>
      <c r="K658" t="s">
        <v>447</v>
      </c>
      <c r="L658" t="s">
        <v>447</v>
      </c>
    </row>
    <row r="659" spans="1:12" x14ac:dyDescent="0.6">
      <c r="A659">
        <v>600670</v>
      </c>
      <c r="B659">
        <v>6</v>
      </c>
      <c r="C659">
        <v>670</v>
      </c>
      <c r="D659" t="s">
        <v>110</v>
      </c>
      <c r="E659" t="s">
        <v>111</v>
      </c>
      <c r="F659" s="5">
        <v>36</v>
      </c>
      <c r="G659" s="2" t="s">
        <v>447</v>
      </c>
      <c r="H659" s="2" t="s">
        <v>447</v>
      </c>
      <c r="I659" s="1" t="s">
        <v>447</v>
      </c>
      <c r="J659" t="s">
        <v>447</v>
      </c>
      <c r="K659" t="s">
        <v>447</v>
      </c>
      <c r="L659" t="s">
        <v>447</v>
      </c>
    </row>
    <row r="660" spans="1:12" x14ac:dyDescent="0.6">
      <c r="A660">
        <v>604255</v>
      </c>
      <c r="B660">
        <v>6</v>
      </c>
      <c r="C660">
        <v>4255</v>
      </c>
      <c r="D660" t="s">
        <v>793</v>
      </c>
      <c r="F660" s="5">
        <v>34</v>
      </c>
      <c r="G660" s="2">
        <v>61</v>
      </c>
      <c r="H660" s="2" t="s">
        <v>447</v>
      </c>
      <c r="I660" s="1">
        <v>17.2</v>
      </c>
      <c r="J660">
        <v>9</v>
      </c>
      <c r="K660" t="s">
        <v>447</v>
      </c>
      <c r="L660">
        <v>9</v>
      </c>
    </row>
    <row r="661" spans="1:12" x14ac:dyDescent="0.6">
      <c r="A661">
        <v>602067</v>
      </c>
      <c r="B661">
        <v>6</v>
      </c>
      <c r="C661">
        <v>2067</v>
      </c>
      <c r="D661" t="s">
        <v>738</v>
      </c>
      <c r="E661" t="s">
        <v>739</v>
      </c>
      <c r="F661" s="5">
        <v>32</v>
      </c>
      <c r="G661" s="2" t="s">
        <v>447</v>
      </c>
      <c r="H661" s="2" t="s">
        <v>447</v>
      </c>
      <c r="I661" s="1">
        <v>16.2</v>
      </c>
      <c r="J661" t="s">
        <v>447</v>
      </c>
      <c r="K661" t="s">
        <v>447</v>
      </c>
      <c r="L661">
        <v>1</v>
      </c>
    </row>
    <row r="662" spans="1:12" x14ac:dyDescent="0.6">
      <c r="A662">
        <v>600917</v>
      </c>
      <c r="B662">
        <v>6</v>
      </c>
      <c r="C662">
        <v>917</v>
      </c>
      <c r="D662" t="s">
        <v>152</v>
      </c>
      <c r="E662" t="s">
        <v>153</v>
      </c>
      <c r="F662" s="5">
        <v>31</v>
      </c>
      <c r="G662" s="2">
        <v>55</v>
      </c>
      <c r="H662" s="2">
        <v>32</v>
      </c>
      <c r="I662" s="1">
        <f>(23+24.5+17.1)/3</f>
        <v>21.533333333333331</v>
      </c>
      <c r="J662">
        <v>14</v>
      </c>
      <c r="K662">
        <v>2</v>
      </c>
      <c r="L662">
        <v>40</v>
      </c>
    </row>
    <row r="663" spans="1:12" x14ac:dyDescent="0.6">
      <c r="A663">
        <v>600753</v>
      </c>
      <c r="B663">
        <v>6</v>
      </c>
      <c r="C663">
        <v>753</v>
      </c>
      <c r="D663" t="s">
        <v>124</v>
      </c>
      <c r="E663" t="s">
        <v>125</v>
      </c>
      <c r="F663" s="5">
        <v>27</v>
      </c>
      <c r="G663" s="2">
        <v>54.5</v>
      </c>
      <c r="H663" s="2">
        <v>32</v>
      </c>
      <c r="I663" s="1">
        <v>19.8</v>
      </c>
      <c r="J663">
        <v>14</v>
      </c>
      <c r="K663">
        <v>2</v>
      </c>
      <c r="L663">
        <v>14</v>
      </c>
    </row>
    <row r="664" spans="1:12" x14ac:dyDescent="0.6">
      <c r="A664">
        <v>600336</v>
      </c>
      <c r="B664">
        <v>6</v>
      </c>
      <c r="C664">
        <v>336</v>
      </c>
      <c r="D664" t="s">
        <v>948</v>
      </c>
      <c r="E664" t="s">
        <v>949</v>
      </c>
      <c r="F664" s="5">
        <v>25</v>
      </c>
      <c r="G664" s="2" t="s">
        <v>447</v>
      </c>
      <c r="H664" s="2" t="s">
        <v>447</v>
      </c>
      <c r="I664" s="1" t="s">
        <v>447</v>
      </c>
      <c r="J664" t="s">
        <v>447</v>
      </c>
      <c r="K664" t="s">
        <v>447</v>
      </c>
      <c r="L664" t="s">
        <v>447</v>
      </c>
    </row>
    <row r="665" spans="1:12" x14ac:dyDescent="0.6">
      <c r="A665">
        <v>601133</v>
      </c>
      <c r="B665">
        <v>6</v>
      </c>
      <c r="C665">
        <v>1133</v>
      </c>
      <c r="D665" t="s">
        <v>185</v>
      </c>
      <c r="E665" t="s">
        <v>186</v>
      </c>
      <c r="F665" s="5">
        <v>17</v>
      </c>
      <c r="G665" s="2" t="s">
        <v>447</v>
      </c>
      <c r="H665" s="2" t="s">
        <v>447</v>
      </c>
      <c r="I665" s="1" t="s">
        <v>447</v>
      </c>
      <c r="J665" t="s">
        <v>447</v>
      </c>
      <c r="K665" t="s">
        <v>447</v>
      </c>
      <c r="L665" t="s">
        <v>447</v>
      </c>
    </row>
    <row r="666" spans="1:12" x14ac:dyDescent="0.6">
      <c r="A666">
        <v>600864</v>
      </c>
      <c r="B666">
        <v>6</v>
      </c>
      <c r="C666">
        <v>864</v>
      </c>
      <c r="D666" t="s">
        <v>132</v>
      </c>
      <c r="E666" t="s">
        <v>133</v>
      </c>
      <c r="F666" s="5">
        <v>15</v>
      </c>
      <c r="G666" s="2" t="s">
        <v>447</v>
      </c>
      <c r="H666" s="2">
        <v>32</v>
      </c>
      <c r="I666" s="1" t="s">
        <v>447</v>
      </c>
      <c r="J666" t="s">
        <v>447</v>
      </c>
      <c r="K666">
        <v>2</v>
      </c>
      <c r="L666" t="s">
        <v>447</v>
      </c>
    </row>
    <row r="667" spans="1:12" x14ac:dyDescent="0.6">
      <c r="A667">
        <v>601366</v>
      </c>
      <c r="B667">
        <v>6</v>
      </c>
      <c r="C667">
        <v>1366</v>
      </c>
      <c r="D667" t="s">
        <v>235</v>
      </c>
      <c r="E667" t="s">
        <v>236</v>
      </c>
      <c r="F667" s="5">
        <v>14</v>
      </c>
      <c r="G667" s="2" t="s">
        <v>447</v>
      </c>
      <c r="H667" s="2" t="s">
        <v>447</v>
      </c>
      <c r="I667" s="1">
        <v>21</v>
      </c>
      <c r="J667" t="s">
        <v>447</v>
      </c>
      <c r="K667" t="s">
        <v>447</v>
      </c>
      <c r="L667">
        <v>1</v>
      </c>
    </row>
    <row r="668" spans="1:12" x14ac:dyDescent="0.6">
      <c r="A668">
        <v>604824</v>
      </c>
      <c r="B668">
        <v>6</v>
      </c>
      <c r="C668">
        <v>4824</v>
      </c>
      <c r="D668" t="s">
        <v>821</v>
      </c>
      <c r="E668" t="s">
        <v>822</v>
      </c>
      <c r="F668" s="5">
        <v>13</v>
      </c>
      <c r="G668" s="2">
        <v>2.1</v>
      </c>
      <c r="H668" s="2" t="s">
        <v>447</v>
      </c>
      <c r="I668" s="1">
        <v>19.8</v>
      </c>
      <c r="J668">
        <v>1</v>
      </c>
      <c r="K668" t="s">
        <v>447</v>
      </c>
      <c r="L668">
        <v>1</v>
      </c>
    </row>
    <row r="669" spans="1:12" x14ac:dyDescent="0.6">
      <c r="A669">
        <v>600288</v>
      </c>
      <c r="B669">
        <v>6</v>
      </c>
      <c r="C669">
        <v>288</v>
      </c>
      <c r="D669" t="s">
        <v>881</v>
      </c>
      <c r="E669" t="s">
        <v>882</v>
      </c>
      <c r="F669" s="5">
        <v>12</v>
      </c>
      <c r="G669" s="2" t="s">
        <v>447</v>
      </c>
      <c r="H669" s="2" t="s">
        <v>447</v>
      </c>
      <c r="I669" s="1" t="s">
        <v>447</v>
      </c>
      <c r="J669" t="s">
        <v>447</v>
      </c>
      <c r="K669" t="s">
        <v>447</v>
      </c>
      <c r="L669" t="s">
        <v>447</v>
      </c>
    </row>
    <row r="670" spans="1:12" x14ac:dyDescent="0.6">
      <c r="A670">
        <v>602534</v>
      </c>
      <c r="B670">
        <v>6</v>
      </c>
      <c r="C670">
        <v>2534</v>
      </c>
      <c r="D670" t="s">
        <v>748</v>
      </c>
      <c r="E670" t="s">
        <v>749</v>
      </c>
      <c r="F670" s="5">
        <v>11</v>
      </c>
      <c r="G670" s="2" t="s">
        <v>447</v>
      </c>
      <c r="H670" s="2">
        <v>44</v>
      </c>
      <c r="I670" s="1">
        <v>14</v>
      </c>
      <c r="J670" t="s">
        <v>447</v>
      </c>
      <c r="K670">
        <v>2</v>
      </c>
      <c r="L670">
        <v>1</v>
      </c>
    </row>
    <row r="671" spans="1:12" x14ac:dyDescent="0.6">
      <c r="A671">
        <v>613020</v>
      </c>
      <c r="B671">
        <v>6</v>
      </c>
      <c r="C671">
        <v>13020</v>
      </c>
      <c r="D671" t="s">
        <v>1146</v>
      </c>
      <c r="F671" s="5">
        <v>9</v>
      </c>
      <c r="G671" s="2" t="s">
        <v>447</v>
      </c>
      <c r="H671" s="2" t="s">
        <v>447</v>
      </c>
      <c r="I671" s="1" t="s">
        <v>447</v>
      </c>
      <c r="J671" t="s">
        <v>447</v>
      </c>
      <c r="K671" t="s">
        <v>447</v>
      </c>
      <c r="L671" t="s">
        <v>447</v>
      </c>
    </row>
    <row r="672" spans="1:12" x14ac:dyDescent="0.6">
      <c r="A672">
        <v>605805</v>
      </c>
      <c r="B672">
        <v>6</v>
      </c>
      <c r="C672">
        <v>5805</v>
      </c>
      <c r="D672" t="s">
        <v>841</v>
      </c>
      <c r="E672" t="s">
        <v>842</v>
      </c>
      <c r="F672" s="5">
        <v>8</v>
      </c>
      <c r="G672" s="2" t="s">
        <v>447</v>
      </c>
      <c r="H672" s="2" t="s">
        <v>447</v>
      </c>
      <c r="I672" s="1" t="s">
        <v>447</v>
      </c>
      <c r="J672" t="s">
        <v>447</v>
      </c>
      <c r="K672" t="s">
        <v>447</v>
      </c>
      <c r="L672" t="s">
        <v>447</v>
      </c>
    </row>
    <row r="673" spans="1:12" x14ac:dyDescent="0.6">
      <c r="A673">
        <v>600656</v>
      </c>
      <c r="B673">
        <v>6</v>
      </c>
      <c r="C673">
        <v>656</v>
      </c>
      <c r="D673" t="s">
        <v>102</v>
      </c>
      <c r="E673" t="s">
        <v>103</v>
      </c>
      <c r="F673" s="5">
        <v>6</v>
      </c>
      <c r="G673" s="2" t="s">
        <v>447</v>
      </c>
      <c r="H673" s="2" t="s">
        <v>447</v>
      </c>
      <c r="I673" s="1" t="s">
        <v>447</v>
      </c>
      <c r="J673" t="s">
        <v>447</v>
      </c>
      <c r="K673" t="s">
        <v>447</v>
      </c>
      <c r="L673" t="s">
        <v>447</v>
      </c>
    </row>
    <row r="674" spans="1:12" x14ac:dyDescent="0.6">
      <c r="A674">
        <v>600653</v>
      </c>
      <c r="B674">
        <v>6</v>
      </c>
      <c r="C674">
        <v>653</v>
      </c>
      <c r="D674" t="s">
        <v>100</v>
      </c>
      <c r="E674" t="s">
        <v>101</v>
      </c>
      <c r="F674" s="5">
        <v>4</v>
      </c>
      <c r="G674" s="2">
        <v>33.700000000000003</v>
      </c>
      <c r="H674" s="2">
        <v>32</v>
      </c>
      <c r="I674" s="1">
        <v>20.6</v>
      </c>
      <c r="J674">
        <v>14</v>
      </c>
      <c r="K674">
        <v>2</v>
      </c>
      <c r="L674">
        <v>14</v>
      </c>
    </row>
    <row r="675" spans="1:12" x14ac:dyDescent="0.6">
      <c r="A675">
        <v>601963</v>
      </c>
      <c r="B675">
        <v>6</v>
      </c>
      <c r="C675">
        <v>1963</v>
      </c>
      <c r="D675" t="s">
        <v>726</v>
      </c>
      <c r="E675" t="s">
        <v>727</v>
      </c>
      <c r="F675" s="5">
        <v>4</v>
      </c>
      <c r="G675" s="2">
        <f>(54.2+49.45)/2</f>
        <v>51.825000000000003</v>
      </c>
      <c r="H675" s="2" t="s">
        <v>447</v>
      </c>
      <c r="I675" s="1">
        <f>(23.8+22.4)/2</f>
        <v>23.1</v>
      </c>
      <c r="J675">
        <v>1</v>
      </c>
      <c r="K675" t="s">
        <v>447</v>
      </c>
      <c r="L675">
        <v>1</v>
      </c>
    </row>
    <row r="676" spans="1:12" x14ac:dyDescent="0.6">
      <c r="A676">
        <v>602540</v>
      </c>
      <c r="B676">
        <v>6</v>
      </c>
      <c r="C676">
        <v>2540</v>
      </c>
      <c r="D676" t="s">
        <v>752</v>
      </c>
      <c r="E676" t="s">
        <v>753</v>
      </c>
      <c r="F676" s="5">
        <v>3</v>
      </c>
      <c r="G676" s="2" t="s">
        <v>447</v>
      </c>
      <c r="H676" s="2" t="s">
        <v>447</v>
      </c>
      <c r="I676" s="1">
        <v>24</v>
      </c>
      <c r="J676" t="s">
        <v>447</v>
      </c>
      <c r="K676" t="s">
        <v>447</v>
      </c>
      <c r="L676">
        <v>1</v>
      </c>
    </row>
    <row r="677" spans="1:12" x14ac:dyDescent="0.6">
      <c r="A677">
        <v>600663</v>
      </c>
      <c r="B677">
        <v>6</v>
      </c>
      <c r="C677">
        <v>663</v>
      </c>
      <c r="D677" t="s">
        <v>106</v>
      </c>
      <c r="E677" t="s">
        <v>107</v>
      </c>
      <c r="F677" s="5">
        <v>3</v>
      </c>
      <c r="G677" s="2" t="s">
        <v>447</v>
      </c>
      <c r="H677" s="2" t="s">
        <v>447</v>
      </c>
      <c r="I677" s="1" t="s">
        <v>447</v>
      </c>
      <c r="J677" t="s">
        <v>447</v>
      </c>
      <c r="K677" t="s">
        <v>447</v>
      </c>
      <c r="L677" t="s">
        <v>447</v>
      </c>
    </row>
    <row r="678" spans="1:12" x14ac:dyDescent="0.6">
      <c r="A678">
        <v>601879</v>
      </c>
      <c r="B678">
        <v>6</v>
      </c>
      <c r="C678">
        <v>1879</v>
      </c>
      <c r="D678" t="s">
        <v>716</v>
      </c>
      <c r="E678" t="s">
        <v>717</v>
      </c>
      <c r="F678" s="5">
        <v>3</v>
      </c>
      <c r="G678" s="2" t="s">
        <v>447</v>
      </c>
      <c r="H678" s="2" t="s">
        <v>447</v>
      </c>
      <c r="I678" s="1" t="s">
        <v>447</v>
      </c>
      <c r="J678" t="s">
        <v>447</v>
      </c>
      <c r="K678" t="s">
        <v>447</v>
      </c>
      <c r="L678" t="s">
        <v>447</v>
      </c>
    </row>
    <row r="679" spans="1:12" x14ac:dyDescent="0.6">
      <c r="A679">
        <v>604504</v>
      </c>
      <c r="B679">
        <v>6</v>
      </c>
      <c r="C679">
        <v>4504</v>
      </c>
      <c r="D679" t="s">
        <v>803</v>
      </c>
      <c r="E679" t="s">
        <v>804</v>
      </c>
      <c r="F679" s="5">
        <v>3</v>
      </c>
      <c r="G679" s="2" t="s">
        <v>447</v>
      </c>
      <c r="H679" s="2">
        <v>54</v>
      </c>
      <c r="I679" s="1" t="s">
        <v>447</v>
      </c>
      <c r="J679" t="s">
        <v>447</v>
      </c>
      <c r="K679">
        <v>1</v>
      </c>
      <c r="L679" t="s">
        <v>447</v>
      </c>
    </row>
    <row r="680" spans="1:12" x14ac:dyDescent="0.6">
      <c r="A680">
        <v>604702</v>
      </c>
      <c r="B680">
        <v>6</v>
      </c>
      <c r="C680">
        <v>4702</v>
      </c>
      <c r="D680" t="s">
        <v>813</v>
      </c>
      <c r="E680" t="s">
        <v>814</v>
      </c>
      <c r="F680" s="5">
        <v>3</v>
      </c>
      <c r="G680" s="2" t="s">
        <v>447</v>
      </c>
      <c r="H680" s="2" t="s">
        <v>447</v>
      </c>
      <c r="I680" s="1" t="s">
        <v>447</v>
      </c>
      <c r="J680" t="s">
        <v>447</v>
      </c>
      <c r="K680" t="s">
        <v>447</v>
      </c>
      <c r="L680" t="s">
        <v>447</v>
      </c>
    </row>
    <row r="681" spans="1:12" x14ac:dyDescent="0.6">
      <c r="A681">
        <v>602531</v>
      </c>
      <c r="B681">
        <v>6</v>
      </c>
      <c r="C681">
        <v>2531</v>
      </c>
      <c r="D681" t="s">
        <v>746</v>
      </c>
      <c r="E681" t="s">
        <v>747</v>
      </c>
      <c r="F681" s="5">
        <v>2</v>
      </c>
      <c r="G681" s="2" t="s">
        <v>447</v>
      </c>
      <c r="H681" s="2">
        <v>35</v>
      </c>
      <c r="I681" s="1">
        <v>15.3</v>
      </c>
      <c r="J681" t="s">
        <v>447</v>
      </c>
      <c r="K681">
        <v>2</v>
      </c>
      <c r="L681">
        <v>1</v>
      </c>
    </row>
    <row r="682" spans="1:12" x14ac:dyDescent="0.6">
      <c r="A682">
        <v>600874</v>
      </c>
      <c r="B682">
        <v>6</v>
      </c>
      <c r="C682">
        <v>874</v>
      </c>
      <c r="D682" t="s">
        <v>136</v>
      </c>
      <c r="E682" t="s">
        <v>137</v>
      </c>
      <c r="F682" s="5">
        <v>1</v>
      </c>
      <c r="G682" s="2" t="s">
        <v>447</v>
      </c>
      <c r="H682" s="2">
        <v>36</v>
      </c>
      <c r="I682" s="1">
        <v>22</v>
      </c>
      <c r="J682" t="s">
        <v>447</v>
      </c>
      <c r="K682">
        <v>2</v>
      </c>
      <c r="L682">
        <v>1</v>
      </c>
    </row>
    <row r="683" spans="1:12" x14ac:dyDescent="0.6">
      <c r="A683">
        <v>600552</v>
      </c>
      <c r="B683">
        <v>6</v>
      </c>
      <c r="C683">
        <v>552</v>
      </c>
      <c r="D683" t="s">
        <v>94</v>
      </c>
      <c r="E683" t="s">
        <v>95</v>
      </c>
      <c r="F683" s="5">
        <v>0</v>
      </c>
      <c r="G683" s="2" t="s">
        <v>447</v>
      </c>
      <c r="H683" s="2" t="s">
        <v>447</v>
      </c>
      <c r="I683" s="1" t="s">
        <v>447</v>
      </c>
      <c r="J683" t="s">
        <v>447</v>
      </c>
      <c r="K683" t="s">
        <v>447</v>
      </c>
      <c r="L683" t="s">
        <v>447</v>
      </c>
    </row>
    <row r="684" spans="1:12" x14ac:dyDescent="0.6">
      <c r="A684">
        <v>607047</v>
      </c>
      <c r="B684">
        <v>6</v>
      </c>
      <c r="C684">
        <v>7047</v>
      </c>
      <c r="D684" t="s">
        <v>1111</v>
      </c>
      <c r="E684" t="s">
        <v>1112</v>
      </c>
      <c r="F684" s="5">
        <v>0</v>
      </c>
      <c r="G684" s="2" t="s">
        <v>447</v>
      </c>
      <c r="H684" s="2" t="s">
        <v>447</v>
      </c>
      <c r="I684" s="1" t="s">
        <v>447</v>
      </c>
      <c r="J684" t="s">
        <v>447</v>
      </c>
      <c r="K684" t="s">
        <v>447</v>
      </c>
      <c r="L684" t="s">
        <v>447</v>
      </c>
    </row>
    <row r="685" spans="1:12" x14ac:dyDescent="0.6">
      <c r="A685">
        <v>690368</v>
      </c>
      <c r="B685">
        <v>6</v>
      </c>
      <c r="C685">
        <v>90368</v>
      </c>
      <c r="D685" t="s">
        <v>12</v>
      </c>
      <c r="E685" t="s">
        <v>13</v>
      </c>
      <c r="F685" s="5">
        <v>0</v>
      </c>
      <c r="G685" s="2" t="s">
        <v>447</v>
      </c>
      <c r="H685" s="2" t="s">
        <v>447</v>
      </c>
      <c r="I685" s="1" t="s">
        <v>447</v>
      </c>
      <c r="J685" t="s">
        <v>447</v>
      </c>
      <c r="K685" t="s">
        <v>447</v>
      </c>
      <c r="L685" t="s">
        <v>447</v>
      </c>
    </row>
    <row r="686" spans="1:12" x14ac:dyDescent="0.6">
      <c r="F686" s="5">
        <f>SUM(F2:F685)</f>
        <v>2043793052</v>
      </c>
      <c r="G686" s="2">
        <f>AVERAGE(G2:G685)</f>
        <v>45.977528957528953</v>
      </c>
      <c r="H686" s="2">
        <f>AVERAGE(H2:H685)</f>
        <v>41.751412037037028</v>
      </c>
      <c r="I686" s="1">
        <f>AVERAGE(I2:I685)</f>
        <v>18.695505499312585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B21" sqref="B21"/>
    </sheetView>
  </sheetViews>
  <sheetFormatPr defaultColWidth="8.81640625" defaultRowHeight="13" x14ac:dyDescent="0.6"/>
  <sheetData>
    <row r="1" spans="1:2" ht="15.25" x14ac:dyDescent="0.65">
      <c r="A1" s="4" t="s">
        <v>352</v>
      </c>
    </row>
    <row r="3" spans="1:2" x14ac:dyDescent="0.6">
      <c r="A3">
        <v>1</v>
      </c>
      <c r="B3" t="s">
        <v>353</v>
      </c>
    </row>
    <row r="4" spans="1:2" x14ac:dyDescent="0.6">
      <c r="A4">
        <v>2</v>
      </c>
      <c r="B4" t="s">
        <v>354</v>
      </c>
    </row>
    <row r="5" spans="1:2" x14ac:dyDescent="0.6">
      <c r="A5">
        <v>3</v>
      </c>
      <c r="B5" t="s">
        <v>356</v>
      </c>
    </row>
    <row r="6" spans="1:2" x14ac:dyDescent="0.6">
      <c r="A6">
        <v>4</v>
      </c>
      <c r="B6" t="s">
        <v>361</v>
      </c>
    </row>
    <row r="7" spans="1:2" x14ac:dyDescent="0.6">
      <c r="A7">
        <v>5</v>
      </c>
      <c r="B7" t="s">
        <v>357</v>
      </c>
    </row>
    <row r="8" spans="1:2" x14ac:dyDescent="0.6">
      <c r="A8">
        <v>6</v>
      </c>
      <c r="B8" t="s">
        <v>364</v>
      </c>
    </row>
    <row r="9" spans="1:2" x14ac:dyDescent="0.6">
      <c r="A9">
        <v>7</v>
      </c>
      <c r="B9" t="s">
        <v>366</v>
      </c>
    </row>
    <row r="10" spans="1:2" x14ac:dyDescent="0.6">
      <c r="A10">
        <v>8</v>
      </c>
      <c r="B10" t="s">
        <v>371</v>
      </c>
    </row>
    <row r="11" spans="1:2" x14ac:dyDescent="0.6">
      <c r="A11">
        <v>9</v>
      </c>
      <c r="B11" t="s">
        <v>372</v>
      </c>
    </row>
    <row r="12" spans="1:2" x14ac:dyDescent="0.6">
      <c r="A12">
        <v>10</v>
      </c>
      <c r="B12" t="s">
        <v>381</v>
      </c>
    </row>
    <row r="13" spans="1:2" x14ac:dyDescent="0.6">
      <c r="A13">
        <v>11</v>
      </c>
      <c r="B13" t="s">
        <v>386</v>
      </c>
    </row>
    <row r="14" spans="1:2" x14ac:dyDescent="0.6">
      <c r="A14">
        <v>12</v>
      </c>
      <c r="B14" t="s">
        <v>387</v>
      </c>
    </row>
    <row r="15" spans="1:2" x14ac:dyDescent="0.6">
      <c r="A15">
        <v>13</v>
      </c>
      <c r="B15" t="s">
        <v>388</v>
      </c>
    </row>
    <row r="16" spans="1:2" x14ac:dyDescent="0.6">
      <c r="A16">
        <v>14</v>
      </c>
      <c r="B16" t="s">
        <v>389</v>
      </c>
    </row>
    <row r="17" spans="1:2" x14ac:dyDescent="0.6">
      <c r="A17">
        <v>15</v>
      </c>
      <c r="B17" t="s">
        <v>391</v>
      </c>
    </row>
    <row r="18" spans="1:2" x14ac:dyDescent="0.6">
      <c r="A18">
        <v>16</v>
      </c>
      <c r="B18" t="s">
        <v>404</v>
      </c>
    </row>
    <row r="19" spans="1:2" x14ac:dyDescent="0.6">
      <c r="A19">
        <v>17</v>
      </c>
      <c r="B19" t="s">
        <v>394</v>
      </c>
    </row>
    <row r="20" spans="1:2" x14ac:dyDescent="0.6">
      <c r="A20">
        <v>18</v>
      </c>
      <c r="B20" t="s">
        <v>379</v>
      </c>
    </row>
    <row r="22" spans="1:2" x14ac:dyDescent="0.6">
      <c r="A22">
        <v>20</v>
      </c>
      <c r="B22" t="s">
        <v>355</v>
      </c>
    </row>
    <row r="23" spans="1:2" x14ac:dyDescent="0.6">
      <c r="A23">
        <v>21</v>
      </c>
      <c r="B23" t="s">
        <v>358</v>
      </c>
    </row>
    <row r="24" spans="1:2" x14ac:dyDescent="0.6">
      <c r="A24">
        <v>22</v>
      </c>
      <c r="B24" t="s">
        <v>359</v>
      </c>
    </row>
    <row r="25" spans="1:2" x14ac:dyDescent="0.6">
      <c r="A25">
        <v>23</v>
      </c>
      <c r="B25" t="s">
        <v>360</v>
      </c>
    </row>
    <row r="26" spans="1:2" x14ac:dyDescent="0.6">
      <c r="A26">
        <v>24</v>
      </c>
      <c r="B26" t="s">
        <v>367</v>
      </c>
    </row>
    <row r="27" spans="1:2" x14ac:dyDescent="0.6">
      <c r="A27">
        <v>25</v>
      </c>
      <c r="B27" t="s">
        <v>362</v>
      </c>
    </row>
    <row r="28" spans="1:2" x14ac:dyDescent="0.6">
      <c r="A28">
        <v>26</v>
      </c>
      <c r="B28" t="s">
        <v>363</v>
      </c>
    </row>
    <row r="29" spans="1:2" x14ac:dyDescent="0.6">
      <c r="A29">
        <v>27</v>
      </c>
      <c r="B29" t="s">
        <v>365</v>
      </c>
    </row>
    <row r="30" spans="1:2" x14ac:dyDescent="0.6">
      <c r="A30">
        <v>28</v>
      </c>
      <c r="B30" t="s">
        <v>368</v>
      </c>
    </row>
    <row r="31" spans="1:2" x14ac:dyDescent="0.6">
      <c r="A31">
        <v>29</v>
      </c>
      <c r="B31" t="s">
        <v>369</v>
      </c>
    </row>
    <row r="32" spans="1:2" x14ac:dyDescent="0.6">
      <c r="A32">
        <v>30</v>
      </c>
      <c r="B32" t="s">
        <v>370</v>
      </c>
    </row>
    <row r="33" spans="1:2" x14ac:dyDescent="0.6">
      <c r="A33">
        <v>31</v>
      </c>
      <c r="B33" t="s">
        <v>373</v>
      </c>
    </row>
    <row r="34" spans="1:2" x14ac:dyDescent="0.6">
      <c r="A34">
        <v>32</v>
      </c>
      <c r="B34" t="s">
        <v>375</v>
      </c>
    </row>
    <row r="35" spans="1:2" x14ac:dyDescent="0.6">
      <c r="A35">
        <v>33</v>
      </c>
      <c r="B35" t="s">
        <v>374</v>
      </c>
    </row>
    <row r="36" spans="1:2" x14ac:dyDescent="0.6">
      <c r="A36">
        <v>34</v>
      </c>
      <c r="B36" t="s">
        <v>376</v>
      </c>
    </row>
    <row r="37" spans="1:2" x14ac:dyDescent="0.6">
      <c r="A37">
        <v>35</v>
      </c>
      <c r="B37" t="s">
        <v>380</v>
      </c>
    </row>
    <row r="38" spans="1:2" x14ac:dyDescent="0.6">
      <c r="A38">
        <v>36</v>
      </c>
      <c r="B38" t="s">
        <v>382</v>
      </c>
    </row>
    <row r="39" spans="1:2" x14ac:dyDescent="0.6">
      <c r="A39">
        <v>37</v>
      </c>
      <c r="B39" t="s">
        <v>383</v>
      </c>
    </row>
    <row r="40" spans="1:2" x14ac:dyDescent="0.6">
      <c r="A40">
        <v>38</v>
      </c>
      <c r="B40" t="s">
        <v>384</v>
      </c>
    </row>
    <row r="41" spans="1:2" x14ac:dyDescent="0.6">
      <c r="A41">
        <v>39</v>
      </c>
      <c r="B41" t="s">
        <v>385</v>
      </c>
    </row>
    <row r="42" spans="1:2" x14ac:dyDescent="0.6">
      <c r="A42">
        <v>40</v>
      </c>
      <c r="B42" t="s">
        <v>390</v>
      </c>
    </row>
    <row r="43" spans="1:2" x14ac:dyDescent="0.6">
      <c r="A43">
        <v>41</v>
      </c>
      <c r="B43" t="s">
        <v>392</v>
      </c>
    </row>
    <row r="44" spans="1:2" x14ac:dyDescent="0.6">
      <c r="A44">
        <v>42</v>
      </c>
      <c r="B44" t="s">
        <v>393</v>
      </c>
    </row>
    <row r="45" spans="1:2" x14ac:dyDescent="0.6">
      <c r="A45">
        <v>43</v>
      </c>
      <c r="B45" t="s">
        <v>395</v>
      </c>
    </row>
    <row r="46" spans="1:2" x14ac:dyDescent="0.6">
      <c r="A46">
        <v>44</v>
      </c>
      <c r="B46" t="s">
        <v>396</v>
      </c>
    </row>
    <row r="47" spans="1:2" x14ac:dyDescent="0.6">
      <c r="A47">
        <v>45</v>
      </c>
      <c r="B47" t="s">
        <v>397</v>
      </c>
    </row>
    <row r="48" spans="1:2" x14ac:dyDescent="0.6">
      <c r="A48">
        <v>46</v>
      </c>
      <c r="B48" t="s">
        <v>398</v>
      </c>
    </row>
    <row r="49" spans="1:2" x14ac:dyDescent="0.6">
      <c r="A49">
        <v>47</v>
      </c>
      <c r="B49" t="s">
        <v>399</v>
      </c>
    </row>
    <row r="50" spans="1:2" x14ac:dyDescent="0.6">
      <c r="A50">
        <v>48</v>
      </c>
      <c r="B50" t="s">
        <v>400</v>
      </c>
    </row>
    <row r="51" spans="1:2" x14ac:dyDescent="0.6">
      <c r="A51">
        <v>49</v>
      </c>
      <c r="B51" t="s">
        <v>401</v>
      </c>
    </row>
    <row r="52" spans="1:2" x14ac:dyDescent="0.6">
      <c r="A52">
        <v>50</v>
      </c>
      <c r="B52" t="s">
        <v>402</v>
      </c>
    </row>
    <row r="53" spans="1:2" x14ac:dyDescent="0.6">
      <c r="A53">
        <v>51</v>
      </c>
      <c r="B53" t="s">
        <v>403</v>
      </c>
    </row>
    <row r="54" spans="1:2" x14ac:dyDescent="0.6">
      <c r="A54">
        <v>52</v>
      </c>
      <c r="B54" t="s">
        <v>405</v>
      </c>
    </row>
    <row r="55" spans="1:2" x14ac:dyDescent="0.6">
      <c r="A55">
        <v>53</v>
      </c>
      <c r="B55" t="s">
        <v>406</v>
      </c>
    </row>
    <row r="56" spans="1:2" x14ac:dyDescent="0.6">
      <c r="A56">
        <v>54</v>
      </c>
      <c r="B56" t="s">
        <v>377</v>
      </c>
    </row>
    <row r="57" spans="1:2" x14ac:dyDescent="0.6">
      <c r="A57">
        <v>55</v>
      </c>
      <c r="B57" t="s">
        <v>378</v>
      </c>
    </row>
  </sheetData>
  <phoneticPr fontId="0" type="noConversion"/>
  <pageMargins left="0.75" right="0.75" top="1" bottom="1" header="0.5" footer="0.5"/>
  <pageSetup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content</vt:lpstr>
      <vt:lpstr>Reference codes</vt:lpstr>
    </vt:vector>
  </TitlesOfParts>
  <Company>UBC Fisheries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 Watson</dc:creator>
  <cp:lastModifiedBy>Alon Shepon</cp:lastModifiedBy>
  <dcterms:created xsi:type="dcterms:W3CDTF">2001-03-14T21:31:23Z</dcterms:created>
  <dcterms:modified xsi:type="dcterms:W3CDTF">2020-12-05T17:30:17Z</dcterms:modified>
</cp:coreProperties>
</file>