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_AIX\FINANCIAL\"/>
    </mc:Choice>
  </mc:AlternateContent>
  <xr:revisionPtr revIDLastSave="0" documentId="13_ncr:1_{34E6C05A-B8DE-4725-870B-AC87ACE6292B}" xr6:coauthVersionLast="47" xr6:coauthVersionMax="47" xr10:uidLastSave="{00000000-0000-0000-0000-000000000000}"/>
  <bookViews>
    <workbookView xWindow="-120" yWindow="-120" windowWidth="29040" windowHeight="16440" tabRatio="904" xr2:uid="{00000000-000D-0000-FFFF-FFFF00000000}"/>
  </bookViews>
  <sheets>
    <sheet name="3Yr Summary by Year" sheetId="1" r:id="rId1"/>
    <sheet name="EBIT" sheetId="3" r:id="rId2"/>
    <sheet name="3Yr Summary by Month" sheetId="2" r:id="rId3"/>
    <sheet name="Revenue Production" sheetId="4" r:id="rId4"/>
    <sheet name="Revenue Variables" sheetId="5" r:id="rId5"/>
    <sheet name="Development Expenses" sheetId="6" r:id="rId6"/>
    <sheet name="Labor Variables" sheetId="7" state="hidden" r:id="rId7"/>
    <sheet name="Combine Variables" sheetId="8" state="hidden" r:id="rId8"/>
    <sheet name="Staffing Profile" sheetId="10" r:id="rId9"/>
    <sheet name="Non-Payroll OpEx " sheetId="11" r:id="rId10"/>
    <sheet name="Use Of Proceeds" sheetId="13" r:id="rId11"/>
    <sheet name="Investor Notes" sheetId="14" r:id="rId1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3" l="1"/>
  <c r="D8" i="13"/>
  <c r="E8" i="13"/>
  <c r="O25" i="3"/>
  <c r="C29" i="2"/>
  <c r="D29" i="2"/>
  <c r="E29" i="2"/>
  <c r="F29" i="2"/>
  <c r="G29" i="2"/>
  <c r="H29" i="2"/>
  <c r="I29" i="2"/>
  <c r="J29" i="2"/>
  <c r="K29" i="2"/>
  <c r="L29" i="2"/>
  <c r="M29" i="2"/>
  <c r="N29" i="2"/>
  <c r="C28" i="2"/>
  <c r="D28" i="2"/>
  <c r="E28" i="2"/>
  <c r="F28" i="2"/>
  <c r="G28" i="2"/>
  <c r="H28" i="2"/>
  <c r="I28" i="2"/>
  <c r="J28" i="2"/>
  <c r="O28" i="2" s="1"/>
  <c r="E14" i="1" s="1"/>
  <c r="K28" i="2"/>
  <c r="L28" i="2"/>
  <c r="M28" i="2"/>
  <c r="N28" i="2"/>
  <c r="O34" i="3"/>
  <c r="O35" i="3"/>
  <c r="D35" i="3"/>
  <c r="E35" i="3"/>
  <c r="F35" i="3"/>
  <c r="G35" i="3"/>
  <c r="H35" i="3"/>
  <c r="I35" i="3"/>
  <c r="J35" i="3"/>
  <c r="K35" i="3"/>
  <c r="L35" i="3"/>
  <c r="M35" i="3"/>
  <c r="N35" i="3"/>
  <c r="C35" i="3"/>
  <c r="H22" i="3"/>
  <c r="D25" i="3"/>
  <c r="E25" i="3"/>
  <c r="F25" i="3"/>
  <c r="G25" i="3"/>
  <c r="H25" i="3"/>
  <c r="I25" i="3"/>
  <c r="I21" i="2" s="1"/>
  <c r="J25" i="3"/>
  <c r="J21" i="2" s="1"/>
  <c r="K25" i="3"/>
  <c r="K21" i="2" s="1"/>
  <c r="L25" i="3"/>
  <c r="L21" i="2" s="1"/>
  <c r="M25" i="3"/>
  <c r="M21" i="2" s="1"/>
  <c r="N25" i="3"/>
  <c r="N21" i="2" s="1"/>
  <c r="C25" i="3"/>
  <c r="C21" i="2" s="1"/>
  <c r="D21" i="2"/>
  <c r="E21" i="2"/>
  <c r="F21" i="2"/>
  <c r="G21" i="2"/>
  <c r="H21" i="2"/>
  <c r="C20" i="2"/>
  <c r="D20" i="2"/>
  <c r="O20" i="2" s="1"/>
  <c r="D14" i="1" s="1"/>
  <c r="E20" i="2"/>
  <c r="F20" i="2"/>
  <c r="G20" i="2"/>
  <c r="H20" i="2"/>
  <c r="I20" i="2"/>
  <c r="J20" i="2"/>
  <c r="K20" i="2"/>
  <c r="L20" i="2"/>
  <c r="M20" i="2"/>
  <c r="N20" i="2"/>
  <c r="C13" i="2"/>
  <c r="D13" i="2"/>
  <c r="E13" i="2"/>
  <c r="F13" i="2"/>
  <c r="G13" i="2"/>
  <c r="H13" i="2"/>
  <c r="I13" i="2"/>
  <c r="J13" i="2"/>
  <c r="K13" i="2"/>
  <c r="L13" i="2"/>
  <c r="M13" i="2"/>
  <c r="N13" i="2"/>
  <c r="C12" i="2"/>
  <c r="D12" i="2"/>
  <c r="E12" i="2"/>
  <c r="F12" i="2"/>
  <c r="G12" i="2"/>
  <c r="H12" i="2"/>
  <c r="I12" i="2"/>
  <c r="J12" i="2"/>
  <c r="K12" i="2"/>
  <c r="L12" i="2"/>
  <c r="M12" i="2"/>
  <c r="N12" i="2"/>
  <c r="C11" i="2"/>
  <c r="D11" i="2"/>
  <c r="E11" i="2"/>
  <c r="F11" i="2"/>
  <c r="G11" i="2"/>
  <c r="H11" i="2"/>
  <c r="I11" i="2"/>
  <c r="J11" i="2"/>
  <c r="K11" i="2"/>
  <c r="L11" i="2"/>
  <c r="M11" i="2"/>
  <c r="N11" i="2"/>
  <c r="F16" i="6"/>
  <c r="F18" i="6"/>
  <c r="F19" i="6"/>
  <c r="G23" i="6"/>
  <c r="F24" i="6"/>
  <c r="F27" i="6"/>
  <c r="F30" i="6"/>
  <c r="F31" i="6"/>
  <c r="D15" i="3"/>
  <c r="E15" i="3"/>
  <c r="F15" i="3"/>
  <c r="G15" i="3"/>
  <c r="H15" i="3"/>
  <c r="I15" i="3"/>
  <c r="J15" i="3"/>
  <c r="K15" i="3"/>
  <c r="L15" i="3"/>
  <c r="M15" i="3"/>
  <c r="N15" i="3"/>
  <c r="C15" i="3"/>
  <c r="C34" i="3"/>
  <c r="D34" i="3"/>
  <c r="E34" i="3"/>
  <c r="F34" i="3"/>
  <c r="G34" i="3"/>
  <c r="H34" i="3"/>
  <c r="I34" i="3"/>
  <c r="J34" i="3"/>
  <c r="K34" i="3"/>
  <c r="L34" i="3"/>
  <c r="M34" i="3"/>
  <c r="N34" i="3"/>
  <c r="C24" i="3"/>
  <c r="D24" i="3"/>
  <c r="E24" i="3"/>
  <c r="F24" i="3"/>
  <c r="G24" i="3"/>
  <c r="H24" i="3"/>
  <c r="I24" i="3"/>
  <c r="J24" i="3"/>
  <c r="K24" i="3"/>
  <c r="L24" i="3"/>
  <c r="M24" i="3"/>
  <c r="N24" i="3"/>
  <c r="C14" i="3"/>
  <c r="D14" i="3"/>
  <c r="E14" i="3"/>
  <c r="F14" i="3"/>
  <c r="G14" i="3"/>
  <c r="H14" i="3"/>
  <c r="I14" i="3"/>
  <c r="J14" i="3"/>
  <c r="K14" i="3"/>
  <c r="L14" i="3"/>
  <c r="M14" i="3"/>
  <c r="N14" i="3"/>
  <c r="I90" i="10"/>
  <c r="H90" i="10"/>
  <c r="G90" i="10"/>
  <c r="F90" i="10"/>
  <c r="E90" i="10"/>
  <c r="D90" i="10"/>
  <c r="P90" i="10" s="1"/>
  <c r="I89" i="10"/>
  <c r="H89" i="10"/>
  <c r="G89" i="10"/>
  <c r="F89" i="10"/>
  <c r="E89" i="10"/>
  <c r="D89" i="10"/>
  <c r="I88" i="10"/>
  <c r="H88" i="10"/>
  <c r="G88" i="10"/>
  <c r="G93" i="10" s="1"/>
  <c r="F88" i="10"/>
  <c r="F93" i="10" s="1"/>
  <c r="E88" i="10"/>
  <c r="D88" i="10"/>
  <c r="I86" i="10"/>
  <c r="H86" i="10"/>
  <c r="G86" i="10"/>
  <c r="F86" i="10"/>
  <c r="E86" i="10"/>
  <c r="D86" i="10"/>
  <c r="I85" i="10"/>
  <c r="H85" i="10"/>
  <c r="G85" i="10"/>
  <c r="F85" i="10"/>
  <c r="E85" i="10"/>
  <c r="E93" i="10" s="1"/>
  <c r="D85" i="10"/>
  <c r="I84" i="10"/>
  <c r="H84" i="10"/>
  <c r="H93" i="10" s="1"/>
  <c r="G84" i="10"/>
  <c r="F84" i="10"/>
  <c r="E84" i="10"/>
  <c r="D84" i="10"/>
  <c r="J53" i="10"/>
  <c r="J61" i="10" s="1"/>
  <c r="D62" i="10"/>
  <c r="E62" i="10"/>
  <c r="F62" i="10"/>
  <c r="G62" i="10"/>
  <c r="H62" i="10"/>
  <c r="I62" i="10"/>
  <c r="J54" i="10"/>
  <c r="J62" i="10" s="1"/>
  <c r="D61" i="10"/>
  <c r="E61" i="10"/>
  <c r="J55" i="10"/>
  <c r="P57" i="10"/>
  <c r="J57" i="10"/>
  <c r="F61" i="10"/>
  <c r="G61" i="10"/>
  <c r="J58" i="10"/>
  <c r="J59" i="10"/>
  <c r="H61" i="10"/>
  <c r="I61" i="10"/>
  <c r="H46" i="4"/>
  <c r="G46" i="4"/>
  <c r="F46" i="4"/>
  <c r="D46" i="4"/>
  <c r="E46" i="4"/>
  <c r="C46" i="4"/>
  <c r="H41" i="4"/>
  <c r="G41" i="4"/>
  <c r="F41" i="4"/>
  <c r="E41" i="4"/>
  <c r="D41" i="4"/>
  <c r="C41" i="4"/>
  <c r="H40" i="4"/>
  <c r="G40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H25" i="4"/>
  <c r="G25" i="4"/>
  <c r="F25" i="4"/>
  <c r="E25" i="4"/>
  <c r="D25" i="4"/>
  <c r="C25" i="4"/>
  <c r="C12" i="3"/>
  <c r="K58" i="10"/>
  <c r="L58" i="10"/>
  <c r="M58" i="10"/>
  <c r="N58" i="10"/>
  <c r="O58" i="10"/>
  <c r="K57" i="10"/>
  <c r="L57" i="10"/>
  <c r="M57" i="10"/>
  <c r="N57" i="10"/>
  <c r="O57" i="10"/>
  <c r="K55" i="10"/>
  <c r="L55" i="10"/>
  <c r="M55" i="10"/>
  <c r="N55" i="10"/>
  <c r="O55" i="10"/>
  <c r="K54" i="10"/>
  <c r="L54" i="10"/>
  <c r="M54" i="10"/>
  <c r="N54" i="10"/>
  <c r="O54" i="10"/>
  <c r="K53" i="10"/>
  <c r="P53" i="10" s="1"/>
  <c r="L53" i="10"/>
  <c r="M53" i="10"/>
  <c r="N53" i="10"/>
  <c r="O53" i="10"/>
  <c r="G16" i="6"/>
  <c r="E35" i="6"/>
  <c r="C35" i="6"/>
  <c r="C34" i="6"/>
  <c r="E48" i="11"/>
  <c r="F48" i="11"/>
  <c r="G48" i="11"/>
  <c r="H48" i="11"/>
  <c r="I48" i="11"/>
  <c r="J48" i="11"/>
  <c r="K48" i="11"/>
  <c r="L48" i="11"/>
  <c r="M48" i="11"/>
  <c r="N48" i="11"/>
  <c r="O48" i="11"/>
  <c r="D48" i="11"/>
  <c r="E32" i="11"/>
  <c r="F32" i="11"/>
  <c r="G32" i="11"/>
  <c r="H32" i="11"/>
  <c r="I32" i="11"/>
  <c r="J32" i="11"/>
  <c r="K32" i="11"/>
  <c r="L32" i="11"/>
  <c r="M32" i="11"/>
  <c r="N32" i="11"/>
  <c r="O32" i="11"/>
  <c r="D32" i="11"/>
  <c r="O46" i="4"/>
  <c r="I46" i="4"/>
  <c r="O41" i="4"/>
  <c r="O40" i="4"/>
  <c r="K40" i="4" s="1"/>
  <c r="O39" i="4"/>
  <c r="G39" i="4" s="1"/>
  <c r="K41" i="4"/>
  <c r="O30" i="4"/>
  <c r="I30" i="4" s="1"/>
  <c r="O25" i="4"/>
  <c r="J25" i="4" s="1"/>
  <c r="O24" i="4"/>
  <c r="E24" i="4" s="1"/>
  <c r="O23" i="4"/>
  <c r="D23" i="4" s="1"/>
  <c r="J41" i="4"/>
  <c r="N41" i="4"/>
  <c r="M41" i="4"/>
  <c r="L41" i="4"/>
  <c r="J39" i="4"/>
  <c r="I39" i="4"/>
  <c r="N30" i="4"/>
  <c r="M30" i="4"/>
  <c r="L30" i="4"/>
  <c r="K30" i="4"/>
  <c r="J30" i="4"/>
  <c r="L24" i="4"/>
  <c r="O12" i="4"/>
  <c r="L18" i="4"/>
  <c r="C18" i="4"/>
  <c r="O18" i="4"/>
  <c r="D18" i="4"/>
  <c r="E18" i="4"/>
  <c r="F18" i="4"/>
  <c r="G18" i="4"/>
  <c r="H18" i="4"/>
  <c r="I18" i="4"/>
  <c r="J18" i="4"/>
  <c r="K18" i="4"/>
  <c r="O15" i="4"/>
  <c r="O14" i="4"/>
  <c r="O13" i="4"/>
  <c r="O11" i="4"/>
  <c r="O10" i="4"/>
  <c r="O9" i="4"/>
  <c r="C32" i="5"/>
  <c r="C19" i="5"/>
  <c r="C15" i="5"/>
  <c r="C17" i="5"/>
  <c r="C21" i="5"/>
  <c r="E15" i="5"/>
  <c r="O42" i="4" s="1"/>
  <c r="D17" i="5"/>
  <c r="O27" i="4" s="1"/>
  <c r="E11" i="5"/>
  <c r="D11" i="5"/>
  <c r="E9" i="5"/>
  <c r="D9" i="5"/>
  <c r="D19" i="5" s="1"/>
  <c r="O28" i="4" s="1"/>
  <c r="G28" i="6"/>
  <c r="G29" i="6"/>
  <c r="G30" i="6"/>
  <c r="G31" i="6"/>
  <c r="G27" i="6"/>
  <c r="G21" i="6"/>
  <c r="G25" i="6"/>
  <c r="E20" i="6"/>
  <c r="E21" i="6"/>
  <c r="E22" i="6"/>
  <c r="E23" i="6"/>
  <c r="E24" i="6"/>
  <c r="E25" i="6"/>
  <c r="E27" i="6"/>
  <c r="E28" i="6"/>
  <c r="E29" i="6"/>
  <c r="E30" i="6"/>
  <c r="E31" i="6"/>
  <c r="E18" i="6"/>
  <c r="E17" i="6"/>
  <c r="E16" i="6"/>
  <c r="E10" i="6"/>
  <c r="E34" i="6" s="1"/>
  <c r="J90" i="10"/>
  <c r="K90" i="10"/>
  <c r="L90" i="10"/>
  <c r="M90" i="10"/>
  <c r="N90" i="10"/>
  <c r="O90" i="10"/>
  <c r="J89" i="10"/>
  <c r="K89" i="10"/>
  <c r="L89" i="10"/>
  <c r="M89" i="10"/>
  <c r="N89" i="10"/>
  <c r="O89" i="10"/>
  <c r="J88" i="10"/>
  <c r="K88" i="10"/>
  <c r="L88" i="10"/>
  <c r="M88" i="10"/>
  <c r="N88" i="10"/>
  <c r="O88" i="10"/>
  <c r="E92" i="10"/>
  <c r="P87" i="10"/>
  <c r="J87" i="10"/>
  <c r="K87" i="10"/>
  <c r="L87" i="10"/>
  <c r="M87" i="10"/>
  <c r="N87" i="10"/>
  <c r="O87" i="10"/>
  <c r="J86" i="10"/>
  <c r="K86" i="10"/>
  <c r="L86" i="10"/>
  <c r="M86" i="10"/>
  <c r="N86" i="10"/>
  <c r="O86" i="10"/>
  <c r="J85" i="10"/>
  <c r="K85" i="10"/>
  <c r="L85" i="10"/>
  <c r="M85" i="10"/>
  <c r="N85" i="10"/>
  <c r="O85" i="10"/>
  <c r="J84" i="10"/>
  <c r="K84" i="10"/>
  <c r="L84" i="10"/>
  <c r="M84" i="10"/>
  <c r="N84" i="10"/>
  <c r="O84" i="10"/>
  <c r="P46" i="11"/>
  <c r="P45" i="11"/>
  <c r="P44" i="11"/>
  <c r="P43" i="11"/>
  <c r="P42" i="11"/>
  <c r="P41" i="11"/>
  <c r="P40" i="11"/>
  <c r="P39" i="11"/>
  <c r="P38" i="11"/>
  <c r="P37" i="11"/>
  <c r="P30" i="11"/>
  <c r="P29" i="11"/>
  <c r="P28" i="11"/>
  <c r="P27" i="11"/>
  <c r="P26" i="11"/>
  <c r="P25" i="11"/>
  <c r="P24" i="11"/>
  <c r="P23" i="11"/>
  <c r="P22" i="11"/>
  <c r="P21" i="11"/>
  <c r="K59" i="10"/>
  <c r="L59" i="10"/>
  <c r="M59" i="10"/>
  <c r="N59" i="10"/>
  <c r="O59" i="10"/>
  <c r="P7" i="11"/>
  <c r="P8" i="11"/>
  <c r="P5" i="11"/>
  <c r="P94" i="10"/>
  <c r="P91" i="10"/>
  <c r="P79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O77" i="10"/>
  <c r="N77" i="10"/>
  <c r="M77" i="10"/>
  <c r="L77" i="10"/>
  <c r="K77" i="10"/>
  <c r="J77" i="10"/>
  <c r="I77" i="10"/>
  <c r="H77" i="10"/>
  <c r="H81" i="10" s="1"/>
  <c r="G77" i="10"/>
  <c r="F77" i="10"/>
  <c r="F81" i="10" s="1"/>
  <c r="E77" i="10"/>
  <c r="D77" i="10"/>
  <c r="P76" i="10"/>
  <c r="P75" i="10"/>
  <c r="P74" i="10"/>
  <c r="P73" i="10"/>
  <c r="P72" i="10"/>
  <c r="P63" i="10"/>
  <c r="K62" i="10"/>
  <c r="P60" i="10"/>
  <c r="P56" i="10"/>
  <c r="P54" i="10"/>
  <c r="F50" i="10"/>
  <c r="E50" i="10"/>
  <c r="P48" i="10"/>
  <c r="O47" i="10"/>
  <c r="N47" i="10"/>
  <c r="M47" i="10"/>
  <c r="L47" i="10"/>
  <c r="K47" i="10"/>
  <c r="J47" i="10"/>
  <c r="I47" i="10"/>
  <c r="H47" i="10"/>
  <c r="G47" i="10"/>
  <c r="G50" i="10" s="1"/>
  <c r="F47" i="10"/>
  <c r="E47" i="10"/>
  <c r="D47" i="10"/>
  <c r="O46" i="10"/>
  <c r="O50" i="10" s="1"/>
  <c r="N46" i="10"/>
  <c r="N50" i="10" s="1"/>
  <c r="M46" i="10"/>
  <c r="M50" i="10" s="1"/>
  <c r="L46" i="10"/>
  <c r="K46" i="10"/>
  <c r="J46" i="10"/>
  <c r="I46" i="10"/>
  <c r="H46" i="10"/>
  <c r="G46" i="10"/>
  <c r="F46" i="10"/>
  <c r="E46" i="10"/>
  <c r="D46" i="10"/>
  <c r="D50" i="10" s="1"/>
  <c r="P45" i="10"/>
  <c r="P44" i="10"/>
  <c r="P43" i="10"/>
  <c r="P42" i="10"/>
  <c r="P41" i="10"/>
  <c r="P10" i="10"/>
  <c r="P11" i="10"/>
  <c r="P12" i="10"/>
  <c r="P13" i="10"/>
  <c r="P24" i="10"/>
  <c r="P23" i="10"/>
  <c r="P22" i="10"/>
  <c r="P21" i="10"/>
  <c r="E19" i="6"/>
  <c r="E12" i="1"/>
  <c r="D12" i="1"/>
  <c r="C12" i="1"/>
  <c r="O16" i="11"/>
  <c r="O15" i="10"/>
  <c r="O18" i="10" s="1"/>
  <c r="N15" i="10"/>
  <c r="N18" i="10" s="1"/>
  <c r="M15" i="10"/>
  <c r="L15" i="10"/>
  <c r="K15" i="10"/>
  <c r="J15" i="10"/>
  <c r="I15" i="10"/>
  <c r="O14" i="10"/>
  <c r="N14" i="10"/>
  <c r="M14" i="10"/>
  <c r="L14" i="10"/>
  <c r="K14" i="10"/>
  <c r="J14" i="10"/>
  <c r="J18" i="10" s="1"/>
  <c r="I14" i="10"/>
  <c r="O30" i="10"/>
  <c r="N30" i="10"/>
  <c r="M30" i="10"/>
  <c r="M33" i="10" s="1"/>
  <c r="L30" i="10"/>
  <c r="K30" i="10"/>
  <c r="J30" i="10"/>
  <c r="I30" i="10"/>
  <c r="O29" i="10"/>
  <c r="N29" i="10"/>
  <c r="M29" i="10"/>
  <c r="L29" i="10"/>
  <c r="K29" i="10"/>
  <c r="J29" i="10"/>
  <c r="I29" i="10"/>
  <c r="P31" i="10"/>
  <c r="G34" i="6"/>
  <c r="E32" i="6"/>
  <c r="C18" i="14"/>
  <c r="C19" i="14"/>
  <c r="P25" i="10"/>
  <c r="P9" i="10"/>
  <c r="P26" i="10"/>
  <c r="P27" i="10"/>
  <c r="P28" i="10"/>
  <c r="P16" i="10"/>
  <c r="P6" i="11"/>
  <c r="P9" i="11"/>
  <c r="P10" i="11"/>
  <c r="P11" i="11"/>
  <c r="P12" i="11"/>
  <c r="P13" i="11"/>
  <c r="P14" i="11"/>
  <c r="F34" i="6"/>
  <c r="C17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J16" i="11"/>
  <c r="K16" i="11"/>
  <c r="L16" i="11"/>
  <c r="M16" i="11"/>
  <c r="N16" i="11"/>
  <c r="I16" i="11"/>
  <c r="D9" i="3"/>
  <c r="E9" i="3"/>
  <c r="F9" i="3" s="1"/>
  <c r="G9" i="3" s="1"/>
  <c r="H9" i="3" s="1"/>
  <c r="I9" i="3" s="1"/>
  <c r="J9" i="3" s="1"/>
  <c r="K9" i="3" s="1"/>
  <c r="L9" i="3" s="1"/>
  <c r="M9" i="3" s="1"/>
  <c r="N9" i="3" s="1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E23" i="8"/>
  <c r="H16" i="11"/>
  <c r="G16" i="11"/>
  <c r="F16" i="11"/>
  <c r="E16" i="11"/>
  <c r="P52" i="3"/>
  <c r="P53" i="3"/>
  <c r="P48" i="3"/>
  <c r="P49" i="3"/>
  <c r="P50" i="3"/>
  <c r="P51" i="3"/>
  <c r="P75" i="3"/>
  <c r="P74" i="3"/>
  <c r="P78" i="3"/>
  <c r="P79" i="3"/>
  <c r="P76" i="3"/>
  <c r="P77" i="3"/>
  <c r="E32" i="5" l="1"/>
  <c r="E42" i="4"/>
  <c r="N42" i="4"/>
  <c r="D42" i="4"/>
  <c r="C42" i="4"/>
  <c r="H42" i="4"/>
  <c r="G42" i="4"/>
  <c r="F42" i="4"/>
  <c r="M42" i="4"/>
  <c r="H39" i="4"/>
  <c r="C40" i="4"/>
  <c r="E21" i="5"/>
  <c r="O45" i="4" s="1"/>
  <c r="D40" i="4"/>
  <c r="E19" i="5"/>
  <c r="O44" i="4" s="1"/>
  <c r="E40" i="4"/>
  <c r="E17" i="5"/>
  <c r="O43" i="4" s="1"/>
  <c r="O48" i="4" s="1"/>
  <c r="F40" i="4"/>
  <c r="L39" i="4"/>
  <c r="K39" i="4"/>
  <c r="M39" i="4"/>
  <c r="N39" i="4"/>
  <c r="C39" i="4"/>
  <c r="D39" i="4"/>
  <c r="E39" i="4"/>
  <c r="F39" i="4"/>
  <c r="G27" i="4"/>
  <c r="F27" i="4"/>
  <c r="E27" i="4"/>
  <c r="D27" i="4"/>
  <c r="C27" i="4"/>
  <c r="H27" i="4"/>
  <c r="L27" i="4"/>
  <c r="M28" i="4"/>
  <c r="N28" i="4"/>
  <c r="H28" i="4"/>
  <c r="L28" i="4"/>
  <c r="G28" i="4"/>
  <c r="K28" i="4"/>
  <c r="D28" i="4"/>
  <c r="F28" i="4"/>
  <c r="J28" i="4"/>
  <c r="E28" i="4"/>
  <c r="I28" i="4"/>
  <c r="C28" i="4"/>
  <c r="M24" i="4"/>
  <c r="G23" i="4"/>
  <c r="D15" i="5"/>
  <c r="O26" i="4" s="1"/>
  <c r="O32" i="4" s="1"/>
  <c r="H23" i="4"/>
  <c r="F23" i="4"/>
  <c r="N24" i="4"/>
  <c r="C24" i="4"/>
  <c r="D24" i="4"/>
  <c r="F24" i="4"/>
  <c r="D21" i="5"/>
  <c r="O29" i="4" s="1"/>
  <c r="I24" i="4"/>
  <c r="G24" i="4"/>
  <c r="C23" i="4"/>
  <c r="J24" i="4"/>
  <c r="H24" i="4"/>
  <c r="E23" i="4"/>
  <c r="K24" i="4"/>
  <c r="F35" i="6"/>
  <c r="O22" i="3" s="1"/>
  <c r="E96" i="10"/>
  <c r="P88" i="10"/>
  <c r="M18" i="4"/>
  <c r="N18" i="4"/>
  <c r="F92" i="10"/>
  <c r="P89" i="10"/>
  <c r="H92" i="10"/>
  <c r="P86" i="10"/>
  <c r="P85" i="10"/>
  <c r="G92" i="10"/>
  <c r="G96" i="10" s="1"/>
  <c r="G100" i="10" s="1"/>
  <c r="P58" i="10"/>
  <c r="L61" i="10"/>
  <c r="F65" i="10"/>
  <c r="F69" i="10" s="1"/>
  <c r="L62" i="10"/>
  <c r="I65" i="10"/>
  <c r="O62" i="10"/>
  <c r="M61" i="10"/>
  <c r="P55" i="10"/>
  <c r="N61" i="10"/>
  <c r="M62" i="10"/>
  <c r="M65" i="10" s="1"/>
  <c r="M69" i="10" s="1"/>
  <c r="L65" i="10"/>
  <c r="K61" i="10"/>
  <c r="K65" i="10" s="1"/>
  <c r="E65" i="10"/>
  <c r="E69" i="10" s="1"/>
  <c r="H65" i="10"/>
  <c r="H69" i="10" s="1"/>
  <c r="N33" i="10"/>
  <c r="O33" i="10"/>
  <c r="M46" i="4"/>
  <c r="K46" i="4"/>
  <c r="L46" i="4"/>
  <c r="N46" i="4"/>
  <c r="J46" i="4"/>
  <c r="I40" i="4"/>
  <c r="J40" i="4"/>
  <c r="L40" i="4"/>
  <c r="M40" i="4"/>
  <c r="N40" i="4"/>
  <c r="I27" i="4"/>
  <c r="K27" i="4"/>
  <c r="N27" i="4"/>
  <c r="J27" i="4"/>
  <c r="K25" i="4"/>
  <c r="L25" i="4"/>
  <c r="M25" i="4"/>
  <c r="N25" i="4"/>
  <c r="J23" i="4"/>
  <c r="K23" i="4"/>
  <c r="I23" i="4"/>
  <c r="L23" i="4"/>
  <c r="M23" i="4"/>
  <c r="N23" i="4"/>
  <c r="J42" i="4"/>
  <c r="K42" i="4"/>
  <c r="I41" i="4"/>
  <c r="L42" i="4"/>
  <c r="I42" i="4"/>
  <c r="I26" i="4"/>
  <c r="J26" i="4"/>
  <c r="M27" i="4"/>
  <c r="K26" i="4"/>
  <c r="I25" i="4"/>
  <c r="L26" i="4"/>
  <c r="H30" i="4"/>
  <c r="I92" i="10"/>
  <c r="I93" i="10"/>
  <c r="I96" i="10" s="1"/>
  <c r="I100" i="10" s="1"/>
  <c r="M92" i="10"/>
  <c r="O93" i="10"/>
  <c r="N92" i="10"/>
  <c r="N93" i="10"/>
  <c r="M93" i="10"/>
  <c r="L92" i="10"/>
  <c r="K92" i="10"/>
  <c r="F96" i="10"/>
  <c r="F100" i="10" s="1"/>
  <c r="H96" i="10"/>
  <c r="H100" i="10" s="1"/>
  <c r="J93" i="10"/>
  <c r="O92" i="10"/>
  <c r="D92" i="10"/>
  <c r="J92" i="10"/>
  <c r="J96" i="10" s="1"/>
  <c r="J100" i="10" s="1"/>
  <c r="P84" i="10"/>
  <c r="O81" i="10"/>
  <c r="L81" i="10"/>
  <c r="G81" i="10"/>
  <c r="P48" i="11"/>
  <c r="P32" i="11"/>
  <c r="L93" i="10"/>
  <c r="K93" i="10"/>
  <c r="D93" i="10"/>
  <c r="J65" i="10"/>
  <c r="J69" i="10" s="1"/>
  <c r="N62" i="10"/>
  <c r="O61" i="10"/>
  <c r="P59" i="10"/>
  <c r="G65" i="10"/>
  <c r="G69" i="10" s="1"/>
  <c r="D81" i="10"/>
  <c r="E81" i="10"/>
  <c r="E100" i="10" s="1"/>
  <c r="N81" i="10"/>
  <c r="P78" i="10"/>
  <c r="M81" i="10"/>
  <c r="I81" i="10"/>
  <c r="K81" i="10"/>
  <c r="J81" i="10"/>
  <c r="H50" i="10"/>
  <c r="P47" i="10"/>
  <c r="P46" i="10"/>
  <c r="P50" i="10" s="1"/>
  <c r="K50" i="10"/>
  <c r="J50" i="10"/>
  <c r="L50" i="10"/>
  <c r="O24" i="3"/>
  <c r="O12" i="2"/>
  <c r="C14" i="1" s="1"/>
  <c r="O14" i="3"/>
  <c r="P77" i="10"/>
  <c r="I50" i="10"/>
  <c r="E33" i="10"/>
  <c r="E37" i="10" s="1"/>
  <c r="P30" i="10"/>
  <c r="D33" i="10"/>
  <c r="D37" i="10" s="1"/>
  <c r="I33" i="10"/>
  <c r="I37" i="10" s="1"/>
  <c r="L33" i="10"/>
  <c r="L37" i="10" s="1"/>
  <c r="J33" i="10"/>
  <c r="J37" i="10" s="1"/>
  <c r="F33" i="10"/>
  <c r="F37" i="10" s="1"/>
  <c r="H33" i="10"/>
  <c r="K33" i="10"/>
  <c r="G33" i="10"/>
  <c r="P15" i="10"/>
  <c r="K18" i="10"/>
  <c r="O37" i="10"/>
  <c r="C7" i="6" s="1"/>
  <c r="L18" i="10"/>
  <c r="I18" i="10"/>
  <c r="N37" i="10"/>
  <c r="M18" i="10"/>
  <c r="M37" i="10" s="1"/>
  <c r="P14" i="10"/>
  <c r="P18" i="10" s="1"/>
  <c r="P29" i="10"/>
  <c r="C6" i="13"/>
  <c r="C9" i="13" s="1"/>
  <c r="G35" i="6"/>
  <c r="H32" i="3" s="1"/>
  <c r="O32" i="3" s="1"/>
  <c r="C44" i="4" l="1"/>
  <c r="I44" i="4"/>
  <c r="I48" i="4" s="1"/>
  <c r="I33" i="3" s="1"/>
  <c r="H44" i="4"/>
  <c r="G44" i="4"/>
  <c r="F44" i="4"/>
  <c r="E44" i="4"/>
  <c r="E48" i="4" s="1"/>
  <c r="E33" i="3" s="1"/>
  <c r="N44" i="4"/>
  <c r="M44" i="4"/>
  <c r="D44" i="4"/>
  <c r="L44" i="4"/>
  <c r="K44" i="4"/>
  <c r="K48" i="4" s="1"/>
  <c r="K33" i="3" s="1"/>
  <c r="J44" i="4"/>
  <c r="C45" i="4"/>
  <c r="L45" i="4"/>
  <c r="K45" i="4"/>
  <c r="J45" i="4"/>
  <c r="J48" i="4" s="1"/>
  <c r="J33" i="3" s="1"/>
  <c r="I45" i="4"/>
  <c r="H45" i="4"/>
  <c r="G45" i="4"/>
  <c r="F45" i="4"/>
  <c r="E45" i="4"/>
  <c r="N45" i="4"/>
  <c r="D45" i="4"/>
  <c r="M45" i="4"/>
  <c r="L43" i="4"/>
  <c r="L48" i="4" s="1"/>
  <c r="L33" i="3" s="1"/>
  <c r="H43" i="4"/>
  <c r="H48" i="4" s="1"/>
  <c r="H33" i="3" s="1"/>
  <c r="D43" i="4"/>
  <c r="D48" i="4" s="1"/>
  <c r="D33" i="3" s="1"/>
  <c r="G43" i="4"/>
  <c r="G48" i="4" s="1"/>
  <c r="G33" i="3" s="1"/>
  <c r="C43" i="4"/>
  <c r="C48" i="4" s="1"/>
  <c r="C33" i="3" s="1"/>
  <c r="N43" i="4"/>
  <c r="N48" i="4" s="1"/>
  <c r="N33" i="3" s="1"/>
  <c r="F43" i="4"/>
  <c r="F48" i="4" s="1"/>
  <c r="F33" i="3" s="1"/>
  <c r="M43" i="4"/>
  <c r="M48" i="4" s="1"/>
  <c r="M33" i="3" s="1"/>
  <c r="E43" i="4"/>
  <c r="K43" i="4"/>
  <c r="J43" i="4"/>
  <c r="I43" i="4"/>
  <c r="C29" i="4"/>
  <c r="C32" i="4" s="1"/>
  <c r="C23" i="3" s="1"/>
  <c r="M29" i="4"/>
  <c r="H29" i="4"/>
  <c r="L29" i="4"/>
  <c r="G29" i="4"/>
  <c r="K29" i="4"/>
  <c r="F29" i="4"/>
  <c r="J29" i="4"/>
  <c r="E29" i="4"/>
  <c r="I29" i="4"/>
  <c r="D29" i="4"/>
  <c r="D32" i="4" s="1"/>
  <c r="D23" i="3" s="1"/>
  <c r="I32" i="4"/>
  <c r="I23" i="3" s="1"/>
  <c r="J32" i="4"/>
  <c r="J23" i="3" s="1"/>
  <c r="L32" i="4"/>
  <c r="L23" i="3" s="1"/>
  <c r="N29" i="4"/>
  <c r="N32" i="4" s="1"/>
  <c r="N23" i="3" s="1"/>
  <c r="D32" i="5"/>
  <c r="M26" i="4"/>
  <c r="M32" i="4" s="1"/>
  <c r="M23" i="3" s="1"/>
  <c r="E26" i="4"/>
  <c r="H26" i="4"/>
  <c r="G26" i="4"/>
  <c r="F26" i="4"/>
  <c r="D26" i="4"/>
  <c r="C26" i="4"/>
  <c r="N26" i="4"/>
  <c r="D6" i="13"/>
  <c r="D9" i="13" s="1"/>
  <c r="M96" i="10"/>
  <c r="O96" i="10"/>
  <c r="O65" i="10"/>
  <c r="O69" i="10" s="1"/>
  <c r="N65" i="10"/>
  <c r="N69" i="10" s="1"/>
  <c r="D65" i="10"/>
  <c r="D69" i="10" s="1"/>
  <c r="K69" i="10"/>
  <c r="P62" i="10"/>
  <c r="L69" i="10"/>
  <c r="I69" i="10"/>
  <c r="P61" i="10"/>
  <c r="E7" i="6"/>
  <c r="C33" i="6"/>
  <c r="C36" i="6" s="1"/>
  <c r="E6" i="13"/>
  <c r="E9" i="13" s="1"/>
  <c r="F32" i="4"/>
  <c r="F23" i="3" s="1"/>
  <c r="H32" i="4"/>
  <c r="H23" i="3" s="1"/>
  <c r="E32" i="4"/>
  <c r="E23" i="3" s="1"/>
  <c r="G32" i="4"/>
  <c r="G23" i="3" s="1"/>
  <c r="K32" i="4"/>
  <c r="K23" i="3" s="1"/>
  <c r="K96" i="10"/>
  <c r="K100" i="10" s="1"/>
  <c r="L96" i="10"/>
  <c r="L100" i="10" s="1"/>
  <c r="N96" i="10"/>
  <c r="N100" i="10" s="1"/>
  <c r="P92" i="10"/>
  <c r="D96" i="10"/>
  <c r="D100" i="10" s="1"/>
  <c r="O100" i="10"/>
  <c r="M100" i="10"/>
  <c r="P93" i="10"/>
  <c r="P81" i="10"/>
  <c r="K37" i="10"/>
  <c r="H37" i="10"/>
  <c r="G37" i="10"/>
  <c r="P33" i="10"/>
  <c r="P37" i="10" s="1"/>
  <c r="M13" i="3"/>
  <c r="N13" i="3"/>
  <c r="O12" i="3"/>
  <c r="J27" i="2" l="1"/>
  <c r="J36" i="3"/>
  <c r="O33" i="3"/>
  <c r="E13" i="1" s="1"/>
  <c r="H36" i="3"/>
  <c r="H27" i="2"/>
  <c r="F36" i="3"/>
  <c r="F27" i="2"/>
  <c r="K27" i="2"/>
  <c r="K36" i="3"/>
  <c r="N27" i="2"/>
  <c r="N36" i="3"/>
  <c r="G36" i="3"/>
  <c r="G27" i="2"/>
  <c r="D27" i="2"/>
  <c r="D36" i="3"/>
  <c r="E36" i="3"/>
  <c r="E27" i="2"/>
  <c r="I36" i="3"/>
  <c r="I27" i="2"/>
  <c r="C27" i="2"/>
  <c r="C36" i="3"/>
  <c r="C37" i="3" s="1"/>
  <c r="L27" i="2"/>
  <c r="L36" i="3"/>
  <c r="M27" i="2"/>
  <c r="M36" i="3"/>
  <c r="O23" i="3"/>
  <c r="D13" i="1" s="1"/>
  <c r="C26" i="3"/>
  <c r="C19" i="2"/>
  <c r="M26" i="3"/>
  <c r="M19" i="2"/>
  <c r="D26" i="3"/>
  <c r="D19" i="2"/>
  <c r="N26" i="3"/>
  <c r="N19" i="2"/>
  <c r="G19" i="2"/>
  <c r="G26" i="3"/>
  <c r="I19" i="2"/>
  <c r="I26" i="3"/>
  <c r="K26" i="3"/>
  <c r="K19" i="2"/>
  <c r="L26" i="3"/>
  <c r="O26" i="3" s="1"/>
  <c r="L19" i="2"/>
  <c r="E19" i="2"/>
  <c r="E26" i="3"/>
  <c r="H19" i="2"/>
  <c r="H26" i="3"/>
  <c r="J19" i="2"/>
  <c r="J26" i="3"/>
  <c r="F19" i="2"/>
  <c r="F26" i="3"/>
  <c r="P65" i="10"/>
  <c r="P69" i="10" s="1"/>
  <c r="F7" i="6" s="1"/>
  <c r="F33" i="6" s="1"/>
  <c r="F36" i="6" s="1"/>
  <c r="P96" i="10"/>
  <c r="P100" i="10" s="1"/>
  <c r="G7" i="6" s="1"/>
  <c r="G33" i="6" s="1"/>
  <c r="C17" i="3"/>
  <c r="C15" i="2" s="1"/>
  <c r="O27" i="2" l="1"/>
  <c r="E7" i="13"/>
  <c r="E10" i="13" s="1"/>
  <c r="E11" i="13" s="1"/>
  <c r="O29" i="2"/>
  <c r="E15" i="1" s="1"/>
  <c r="G36" i="6"/>
  <c r="D7" i="13"/>
  <c r="D10" i="13" s="1"/>
  <c r="D11" i="13" s="1"/>
  <c r="K30" i="2" l="1"/>
  <c r="D30" i="2"/>
  <c r="G30" i="2"/>
  <c r="I30" i="2"/>
  <c r="F30" i="2"/>
  <c r="M30" i="2"/>
  <c r="L30" i="2"/>
  <c r="J30" i="2"/>
  <c r="H30" i="2"/>
  <c r="E30" i="2"/>
  <c r="N30" i="2"/>
  <c r="O19" i="2"/>
  <c r="O13" i="3"/>
  <c r="O11" i="2"/>
  <c r="C13" i="1" s="1"/>
  <c r="P34" i="3" l="1"/>
  <c r="P24" i="3"/>
  <c r="P14" i="3"/>
  <c r="P35" i="3"/>
  <c r="P25" i="3"/>
  <c r="O21" i="2" l="1"/>
  <c r="D15" i="1" s="1"/>
  <c r="D16" i="11" l="1"/>
  <c r="P16" i="11" l="1"/>
  <c r="E33" i="6" s="1"/>
  <c r="E36" i="6" s="1"/>
  <c r="O15" i="3" l="1"/>
  <c r="F16" i="3" s="1"/>
  <c r="C7" i="13"/>
  <c r="C10" i="13" s="1"/>
  <c r="C11" i="13" s="1"/>
  <c r="J16" i="3" l="1"/>
  <c r="K16" i="3"/>
  <c r="L16" i="3"/>
  <c r="G16" i="3"/>
  <c r="I16" i="3"/>
  <c r="N16" i="3"/>
  <c r="P15" i="3"/>
  <c r="E16" i="3"/>
  <c r="H16" i="3" l="1"/>
  <c r="H14" i="2" s="1"/>
  <c r="D16" i="3"/>
  <c r="C16" i="3"/>
  <c r="C14" i="2" s="1"/>
  <c r="M16" i="3"/>
  <c r="M14" i="2" s="1"/>
  <c r="D17" i="3"/>
  <c r="D15" i="2" s="1"/>
  <c r="L14" i="2"/>
  <c r="I14" i="2"/>
  <c r="G14" i="2"/>
  <c r="F14" i="2"/>
  <c r="J14" i="2"/>
  <c r="E14" i="2"/>
  <c r="N14" i="2"/>
  <c r="K14" i="2"/>
  <c r="D14" i="2" l="1"/>
  <c r="O14" i="2" s="1"/>
  <c r="O16" i="3"/>
  <c r="C16" i="1" s="1"/>
  <c r="O13" i="2"/>
  <c r="C15" i="1" s="1"/>
  <c r="E17" i="3"/>
  <c r="C22" i="14" l="1"/>
  <c r="C24" i="14" s="1"/>
  <c r="E15" i="2"/>
  <c r="F17" i="3"/>
  <c r="F15" i="2" l="1"/>
  <c r="G17" i="3"/>
  <c r="G15" i="2" l="1"/>
  <c r="H17" i="3"/>
  <c r="H15" i="2" l="1"/>
  <c r="I17" i="3"/>
  <c r="I15" i="2" l="1"/>
  <c r="J17" i="3"/>
  <c r="J15" i="2" l="1"/>
  <c r="K17" i="3"/>
  <c r="K15" i="2" l="1"/>
  <c r="L17" i="3"/>
  <c r="M17" i="3" l="1"/>
  <c r="L15" i="2"/>
  <c r="N17" i="3" l="1"/>
  <c r="M15" i="2"/>
  <c r="O17" i="3" l="1"/>
  <c r="N15" i="2"/>
  <c r="O15" i="2" s="1"/>
  <c r="C27" i="3" l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C22" i="2"/>
  <c r="C23" i="2" l="1"/>
  <c r="D22" i="2" l="1"/>
  <c r="E22" i="2"/>
  <c r="D23" i="2"/>
  <c r="F22" i="2" l="1"/>
  <c r="E23" i="2"/>
  <c r="F23" i="2" l="1"/>
  <c r="G23" i="2" l="1"/>
  <c r="G22" i="2"/>
  <c r="H22" i="2"/>
  <c r="H23" i="2" l="1"/>
  <c r="I22" i="2" l="1"/>
  <c r="I23" i="2"/>
  <c r="J23" i="2"/>
  <c r="J22" i="2"/>
  <c r="K23" i="2" l="1"/>
  <c r="K22" i="2"/>
  <c r="L23" i="2" l="1"/>
  <c r="L22" i="2"/>
  <c r="N22" i="2" l="1"/>
  <c r="M23" i="2"/>
  <c r="M22" i="2"/>
  <c r="O23" i="2" l="1"/>
  <c r="D16" i="1"/>
  <c r="D22" i="14" s="1"/>
  <c r="D24" i="14" s="1"/>
  <c r="O22" i="2"/>
  <c r="N23" i="2" l="1"/>
  <c r="C30" i="2" l="1"/>
  <c r="O36" i="3"/>
  <c r="O30" i="2" s="1"/>
  <c r="C31" i="2" l="1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E16" i="1"/>
  <c r="F22" i="14" l="1"/>
  <c r="F24" i="14" s="1"/>
  <c r="C14" i="14"/>
  <c r="E22" i="14"/>
  <c r="E24" i="14" s="1"/>
  <c r="D31" i="2"/>
  <c r="E31" i="2"/>
  <c r="G24" i="14" l="1"/>
  <c r="G22" i="14"/>
  <c r="F31" i="2"/>
  <c r="G31" i="2" l="1"/>
  <c r="H31" i="2" l="1"/>
  <c r="I31" i="2" l="1"/>
  <c r="J31" i="2" l="1"/>
  <c r="K31" i="2" l="1"/>
  <c r="L31" i="2" l="1"/>
  <c r="M31" i="2" l="1"/>
  <c r="O37" i="3" l="1"/>
  <c r="O31" i="2" s="1"/>
  <c r="N31" i="2"/>
</calcChain>
</file>

<file path=xl/sharedStrings.xml><?xml version="1.0" encoding="utf-8"?>
<sst xmlns="http://schemas.openxmlformats.org/spreadsheetml/2006/main" count="480" uniqueCount="184">
  <si>
    <t>3 Year Financial Pro-Forma Summary by Month</t>
  </si>
  <si>
    <t>Cap. Infusion</t>
  </si>
  <si>
    <t>3 Year Financial Pro-Forma - Summary by Year</t>
  </si>
  <si>
    <t>Year 1</t>
  </si>
  <si>
    <t>Year 2</t>
  </si>
  <si>
    <t>Year 3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</si>
  <si>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</si>
  <si>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</si>
  <si>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</si>
  <si>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</si>
  <si>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</si>
  <si>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</si>
  <si>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</si>
  <si>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</si>
  <si>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</si>
  <si>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</si>
  <si>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</si>
  <si>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</si>
  <si>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</si>
  <si>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</si>
  <si>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CapEx</t>
  </si>
  <si>
    <t>Marketing</t>
  </si>
  <si>
    <t>Op Ex</t>
  </si>
  <si>
    <t>Cash</t>
  </si>
  <si>
    <t xml:space="preserve">Confidential - Do not distribute </t>
  </si>
  <si>
    <t xml:space="preserve">Marketing </t>
  </si>
  <si>
    <t>Marketing Expenses</t>
  </si>
  <si>
    <t>Operating Expenses</t>
  </si>
  <si>
    <t>EBIT</t>
  </si>
  <si>
    <t>(Latest Month/ First Month)^(1/# of Months) -1]</t>
  </si>
  <si>
    <t>Confidential - Do not distribute</t>
  </si>
  <si>
    <t>Revenue Variables</t>
  </si>
  <si>
    <t>Sell Through</t>
  </si>
  <si>
    <t>Price</t>
  </si>
  <si>
    <t>Operating Costs</t>
  </si>
  <si>
    <t>Total Operating &amp; Fixed</t>
  </si>
  <si>
    <t>Combines</t>
  </si>
  <si>
    <t>Combine Lease Rate:</t>
  </si>
  <si>
    <t>PMT:</t>
  </si>
  <si>
    <t>CAN/US</t>
  </si>
  <si>
    <t>US/CAN</t>
  </si>
  <si>
    <t>Yr 1</t>
  </si>
  <si>
    <t>Management</t>
  </si>
  <si>
    <t>COO</t>
  </si>
  <si>
    <t>CFO</t>
  </si>
  <si>
    <t>VP Sales</t>
  </si>
  <si>
    <t>Benefits</t>
  </si>
  <si>
    <t>Taxes</t>
  </si>
  <si>
    <t>Total Management (OH)</t>
  </si>
  <si>
    <t>Direct Labor (Salary)</t>
  </si>
  <si>
    <t>Total Direct (Salary)</t>
  </si>
  <si>
    <t>Total OH</t>
  </si>
  <si>
    <t>Payroll Expense</t>
  </si>
  <si>
    <t>Yr 2</t>
  </si>
  <si>
    <t>Yr 3</t>
  </si>
  <si>
    <t>Yr1</t>
  </si>
  <si>
    <t>Non- Payroll OpEx</t>
  </si>
  <si>
    <t>Phones</t>
  </si>
  <si>
    <t>Office Supplies</t>
  </si>
  <si>
    <t>Total Non- Payroll OpEx</t>
  </si>
  <si>
    <t>Yr2</t>
  </si>
  <si>
    <t>Yr3</t>
  </si>
  <si>
    <t>UOP</t>
  </si>
  <si>
    <t>Notes</t>
  </si>
  <si>
    <t>Cash basis accrual accounting</t>
  </si>
  <si>
    <t>Farming/Harvesting costs classified as operational costs</t>
  </si>
  <si>
    <t>Processing costs classified as COGS</t>
  </si>
  <si>
    <t>Valuation Matrix</t>
  </si>
  <si>
    <t>Discount Rate</t>
  </si>
  <si>
    <t>Illiquidity Discount</t>
  </si>
  <si>
    <t>Valuation</t>
  </si>
  <si>
    <t>Investment</t>
  </si>
  <si>
    <t>Equity</t>
  </si>
  <si>
    <t>Year 4*</t>
  </si>
  <si>
    <t>Total Cash Return</t>
  </si>
  <si>
    <t>Distributions</t>
  </si>
  <si>
    <t>Cash Flows / IRR</t>
  </si>
  <si>
    <t>Monthly Costs</t>
  </si>
  <si>
    <t>Total Monthly Costs</t>
  </si>
  <si>
    <t>Total Fixed Costs</t>
  </si>
  <si>
    <t>Number of Harvests</t>
  </si>
  <si>
    <t>US$</t>
  </si>
  <si>
    <t>Payroll</t>
  </si>
  <si>
    <t>Total OpEx</t>
  </si>
  <si>
    <t>Total CapEx</t>
  </si>
  <si>
    <t>Price/Liter (Wholesale 50%)</t>
  </si>
  <si>
    <t>Total Revenue ($ USD)</t>
  </si>
  <si>
    <t>Financial Summary</t>
  </si>
  <si>
    <t>EBIT Summary</t>
  </si>
  <si>
    <t>Effective Tax Rate</t>
  </si>
  <si>
    <t xml:space="preserve">*Exit (Based off </t>
  </si>
  <si>
    <t>x CF Multiple</t>
  </si>
  <si>
    <t>Price/Pound (Distribution)</t>
  </si>
  <si>
    <t>Seasonal Costs</t>
  </si>
  <si>
    <t>Total Seasonal Costs</t>
  </si>
  <si>
    <t>Non-Payroll OpEx</t>
  </si>
  <si>
    <t>Insurance (General Business)</t>
  </si>
  <si>
    <t>Equipment Maintenance Costs</t>
  </si>
  <si>
    <t>CMO</t>
  </si>
  <si>
    <t>CEO/CTO</t>
  </si>
  <si>
    <t>Lead Developer</t>
  </si>
  <si>
    <t>Backend Developer</t>
  </si>
  <si>
    <t>Frontend Developer</t>
  </si>
  <si>
    <t>UX/UI Designer</t>
  </si>
  <si>
    <t>Digital Marketing Manager</t>
  </si>
  <si>
    <t>Customer Support</t>
  </si>
  <si>
    <t>Cloud Hosting Fees</t>
  </si>
  <si>
    <t>Travel + Ent</t>
  </si>
  <si>
    <t>Office Rent + Utilities</t>
  </si>
  <si>
    <t>Licensing Fees</t>
  </si>
  <si>
    <t>Legal + Accounting Fees</t>
  </si>
  <si>
    <t>Customer Support x 5</t>
  </si>
  <si>
    <t>Customer Support x 3</t>
  </si>
  <si>
    <t>Development OpEx</t>
  </si>
  <si>
    <t>Development Expenses (OpEx/CapEx)</t>
  </si>
  <si>
    <t>Total Monthly OpEx</t>
  </si>
  <si>
    <t>Fixed Costs for Development</t>
  </si>
  <si>
    <t>Confrences and Expo's</t>
  </si>
  <si>
    <t>Intellectual Property Licensing</t>
  </si>
  <si>
    <t>Software + Hosting</t>
  </si>
  <si>
    <t>Office Furniture</t>
  </si>
  <si>
    <t>Tools and Analytics</t>
  </si>
  <si>
    <t>Video Production for Athlete Content</t>
  </si>
  <si>
    <t>Cybersecurity</t>
  </si>
  <si>
    <t>POS Systems</t>
  </si>
  <si>
    <t>Data Privacy and Compliance</t>
  </si>
  <si>
    <t>Proprietary Development Equipment</t>
  </si>
  <si>
    <t>Patent Trademark Applications</t>
  </si>
  <si>
    <t>Employee Training and Development</t>
  </si>
  <si>
    <t>Cloud Computing + Storage Solutions</t>
  </si>
  <si>
    <t>Incremental Feature Updating</t>
  </si>
  <si>
    <t>Qualitative Analysis Testing</t>
  </si>
  <si>
    <t>Phones + Augmented/VR Headsets</t>
  </si>
  <si>
    <t>Site/App(s) Front/Backend Construction</t>
  </si>
  <si>
    <t>AI Support Service Technologies</t>
  </si>
  <si>
    <t>Number of Athletes</t>
  </si>
  <si>
    <t>Number of app downloads</t>
  </si>
  <si>
    <t>Number of VR game downloads</t>
  </si>
  <si>
    <t>Number of AR game downloads</t>
  </si>
  <si>
    <t>AR game price</t>
  </si>
  <si>
    <t>VR game price</t>
  </si>
  <si>
    <t xml:space="preserve">In-app purchases price </t>
  </si>
  <si>
    <t>App price (per month)</t>
  </si>
  <si>
    <t>Licensing fees/royalties for use of proprietary technology (????)</t>
  </si>
  <si>
    <t>Licenses for use of proprietary technology (????)</t>
  </si>
  <si>
    <r>
      <t xml:space="preserve">Commission on ticket sales for sporting events  </t>
    </r>
    <r>
      <rPr>
        <b/>
        <sz val="9"/>
        <color rgb="FF000000"/>
        <rFont val="Calibri"/>
        <family val="2"/>
      </rPr>
      <t>(based off 5% of downloads)</t>
    </r>
  </si>
  <si>
    <r>
      <t xml:space="preserve">Est. commission per ticket sale </t>
    </r>
    <r>
      <rPr>
        <b/>
        <sz val="8"/>
        <color rgb="FF000000"/>
        <rFont val="Calibri"/>
        <family val="2"/>
      </rPr>
      <t>(@ $2 per ticket)</t>
    </r>
  </si>
  <si>
    <t xml:space="preserve">Data analytics and insights services </t>
  </si>
  <si>
    <r>
      <t xml:space="preserve">Subscription for premium content (in-app) </t>
    </r>
    <r>
      <rPr>
        <b/>
        <sz val="9"/>
        <color rgb="FF000000"/>
        <rFont val="Calibri"/>
        <family val="2"/>
      </rPr>
      <t>(based off 20% of downloads)</t>
    </r>
  </si>
  <si>
    <r>
      <t xml:space="preserve">In-app purchases for additional features/content </t>
    </r>
    <r>
      <rPr>
        <b/>
        <sz val="9"/>
        <color rgb="FF000000"/>
        <rFont val="Calibri"/>
        <family val="2"/>
      </rPr>
      <t>(based off 17% of downloads)</t>
    </r>
  </si>
  <si>
    <t>Revenue Produced (est. in $USD)</t>
  </si>
  <si>
    <r>
      <t xml:space="preserve">Revenue from data analytics and insights services </t>
    </r>
    <r>
      <rPr>
        <b/>
        <sz val="9"/>
        <color rgb="FF000000"/>
        <rFont val="Calibri"/>
        <family val="2"/>
      </rPr>
      <t xml:space="preserve"> (per month/user)</t>
    </r>
  </si>
  <si>
    <t>Revenue Production</t>
  </si>
  <si>
    <t>Mobile App Downloads</t>
  </si>
  <si>
    <t>VR Game Downloads</t>
  </si>
  <si>
    <t>AR Game Downloads</t>
  </si>
  <si>
    <t>Premium content subscription</t>
  </si>
  <si>
    <t>In-app purchases</t>
  </si>
  <si>
    <t>E-commerce merch sales commissions</t>
  </si>
  <si>
    <t>E-commerce ticket sales commissions</t>
  </si>
  <si>
    <t>Dad analytics services</t>
  </si>
  <si>
    <t>Software licensing royalties</t>
  </si>
  <si>
    <t>YEAR 1</t>
  </si>
  <si>
    <t>YEAR 2</t>
  </si>
  <si>
    <t>YEAR 3</t>
  </si>
  <si>
    <t>A Division of Wraith Metaverse, LLC, MBE, SBE</t>
  </si>
  <si>
    <r>
      <t xml:space="preserve">Subscription fee price for premium content </t>
    </r>
    <r>
      <rPr>
        <b/>
        <sz val="9"/>
        <color rgb="FF000000"/>
        <rFont val="Calibri"/>
        <family val="2"/>
      </rPr>
      <t>(per month)</t>
    </r>
  </si>
  <si>
    <r>
      <t xml:space="preserve">Number of sports merch e-commerce sales  </t>
    </r>
    <r>
      <rPr>
        <b/>
        <sz val="9"/>
        <color rgb="FF000000"/>
        <rFont val="Calibri"/>
        <family val="2"/>
      </rPr>
      <t>(based off 5% of downloads)</t>
    </r>
  </si>
  <si>
    <r>
      <t xml:space="preserve">Est. commission per merch sale </t>
    </r>
    <r>
      <rPr>
        <b/>
        <sz val="9"/>
        <color rgb="FF000000"/>
        <rFont val="Calibri"/>
        <family val="2"/>
      </rPr>
      <t>(@ $3 per sale)</t>
    </r>
  </si>
  <si>
    <t>Content Creators x 2</t>
  </si>
  <si>
    <t>Lead Developer x 3</t>
  </si>
  <si>
    <t>Backend Developer x 3</t>
  </si>
  <si>
    <t>Frontend Developer x 3</t>
  </si>
  <si>
    <t>UX/UI Designer x 3</t>
  </si>
  <si>
    <t>Digital Marketing Manager x 3</t>
  </si>
  <si>
    <t>Content Creator x 3</t>
  </si>
  <si>
    <t>Lead Developer x 2</t>
  </si>
  <si>
    <t>Backend Developer x 2</t>
  </si>
  <si>
    <t>Frontend Developer x 2</t>
  </si>
  <si>
    <t>UX/UI Designer x 2</t>
  </si>
  <si>
    <t>Digital Marketing Manager x 2</t>
  </si>
  <si>
    <t>Content Creator x 2</t>
  </si>
  <si>
    <t>Balance Sheet Cash</t>
  </si>
  <si>
    <t>Development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</si>
</sst>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&quot;$&quot;#,##0"/>
    <numFmt numFmtId="168" formatCode="0.000%"/>
    <numFmt numFmtId="169" formatCode="&quot;$&quot;#,##0.00"/>
  </numFmts>
  <fonts count="37">
    <font>
      <sz val="11"/>
      <color rgb="FF000000"/>
      <name val="Calibri"/>
    </font>
    <font>
      <sz val="48"/>
      <color rgb="FF000000"/>
      <name val="Athelas regular"/>
    </font>
    <font>
      <sz val="11"/>
      <name val="Calibri"/>
      <family val="2"/>
    </font>
    <font>
      <sz val="36"/>
      <color rgb="FF000000"/>
      <name val="Athelas regular"/>
    </font>
    <font>
      <sz val="11"/>
      <color rgb="FF000000"/>
      <name val="Athelas regula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28"/>
      <color rgb="FF000000"/>
      <name val="Athelas regular"/>
    </font>
    <font>
      <sz val="24"/>
      <color rgb="FF000000"/>
      <name val="Athelas regular"/>
    </font>
    <font>
      <b/>
      <i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b/>
      <i/>
      <sz val="9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26"/>
      <color rgb="FF000000"/>
      <name val="Calibri"/>
      <family val="2"/>
    </font>
    <font>
      <i/>
      <sz val="11"/>
      <color rgb="FF000000"/>
      <name val="Calibri Light"/>
      <family val="2"/>
      <scheme val="maj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2"/>
      <color theme="1"/>
      <name val="Segoe U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i/>
      <sz val="9"/>
      <color rgb="FF7030A0"/>
      <name val="Calibri"/>
      <family val="2"/>
    </font>
    <font>
      <sz val="11"/>
      <color rgb="FF7030A0"/>
      <name val="Calibri"/>
      <family val="2"/>
    </font>
    <font>
      <i/>
      <sz val="10"/>
      <color rgb="FF000000"/>
      <name val="Calibri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9900FF"/>
        <bgColor rgb="FFFFFFFF"/>
      </patternFill>
    </fill>
    <fill>
      <patternFill patternType="solid">
        <fgColor theme="1" tint="0.499984740745262"/>
        <bgColor rgb="FFFFFFFF"/>
      </patternFill>
    </fill>
  </fills>
  <borders count="1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theme="1"/>
      </top>
      <bottom/>
      <diagonal/>
    </border>
    <border>
      <left style="thin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indexed="64"/>
      </bottom>
      <diagonal/>
    </border>
    <border>
      <left style="medium">
        <color theme="1"/>
      </left>
      <right style="thin">
        <color rgb="FF000000"/>
      </right>
      <top style="medium">
        <color indexed="64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44" fontId="0" fillId="2" borderId="1" xfId="0" applyNumberFormat="1" applyFill="1" applyBorder="1"/>
    <xf numFmtId="6" fontId="0" fillId="2" borderId="1" xfId="0" applyNumberFormat="1" applyFill="1" applyBorder="1"/>
    <xf numFmtId="0" fontId="4" fillId="2" borderId="1" xfId="0" applyFont="1" applyFill="1" applyBorder="1"/>
    <xf numFmtId="0" fontId="6" fillId="2" borderId="18" xfId="0" applyFont="1" applyFill="1" applyBorder="1" applyAlignment="1">
      <alignment horizontal="center"/>
    </xf>
    <xf numFmtId="0" fontId="0" fillId="2" borderId="21" xfId="0" applyFill="1" applyBorder="1"/>
    <xf numFmtId="0" fontId="0" fillId="2" borderId="20" xfId="0" applyFill="1" applyBorder="1" applyAlignment="1">
      <alignment horizontal="right"/>
    </xf>
    <xf numFmtId="0" fontId="6" fillId="2" borderId="22" xfId="0" applyFont="1" applyFill="1" applyBorder="1" applyAlignment="1">
      <alignment horizontal="center"/>
    </xf>
    <xf numFmtId="164" fontId="0" fillId="2" borderId="20" xfId="0" applyNumberFormat="1" applyFill="1" applyBorder="1"/>
    <xf numFmtId="0" fontId="6" fillId="2" borderId="23" xfId="0" applyFont="1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44" fontId="0" fillId="2" borderId="20" xfId="0" applyNumberFormat="1" applyFill="1" applyBorder="1" applyAlignment="1">
      <alignment horizontal="center"/>
    </xf>
    <xf numFmtId="164" fontId="6" fillId="2" borderId="20" xfId="0" applyNumberFormat="1" applyFont="1" applyFill="1" applyBorder="1"/>
    <xf numFmtId="164" fontId="0" fillId="2" borderId="25" xfId="0" applyNumberFormat="1" applyFill="1" applyBorder="1"/>
    <xf numFmtId="9" fontId="4" fillId="2" borderId="1" xfId="0" applyNumberFormat="1" applyFont="1" applyFill="1" applyBorder="1"/>
    <xf numFmtId="9" fontId="0" fillId="2" borderId="1" xfId="0" applyNumberFormat="1" applyFill="1" applyBorder="1"/>
    <xf numFmtId="166" fontId="0" fillId="2" borderId="1" xfId="0" applyNumberFormat="1" applyFill="1" applyBorder="1"/>
    <xf numFmtId="0" fontId="0" fillId="2" borderId="26" xfId="0" applyFill="1" applyBorder="1" applyAlignment="1">
      <alignment horizontal="right"/>
    </xf>
    <xf numFmtId="164" fontId="7" fillId="2" borderId="27" xfId="0" applyNumberFormat="1" applyFont="1" applyFill="1" applyBorder="1"/>
    <xf numFmtId="164" fontId="0" fillId="2" borderId="28" xfId="0" applyNumberFormat="1" applyFill="1" applyBorder="1"/>
    <xf numFmtId="165" fontId="0" fillId="2" borderId="1" xfId="0" applyNumberFormat="1" applyFill="1" applyBorder="1"/>
    <xf numFmtId="0" fontId="6" fillId="2" borderId="24" xfId="0" applyFont="1" applyFill="1" applyBorder="1"/>
    <xf numFmtId="3" fontId="0" fillId="2" borderId="1" xfId="0" applyNumberFormat="1" applyFill="1" applyBorder="1"/>
    <xf numFmtId="0" fontId="0" fillId="2" borderId="30" xfId="0" applyFill="1" applyBorder="1"/>
    <xf numFmtId="165" fontId="0" fillId="2" borderId="30" xfId="0" applyNumberFormat="1" applyFill="1" applyBorder="1"/>
    <xf numFmtId="0" fontId="0" fillId="2" borderId="29" xfId="0" applyFill="1" applyBorder="1"/>
    <xf numFmtId="164" fontId="0" fillId="2" borderId="30" xfId="0" applyNumberFormat="1" applyFill="1" applyBorder="1"/>
    <xf numFmtId="8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7" fillId="2" borderId="1" xfId="0" applyFont="1" applyFill="1" applyBorder="1"/>
    <xf numFmtId="164" fontId="7" fillId="2" borderId="1" xfId="0" applyNumberFormat="1" applyFont="1" applyFill="1" applyBorder="1"/>
    <xf numFmtId="9" fontId="0" fillId="2" borderId="20" xfId="0" applyNumberFormat="1" applyFill="1" applyBorder="1"/>
    <xf numFmtId="0" fontId="0" fillId="2" borderId="20" xfId="0" applyFill="1" applyBorder="1"/>
    <xf numFmtId="44" fontId="0" fillId="2" borderId="20" xfId="0" applyNumberFormat="1" applyFill="1" applyBorder="1"/>
    <xf numFmtId="0" fontId="0" fillId="2" borderId="25" xfId="0" applyFill="1" applyBorder="1"/>
    <xf numFmtId="0" fontId="6" fillId="2" borderId="1" xfId="0" applyFont="1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6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0" fillId="2" borderId="37" xfId="0" applyFill="1" applyBorder="1"/>
    <xf numFmtId="0" fontId="0" fillId="2" borderId="34" xfId="0" applyFill="1" applyBorder="1"/>
    <xf numFmtId="0" fontId="0" fillId="2" borderId="35" xfId="0" applyFill="1" applyBorder="1"/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164" fontId="10" fillId="2" borderId="1" xfId="0" applyNumberFormat="1" applyFont="1" applyFill="1" applyBorder="1"/>
    <xf numFmtId="164" fontId="10" fillId="2" borderId="30" xfId="0" applyNumberFormat="1" applyFont="1" applyFill="1" applyBorder="1"/>
    <xf numFmtId="0" fontId="10" fillId="2" borderId="29" xfId="0" applyFont="1" applyFill="1" applyBorder="1"/>
    <xf numFmtId="0" fontId="10" fillId="2" borderId="1" xfId="0" applyFont="1" applyFill="1" applyBorder="1"/>
    <xf numFmtId="0" fontId="7" fillId="2" borderId="29" xfId="0" applyFont="1" applyFill="1" applyBorder="1"/>
    <xf numFmtId="164" fontId="7" fillId="2" borderId="30" xfId="0" applyNumberFormat="1" applyFont="1" applyFill="1" applyBorder="1"/>
    <xf numFmtId="0" fontId="6" fillId="2" borderId="31" xfId="0" applyFont="1" applyFill="1" applyBorder="1"/>
    <xf numFmtId="0" fontId="6" fillId="2" borderId="32" xfId="0" applyFont="1" applyFill="1" applyBorder="1"/>
    <xf numFmtId="164" fontId="6" fillId="2" borderId="32" xfId="0" applyNumberFormat="1" applyFont="1" applyFill="1" applyBorder="1"/>
    <xf numFmtId="164" fontId="6" fillId="2" borderId="33" xfId="0" applyNumberFormat="1" applyFont="1" applyFill="1" applyBorder="1"/>
    <xf numFmtId="164" fontId="10" fillId="2" borderId="32" xfId="0" applyNumberFormat="1" applyFont="1" applyFill="1" applyBorder="1"/>
    <xf numFmtId="164" fontId="10" fillId="2" borderId="33" xfId="0" applyNumberFormat="1" applyFont="1" applyFill="1" applyBorder="1"/>
    <xf numFmtId="0" fontId="6" fillId="2" borderId="37" xfId="0" applyFont="1" applyFill="1" applyBorder="1"/>
    <xf numFmtId="0" fontId="6" fillId="2" borderId="38" xfId="0" applyFont="1" applyFill="1" applyBorder="1"/>
    <xf numFmtId="0" fontId="6" fillId="2" borderId="39" xfId="0" applyFont="1" applyFill="1" applyBorder="1"/>
    <xf numFmtId="0" fontId="11" fillId="2" borderId="29" xfId="0" applyFont="1" applyFill="1" applyBorder="1"/>
    <xf numFmtId="9" fontId="0" fillId="2" borderId="30" xfId="0" applyNumberFormat="1" applyFill="1" applyBorder="1"/>
    <xf numFmtId="0" fontId="11" fillId="2" borderId="31" xfId="0" applyFont="1" applyFill="1" applyBorder="1"/>
    <xf numFmtId="9" fontId="0" fillId="2" borderId="32" xfId="0" applyNumberFormat="1" applyFill="1" applyBorder="1"/>
    <xf numFmtId="9" fontId="0" fillId="2" borderId="33" xfId="0" applyNumberFormat="1" applyFill="1" applyBorder="1"/>
    <xf numFmtId="0" fontId="11" fillId="2" borderId="1" xfId="0" applyFont="1" applyFill="1" applyBorder="1"/>
    <xf numFmtId="0" fontId="5" fillId="2" borderId="24" xfId="0" applyFont="1" applyFill="1" applyBorder="1"/>
    <xf numFmtId="9" fontId="0" fillId="2" borderId="25" xfId="0" applyNumberFormat="1" applyFill="1" applyBorder="1"/>
    <xf numFmtId="0" fontId="5" fillId="2" borderId="26" xfId="0" applyFont="1" applyFill="1" applyBorder="1"/>
    <xf numFmtId="6" fontId="0" fillId="2" borderId="28" xfId="0" applyNumberFormat="1" applyFill="1" applyBorder="1"/>
    <xf numFmtId="165" fontId="0" fillId="2" borderId="39" xfId="0" applyNumberFormat="1" applyFill="1" applyBorder="1" applyAlignment="1">
      <alignment horizontal="left"/>
    </xf>
    <xf numFmtId="0" fontId="6" fillId="2" borderId="26" xfId="0" applyFont="1" applyFill="1" applyBorder="1"/>
    <xf numFmtId="168" fontId="0" fillId="2" borderId="28" xfId="0" applyNumberFormat="1" applyFill="1" applyBorder="1"/>
    <xf numFmtId="6" fontId="6" fillId="2" borderId="1" xfId="0" applyNumberFormat="1" applyFont="1" applyFill="1" applyBorder="1"/>
    <xf numFmtId="43" fontId="0" fillId="2" borderId="20" xfId="0" applyNumberFormat="1" applyFill="1" applyBorder="1"/>
    <xf numFmtId="43" fontId="6" fillId="2" borderId="25" xfId="0" applyNumberFormat="1" applyFont="1" applyFill="1" applyBorder="1"/>
    <xf numFmtId="43" fontId="0" fillId="2" borderId="27" xfId="0" applyNumberFormat="1" applyFill="1" applyBorder="1"/>
    <xf numFmtId="9" fontId="6" fillId="2" borderId="28" xfId="0" applyNumberFormat="1" applyFont="1" applyFill="1" applyBorder="1"/>
    <xf numFmtId="0" fontId="0" fillId="2" borderId="51" xfId="0" applyFill="1" applyBorder="1"/>
    <xf numFmtId="0" fontId="0" fillId="2" borderId="15" xfId="0" applyFill="1" applyBorder="1"/>
    <xf numFmtId="0" fontId="0" fillId="2" borderId="55" xfId="0" applyFill="1" applyBorder="1"/>
    <xf numFmtId="164" fontId="0" fillId="2" borderId="59" xfId="0" applyNumberFormat="1" applyFill="1" applyBorder="1"/>
    <xf numFmtId="0" fontId="0" fillId="2" borderId="58" xfId="0" applyFill="1" applyBorder="1"/>
    <xf numFmtId="164" fontId="0" fillId="2" borderId="61" xfId="0" applyNumberFormat="1" applyFill="1" applyBorder="1"/>
    <xf numFmtId="164" fontId="0" fillId="2" borderId="62" xfId="0" applyNumberFormat="1" applyFill="1" applyBorder="1"/>
    <xf numFmtId="0" fontId="0" fillId="2" borderId="64" xfId="0" applyFill="1" applyBorder="1"/>
    <xf numFmtId="0" fontId="0" fillId="2" borderId="60" xfId="0" applyFill="1" applyBorder="1"/>
    <xf numFmtId="0" fontId="6" fillId="2" borderId="57" xfId="0" applyFont="1" applyFill="1" applyBorder="1" applyAlignment="1">
      <alignment horizontal="center"/>
    </xf>
    <xf numFmtId="0" fontId="6" fillId="2" borderId="56" xfId="0" applyFont="1" applyFill="1" applyBorder="1" applyAlignment="1">
      <alignment horizontal="center"/>
    </xf>
    <xf numFmtId="0" fontId="12" fillId="2" borderId="1" xfId="0" applyFont="1" applyFill="1" applyBorder="1"/>
    <xf numFmtId="0" fontId="0" fillId="0" borderId="15" xfId="0" applyBorder="1"/>
    <xf numFmtId="0" fontId="12" fillId="3" borderId="15" xfId="0" applyFont="1" applyFill="1" applyBorder="1"/>
    <xf numFmtId="0" fontId="0" fillId="3" borderId="15" xfId="0" applyFill="1" applyBorder="1"/>
    <xf numFmtId="0" fontId="0" fillId="4" borderId="0" xfId="0" applyFill="1"/>
    <xf numFmtId="0" fontId="12" fillId="3" borderId="1" xfId="0" applyFont="1" applyFill="1" applyBorder="1"/>
    <xf numFmtId="167" fontId="0" fillId="7" borderId="48" xfId="0" applyNumberFormat="1" applyFill="1" applyBorder="1"/>
    <xf numFmtId="0" fontId="0" fillId="2" borderId="1" xfId="0" applyFill="1" applyBorder="1" applyAlignment="1">
      <alignment horizontal="right"/>
    </xf>
    <xf numFmtId="0" fontId="14" fillId="2" borderId="15" xfId="0" applyFont="1" applyFill="1" applyBorder="1"/>
    <xf numFmtId="164" fontId="0" fillId="2" borderId="15" xfId="0" applyNumberFormat="1" applyFill="1" applyBorder="1"/>
    <xf numFmtId="164" fontId="0" fillId="2" borderId="68" xfId="0" applyNumberFormat="1" applyFill="1" applyBorder="1"/>
    <xf numFmtId="42" fontId="0" fillId="0" borderId="48" xfId="0" applyNumberFormat="1" applyBorder="1"/>
    <xf numFmtId="164" fontId="13" fillId="2" borderId="25" xfId="0" applyNumberFormat="1" applyFont="1" applyFill="1" applyBorder="1"/>
    <xf numFmtId="164" fontId="13" fillId="2" borderId="22" xfId="0" applyNumberFormat="1" applyFont="1" applyFill="1" applyBorder="1"/>
    <xf numFmtId="44" fontId="0" fillId="2" borderId="59" xfId="0" applyNumberFormat="1" applyFill="1" applyBorder="1" applyAlignment="1">
      <alignment horizontal="center"/>
    </xf>
    <xf numFmtId="164" fontId="13" fillId="2" borderId="59" xfId="0" applyNumberFormat="1" applyFont="1" applyFill="1" applyBorder="1"/>
    <xf numFmtId="0" fontId="2" fillId="0" borderId="15" xfId="0" applyFont="1" applyBorder="1"/>
    <xf numFmtId="0" fontId="3" fillId="2" borderId="2" xfId="0" applyFont="1" applyFill="1" applyBorder="1" applyAlignment="1">
      <alignment vertical="center"/>
    </xf>
    <xf numFmtId="0" fontId="12" fillId="2" borderId="15" xfId="0" applyFont="1" applyFill="1" applyBorder="1"/>
    <xf numFmtId="164" fontId="0" fillId="3" borderId="1" xfId="0" applyNumberFormat="1" applyFill="1" applyBorder="1"/>
    <xf numFmtId="9" fontId="0" fillId="7" borderId="48" xfId="0" applyNumberFormat="1" applyFill="1" applyBorder="1"/>
    <xf numFmtId="0" fontId="0" fillId="3" borderId="1" xfId="0" applyFill="1" applyBorder="1"/>
    <xf numFmtId="169" fontId="0" fillId="2" borderId="1" xfId="0" applyNumberFormat="1" applyFill="1" applyBorder="1"/>
    <xf numFmtId="0" fontId="8" fillId="2" borderId="15" xfId="0" applyFont="1" applyFill="1" applyBorder="1" applyAlignment="1">
      <alignment vertical="center"/>
    </xf>
    <xf numFmtId="164" fontId="0" fillId="2" borderId="48" xfId="0" applyNumberFormat="1" applyFill="1" applyBorder="1"/>
    <xf numFmtId="0" fontId="12" fillId="2" borderId="66" xfId="0" applyFont="1" applyFill="1" applyBorder="1"/>
    <xf numFmtId="164" fontId="0" fillId="2" borderId="52" xfId="0" applyNumberFormat="1" applyFill="1" applyBorder="1"/>
    <xf numFmtId="0" fontId="0" fillId="2" borderId="67" xfId="0" applyFill="1" applyBorder="1"/>
    <xf numFmtId="164" fontId="0" fillId="2" borderId="53" xfId="0" applyNumberFormat="1" applyFill="1" applyBorder="1"/>
    <xf numFmtId="164" fontId="0" fillId="2" borderId="54" xfId="0" applyNumberFormat="1" applyFill="1" applyBorder="1"/>
    <xf numFmtId="0" fontId="12" fillId="2" borderId="65" xfId="0" applyFont="1" applyFill="1" applyBorder="1"/>
    <xf numFmtId="164" fontId="0" fillId="2" borderId="49" xfId="0" applyNumberFormat="1" applyFill="1" applyBorder="1"/>
    <xf numFmtId="164" fontId="0" fillId="2" borderId="50" xfId="0" applyNumberFormat="1" applyFill="1" applyBorder="1"/>
    <xf numFmtId="0" fontId="2" fillId="0" borderId="64" xfId="0" applyFont="1" applyBorder="1"/>
    <xf numFmtId="0" fontId="2" fillId="0" borderId="81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12" fillId="3" borderId="66" xfId="0" applyFont="1" applyFill="1" applyBorder="1" applyAlignment="1">
      <alignment horizontal="left"/>
    </xf>
    <xf numFmtId="0" fontId="0" fillId="3" borderId="66" xfId="0" applyFill="1" applyBorder="1"/>
    <xf numFmtId="0" fontId="6" fillId="3" borderId="48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6" fillId="3" borderId="67" xfId="0" applyFont="1" applyFill="1" applyBorder="1" applyAlignment="1">
      <alignment horizontal="left"/>
    </xf>
    <xf numFmtId="42" fontId="6" fillId="3" borderId="53" xfId="0" applyNumberFormat="1" applyFont="1" applyFill="1" applyBorder="1"/>
    <xf numFmtId="42" fontId="6" fillId="3" borderId="54" xfId="0" applyNumberFormat="1" applyFont="1" applyFill="1" applyBorder="1"/>
    <xf numFmtId="6" fontId="2" fillId="2" borderId="1" xfId="0" applyNumberFormat="1" applyFont="1" applyFill="1" applyBorder="1"/>
    <xf numFmtId="0" fontId="6" fillId="2" borderId="58" xfId="0" applyFont="1" applyFill="1" applyBorder="1"/>
    <xf numFmtId="0" fontId="11" fillId="2" borderId="40" xfId="0" applyFont="1" applyFill="1" applyBorder="1"/>
    <xf numFmtId="9" fontId="0" fillId="2" borderId="15" xfId="0" applyNumberFormat="1" applyFill="1" applyBorder="1"/>
    <xf numFmtId="169" fontId="0" fillId="2" borderId="15" xfId="0" applyNumberFormat="1" applyFill="1" applyBorder="1"/>
    <xf numFmtId="42" fontId="0" fillId="2" borderId="20" xfId="0" applyNumberFormat="1" applyFill="1" applyBorder="1"/>
    <xf numFmtId="0" fontId="12" fillId="2" borderId="20" xfId="0" applyFont="1" applyFill="1" applyBorder="1" applyAlignment="1">
      <alignment horizontal="right"/>
    </xf>
    <xf numFmtId="0" fontId="20" fillId="2" borderId="15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0" fillId="2" borderId="12" xfId="0" applyFill="1" applyBorder="1" applyAlignment="1">
      <alignment horizontal="center"/>
    </xf>
    <xf numFmtId="42" fontId="0" fillId="3" borderId="48" xfId="0" applyNumberFormat="1" applyFill="1" applyBorder="1"/>
    <xf numFmtId="42" fontId="0" fillId="3" borderId="52" xfId="0" applyNumberFormat="1" applyFill="1" applyBorder="1"/>
    <xf numFmtId="42" fontId="2" fillId="3" borderId="52" xfId="0" applyNumberFormat="1" applyFont="1" applyFill="1" applyBorder="1"/>
    <xf numFmtId="0" fontId="22" fillId="0" borderId="14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5" fillId="0" borderId="84" xfId="0" applyFont="1" applyBorder="1"/>
    <xf numFmtId="0" fontId="25" fillId="0" borderId="83" xfId="0" applyFont="1" applyBorder="1"/>
    <xf numFmtId="0" fontId="25" fillId="0" borderId="15" xfId="0" applyFont="1" applyBorder="1"/>
    <xf numFmtId="0" fontId="25" fillId="0" borderId="85" xfId="0" applyFont="1" applyBorder="1"/>
    <xf numFmtId="0" fontId="25" fillId="0" borderId="74" xfId="0" applyFont="1" applyBorder="1"/>
    <xf numFmtId="164" fontId="0" fillId="2" borderId="22" xfId="0" applyNumberFormat="1" applyFill="1" applyBorder="1"/>
    <xf numFmtId="0" fontId="25" fillId="0" borderId="77" xfId="0" applyFont="1" applyBorder="1"/>
    <xf numFmtId="0" fontId="25" fillId="0" borderId="75" xfId="0" applyFont="1" applyBorder="1"/>
    <xf numFmtId="0" fontId="25" fillId="0" borderId="73" xfId="0" applyFont="1" applyBorder="1"/>
    <xf numFmtId="0" fontId="25" fillId="0" borderId="87" xfId="0" applyFont="1" applyBorder="1"/>
    <xf numFmtId="0" fontId="25" fillId="0" borderId="76" xfId="0" applyFont="1" applyBorder="1"/>
    <xf numFmtId="0" fontId="25" fillId="0" borderId="86" xfId="0" applyFont="1" applyBorder="1"/>
    <xf numFmtId="0" fontId="6" fillId="2" borderId="15" xfId="0" applyFont="1" applyFill="1" applyBorder="1"/>
    <xf numFmtId="0" fontId="27" fillId="0" borderId="15" xfId="0" applyFont="1" applyBorder="1" applyAlignment="1">
      <alignment horizontal="left" vertical="center" indent="1"/>
    </xf>
    <xf numFmtId="0" fontId="0" fillId="2" borderId="40" xfId="0" applyFill="1" applyBorder="1"/>
    <xf numFmtId="0" fontId="26" fillId="2" borderId="15" xfId="0" applyFont="1" applyFill="1" applyBorder="1"/>
    <xf numFmtId="0" fontId="12" fillId="2" borderId="34" xfId="0" applyFont="1" applyFill="1" applyBorder="1"/>
    <xf numFmtId="44" fontId="0" fillId="2" borderId="15" xfId="0" applyNumberFormat="1" applyFill="1" applyBorder="1"/>
    <xf numFmtId="164" fontId="29" fillId="2" borderId="15" xfId="0" applyNumberFormat="1" applyFont="1" applyFill="1" applyBorder="1"/>
    <xf numFmtId="0" fontId="28" fillId="2" borderId="15" xfId="0" applyFont="1" applyFill="1" applyBorder="1"/>
    <xf numFmtId="42" fontId="26" fillId="3" borderId="48" xfId="0" applyNumberFormat="1" applyFont="1" applyFill="1" applyBorder="1" applyAlignment="1">
      <alignment horizontal="center" vertical="center"/>
    </xf>
    <xf numFmtId="42" fontId="26" fillId="2" borderId="48" xfId="0" applyNumberFormat="1" applyFont="1" applyFill="1" applyBorder="1" applyAlignment="1">
      <alignment horizontal="center" vertical="center"/>
    </xf>
    <xf numFmtId="42" fontId="26" fillId="0" borderId="48" xfId="0" applyNumberFormat="1" applyFont="1" applyBorder="1"/>
    <xf numFmtId="42" fontId="26" fillId="5" borderId="48" xfId="0" applyNumberFormat="1" applyFont="1" applyFill="1" applyBorder="1"/>
    <xf numFmtId="42" fontId="26" fillId="2" borderId="20" xfId="0" applyNumberFormat="1" applyFont="1" applyFill="1" applyBorder="1" applyAlignment="1">
      <alignment horizontal="center" vertical="center"/>
    </xf>
    <xf numFmtId="42" fontId="26" fillId="2" borderId="61" xfId="0" applyNumberFormat="1" applyFont="1" applyFill="1" applyBorder="1" applyAlignment="1">
      <alignment horizontal="center" vertical="center"/>
    </xf>
    <xf numFmtId="44" fontId="28" fillId="2" borderId="88" xfId="0" applyNumberFormat="1" applyFont="1" applyFill="1" applyBorder="1" applyAlignment="1">
      <alignment horizontal="center" vertical="center"/>
    </xf>
    <xf numFmtId="44" fontId="28" fillId="2" borderId="89" xfId="0" applyNumberFormat="1" applyFont="1" applyFill="1" applyBorder="1" applyAlignment="1">
      <alignment horizontal="center" vertical="center"/>
    </xf>
    <xf numFmtId="44" fontId="28" fillId="3" borderId="93" xfId="0" applyNumberFormat="1" applyFont="1" applyFill="1" applyBorder="1" applyAlignment="1">
      <alignment horizontal="center" vertical="center"/>
    </xf>
    <xf numFmtId="42" fontId="26" fillId="3" borderId="94" xfId="0" applyNumberFormat="1" applyFont="1" applyFill="1" applyBorder="1" applyAlignment="1">
      <alignment horizontal="center" vertical="center"/>
    </xf>
    <xf numFmtId="0" fontId="30" fillId="5" borderId="93" xfId="0" applyFont="1" applyFill="1" applyBorder="1"/>
    <xf numFmtId="42" fontId="26" fillId="5" borderId="94" xfId="0" applyNumberFormat="1" applyFont="1" applyFill="1" applyBorder="1"/>
    <xf numFmtId="44" fontId="28" fillId="2" borderId="95" xfId="0" applyNumberFormat="1" applyFont="1" applyFill="1" applyBorder="1" applyAlignment="1">
      <alignment horizontal="center" vertical="center"/>
    </xf>
    <xf numFmtId="42" fontId="26" fillId="2" borderId="96" xfId="0" applyNumberFormat="1" applyFont="1" applyFill="1" applyBorder="1" applyAlignment="1">
      <alignment horizontal="center" vertical="center"/>
    </xf>
    <xf numFmtId="44" fontId="28" fillId="2" borderId="97" xfId="0" applyNumberFormat="1" applyFont="1" applyFill="1" applyBorder="1" applyAlignment="1">
      <alignment horizontal="center" vertical="center"/>
    </xf>
    <xf numFmtId="42" fontId="26" fillId="2" borderId="98" xfId="0" applyNumberFormat="1" applyFont="1" applyFill="1" applyBorder="1" applyAlignment="1">
      <alignment horizontal="center" vertical="center"/>
    </xf>
    <xf numFmtId="44" fontId="28" fillId="2" borderId="99" xfId="0" applyNumberFormat="1" applyFont="1" applyFill="1" applyBorder="1" applyAlignment="1">
      <alignment horizontal="center" vertical="center"/>
    </xf>
    <xf numFmtId="42" fontId="26" fillId="2" borderId="100" xfId="0" applyNumberFormat="1" applyFont="1" applyFill="1" applyBorder="1" applyAlignment="1">
      <alignment horizontal="center" vertical="center"/>
    </xf>
    <xf numFmtId="42" fontId="26" fillId="2" borderId="101" xfId="0" applyNumberFormat="1" applyFont="1" applyFill="1" applyBorder="1" applyAlignment="1">
      <alignment horizontal="center" vertical="center"/>
    </xf>
    <xf numFmtId="42" fontId="26" fillId="3" borderId="70" xfId="0" applyNumberFormat="1" applyFont="1" applyFill="1" applyBorder="1" applyAlignment="1">
      <alignment horizontal="center" vertical="center"/>
    </xf>
    <xf numFmtId="44" fontId="28" fillId="2" borderId="102" xfId="0" applyNumberFormat="1" applyFont="1" applyFill="1" applyBorder="1" applyAlignment="1">
      <alignment horizontal="center" vertical="center"/>
    </xf>
    <xf numFmtId="42" fontId="26" fillId="2" borderId="103" xfId="0" applyNumberFormat="1" applyFont="1" applyFill="1" applyBorder="1" applyAlignment="1">
      <alignment horizontal="center" vertical="center"/>
    </xf>
    <xf numFmtId="42" fontId="26" fillId="2" borderId="104" xfId="0" applyNumberFormat="1" applyFont="1" applyFill="1" applyBorder="1" applyAlignment="1">
      <alignment horizontal="center" vertical="center"/>
    </xf>
    <xf numFmtId="0" fontId="30" fillId="5" borderId="105" xfId="0" applyFont="1" applyFill="1" applyBorder="1"/>
    <xf numFmtId="0" fontId="26" fillId="5" borderId="106" xfId="0" applyFont="1" applyFill="1" applyBorder="1"/>
    <xf numFmtId="0" fontId="26" fillId="5" borderId="107" xfId="0" applyFont="1" applyFill="1" applyBorder="1"/>
    <xf numFmtId="44" fontId="28" fillId="3" borderId="89" xfId="0" applyNumberFormat="1" applyFont="1" applyFill="1" applyBorder="1" applyAlignment="1">
      <alignment horizontal="center" vertical="center"/>
    </xf>
    <xf numFmtId="44" fontId="28" fillId="3" borderId="90" xfId="0" applyNumberFormat="1" applyFont="1" applyFill="1" applyBorder="1" applyAlignment="1">
      <alignment horizontal="center" vertical="center"/>
    </xf>
    <xf numFmtId="44" fontId="30" fillId="6" borderId="112" xfId="0" applyNumberFormat="1" applyFont="1" applyFill="1" applyBorder="1" applyAlignment="1">
      <alignment horizontal="left" vertical="center"/>
    </xf>
    <xf numFmtId="42" fontId="26" fillId="6" borderId="113" xfId="0" applyNumberFormat="1" applyFont="1" applyFill="1" applyBorder="1" applyAlignment="1">
      <alignment horizontal="center" vertical="center"/>
    </xf>
    <xf numFmtId="42" fontId="26" fillId="6" borderId="114" xfId="0" applyNumberFormat="1" applyFont="1" applyFill="1" applyBorder="1" applyAlignment="1">
      <alignment horizontal="center" vertical="center"/>
    </xf>
    <xf numFmtId="42" fontId="26" fillId="3" borderId="111" xfId="0" applyNumberFormat="1" applyFont="1" applyFill="1" applyBorder="1" applyAlignment="1">
      <alignment horizontal="center" vertical="center"/>
    </xf>
    <xf numFmtId="44" fontId="28" fillId="3" borderId="115" xfId="0" applyNumberFormat="1" applyFont="1" applyFill="1" applyBorder="1" applyAlignment="1">
      <alignment horizontal="center" vertical="center"/>
    </xf>
    <xf numFmtId="42" fontId="26" fillId="3" borderId="116" xfId="0" applyNumberFormat="1" applyFont="1" applyFill="1" applyBorder="1" applyAlignment="1">
      <alignment horizontal="center" vertical="center"/>
    </xf>
    <xf numFmtId="44" fontId="26" fillId="3" borderId="93" xfId="0" applyNumberFormat="1" applyFont="1" applyFill="1" applyBorder="1" applyAlignment="1">
      <alignment horizontal="center" vertical="center"/>
    </xf>
    <xf numFmtId="44" fontId="26" fillId="3" borderId="115" xfId="0" applyNumberFormat="1" applyFont="1" applyFill="1" applyBorder="1" applyAlignment="1">
      <alignment horizontal="center" vertical="center"/>
    </xf>
    <xf numFmtId="44" fontId="26" fillId="3" borderId="91" xfId="0" applyNumberFormat="1" applyFont="1" applyFill="1" applyBorder="1" applyAlignment="1">
      <alignment horizontal="center" vertical="center"/>
    </xf>
    <xf numFmtId="42" fontId="26" fillId="2" borderId="70" xfId="0" applyNumberFormat="1" applyFont="1" applyFill="1" applyBorder="1" applyAlignment="1">
      <alignment horizontal="center" vertical="center"/>
    </xf>
    <xf numFmtId="0" fontId="26" fillId="0" borderId="115" xfId="0" applyFont="1" applyBorder="1" applyAlignment="1">
      <alignment horizontal="center"/>
    </xf>
    <xf numFmtId="165" fontId="0" fillId="3" borderId="113" xfId="0" applyNumberFormat="1" applyFill="1" applyBorder="1"/>
    <xf numFmtId="42" fontId="12" fillId="3" borderId="52" xfId="0" applyNumberFormat="1" applyFont="1" applyFill="1" applyBorder="1" applyAlignment="1">
      <alignment horizontal="right"/>
    </xf>
    <xf numFmtId="0" fontId="12" fillId="3" borderId="15" xfId="0" applyFont="1" applyFill="1" applyBorder="1" applyAlignment="1">
      <alignment horizontal="left"/>
    </xf>
    <xf numFmtId="9" fontId="0" fillId="3" borderId="15" xfId="0" applyNumberFormat="1" applyFill="1" applyBorder="1"/>
    <xf numFmtId="44" fontId="12" fillId="3" borderId="15" xfId="0" applyNumberFormat="1" applyFont="1" applyFill="1" applyBorder="1" applyAlignment="1">
      <alignment horizontal="right"/>
    </xf>
    <xf numFmtId="42" fontId="0" fillId="3" borderId="15" xfId="0" applyNumberFormat="1" applyFill="1" applyBorder="1"/>
    <xf numFmtId="42" fontId="2" fillId="3" borderId="15" xfId="0" applyNumberFormat="1" applyFont="1" applyFill="1" applyBorder="1"/>
    <xf numFmtId="0" fontId="6" fillId="3" borderId="15" xfId="0" applyFont="1" applyFill="1" applyBorder="1" applyAlignment="1">
      <alignment horizontal="left"/>
    </xf>
    <xf numFmtId="42" fontId="6" fillId="3" borderId="15" xfId="0" applyNumberFormat="1" applyFont="1" applyFill="1" applyBorder="1"/>
    <xf numFmtId="0" fontId="0" fillId="3" borderId="93" xfId="0" applyFill="1" applyBorder="1"/>
    <xf numFmtId="0" fontId="6" fillId="3" borderId="94" xfId="0" applyFont="1" applyFill="1" applyBorder="1" applyAlignment="1">
      <alignment horizontal="center"/>
    </xf>
    <xf numFmtId="0" fontId="12" fillId="3" borderId="93" xfId="0" applyFont="1" applyFill="1" applyBorder="1" applyAlignment="1">
      <alignment horizontal="left"/>
    </xf>
    <xf numFmtId="42" fontId="0" fillId="3" borderId="94" xfId="0" applyNumberFormat="1" applyFill="1" applyBorder="1"/>
    <xf numFmtId="42" fontId="12" fillId="3" borderId="94" xfId="0" applyNumberFormat="1" applyFont="1" applyFill="1" applyBorder="1" applyAlignment="1">
      <alignment horizontal="right"/>
    </xf>
    <xf numFmtId="42" fontId="2" fillId="3" borderId="94" xfId="0" applyNumberFormat="1" applyFont="1" applyFill="1" applyBorder="1"/>
    <xf numFmtId="0" fontId="6" fillId="3" borderId="108" xfId="0" applyFont="1" applyFill="1" applyBorder="1" applyAlignment="1">
      <alignment horizontal="left"/>
    </xf>
    <xf numFmtId="0" fontId="12" fillId="3" borderId="122" xfId="0" applyFont="1" applyFill="1" applyBorder="1" applyAlignment="1">
      <alignment horizontal="left"/>
    </xf>
    <xf numFmtId="42" fontId="0" fillId="3" borderId="70" xfId="0" applyNumberFormat="1" applyFill="1" applyBorder="1"/>
    <xf numFmtId="42" fontId="6" fillId="3" borderId="123" xfId="0" applyNumberFormat="1" applyFont="1" applyFill="1" applyBorder="1"/>
    <xf numFmtId="42" fontId="6" fillId="3" borderId="124" xfId="0" applyNumberFormat="1" applyFont="1" applyFill="1" applyBorder="1"/>
    <xf numFmtId="42" fontId="2" fillId="3" borderId="111" xfId="0" applyNumberFormat="1" applyFont="1" applyFill="1" applyBorder="1"/>
    <xf numFmtId="42" fontId="0" fillId="3" borderId="92" xfId="0" applyNumberFormat="1" applyFill="1" applyBorder="1"/>
    <xf numFmtId="42" fontId="2" fillId="3" borderId="116" xfId="0" applyNumberFormat="1" applyFont="1" applyFill="1" applyBorder="1"/>
    <xf numFmtId="44" fontId="29" fillId="9" borderId="113" xfId="0" applyNumberFormat="1" applyFont="1" applyFill="1" applyBorder="1"/>
    <xf numFmtId="165" fontId="29" fillId="9" borderId="113" xfId="0" applyNumberFormat="1" applyFont="1" applyFill="1" applyBorder="1"/>
    <xf numFmtId="42" fontId="29" fillId="9" borderId="113" xfId="0" applyNumberFormat="1" applyFont="1" applyFill="1" applyBorder="1"/>
    <xf numFmtId="42" fontId="29" fillId="9" borderId="111" xfId="0" applyNumberFormat="1" applyFont="1" applyFill="1" applyBorder="1" applyAlignment="1">
      <alignment horizontal="center" vertical="center"/>
    </xf>
    <xf numFmtId="42" fontId="29" fillId="9" borderId="48" xfId="0" applyNumberFormat="1" applyFont="1" applyFill="1" applyBorder="1" applyAlignment="1">
      <alignment horizontal="center" vertical="center"/>
    </xf>
    <xf numFmtId="42" fontId="29" fillId="9" borderId="117" xfId="0" applyNumberFormat="1" applyFont="1" applyFill="1" applyBorder="1" applyAlignment="1">
      <alignment horizontal="center" vertical="center"/>
    </xf>
    <xf numFmtId="0" fontId="26" fillId="5" borderId="118" xfId="0" applyFont="1" applyFill="1" applyBorder="1" applyAlignment="1">
      <alignment horizontal="center"/>
    </xf>
    <xf numFmtId="42" fontId="29" fillId="6" borderId="109" xfId="0" applyNumberFormat="1" applyFont="1" applyFill="1" applyBorder="1" applyAlignment="1">
      <alignment horizontal="center" vertical="center"/>
    </xf>
    <xf numFmtId="42" fontId="26" fillId="5" borderId="109" xfId="0" applyNumberFormat="1" applyFont="1" applyFill="1" applyBorder="1"/>
    <xf numFmtId="42" fontId="26" fillId="6" borderId="109" xfId="0" applyNumberFormat="1" applyFont="1" applyFill="1" applyBorder="1" applyAlignment="1">
      <alignment horizontal="center" vertical="center"/>
    </xf>
    <xf numFmtId="42" fontId="26" fillId="6" borderId="110" xfId="0" applyNumberFormat="1" applyFont="1" applyFill="1" applyBorder="1" applyAlignment="1">
      <alignment horizontal="center" vertical="center"/>
    </xf>
    <xf numFmtId="0" fontId="0" fillId="2" borderId="64" xfId="0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68" xfId="0" applyFont="1" applyFill="1" applyBorder="1" applyAlignment="1">
      <alignment horizontal="center"/>
    </xf>
    <xf numFmtId="0" fontId="6" fillId="2" borderId="119" xfId="0" applyFont="1" applyFill="1" applyBorder="1"/>
    <xf numFmtId="165" fontId="29" fillId="9" borderId="120" xfId="0" applyNumberFormat="1" applyFont="1" applyFill="1" applyBorder="1"/>
    <xf numFmtId="165" fontId="29" fillId="9" borderId="121" xfId="0" applyNumberFormat="1" applyFont="1" applyFill="1" applyBorder="1"/>
    <xf numFmtId="0" fontId="6" fillId="2" borderId="112" xfId="0" applyFont="1" applyFill="1" applyBorder="1"/>
    <xf numFmtId="165" fontId="29" fillId="9" borderId="114" xfId="0" applyNumberFormat="1" applyFont="1" applyFill="1" applyBorder="1"/>
    <xf numFmtId="44" fontId="29" fillId="9" borderId="114" xfId="0" applyNumberFormat="1" applyFont="1" applyFill="1" applyBorder="1"/>
    <xf numFmtId="0" fontId="6" fillId="3" borderId="112" xfId="0" applyFont="1" applyFill="1" applyBorder="1"/>
    <xf numFmtId="165" fontId="0" fillId="3" borderId="114" xfId="0" applyNumberFormat="1" applyFill="1" applyBorder="1"/>
    <xf numFmtId="42" fontId="29" fillId="9" borderId="114" xfId="0" applyNumberFormat="1" applyFont="1" applyFill="1" applyBorder="1"/>
    <xf numFmtId="0" fontId="6" fillId="3" borderId="93" xfId="0" applyFont="1" applyFill="1" applyBorder="1" applyAlignment="1">
      <alignment horizontal="left"/>
    </xf>
    <xf numFmtId="9" fontId="0" fillId="7" borderId="94" xfId="0" applyNumberFormat="1" applyFill="1" applyBorder="1"/>
    <xf numFmtId="167" fontId="0" fillId="7" borderId="94" xfId="0" applyNumberFormat="1" applyFill="1" applyBorder="1"/>
    <xf numFmtId="0" fontId="6" fillId="2" borderId="125" xfId="0" applyFont="1" applyFill="1" applyBorder="1"/>
    <xf numFmtId="164" fontId="0" fillId="2" borderId="126" xfId="0" applyNumberFormat="1" applyFill="1" applyBorder="1"/>
    <xf numFmtId="164" fontId="0" fillId="2" borderId="127" xfId="0" applyNumberFormat="1" applyFill="1" applyBorder="1"/>
    <xf numFmtId="0" fontId="13" fillId="3" borderId="112" xfId="0" applyFont="1" applyFill="1" applyBorder="1" applyAlignment="1">
      <alignment horizontal="left"/>
    </xf>
    <xf numFmtId="1" fontId="0" fillId="7" borderId="113" xfId="0" applyNumberFormat="1" applyFill="1" applyBorder="1"/>
    <xf numFmtId="1" fontId="0" fillId="7" borderId="114" xfId="0" applyNumberFormat="1" applyFill="1" applyBorder="1"/>
    <xf numFmtId="0" fontId="6" fillId="2" borderId="118" xfId="0" applyFont="1" applyFill="1" applyBorder="1"/>
    <xf numFmtId="165" fontId="29" fillId="9" borderId="109" xfId="0" applyNumberFormat="1" applyFont="1" applyFill="1" applyBorder="1"/>
    <xf numFmtId="165" fontId="29" fillId="9" borderId="110" xfId="0" applyNumberFormat="1" applyFont="1" applyFill="1" applyBorder="1"/>
    <xf numFmtId="42" fontId="15" fillId="8" borderId="1" xfId="0" applyNumberFormat="1" applyFont="1" applyFill="1" applyBorder="1" applyAlignment="1">
      <alignment horizontal="center"/>
    </xf>
    <xf numFmtId="0" fontId="36" fillId="4" borderId="14" xfId="0" applyFont="1" applyFill="1" applyBorder="1" applyAlignment="1">
      <alignment horizontal="right"/>
    </xf>
    <xf numFmtId="0" fontId="29" fillId="4" borderId="14" xfId="0" applyFont="1" applyFill="1" applyBorder="1"/>
    <xf numFmtId="0" fontId="29" fillId="4" borderId="15" xfId="0" applyFont="1" applyFill="1" applyBorder="1"/>
    <xf numFmtId="42" fontId="36" fillId="3" borderId="1" xfId="0" applyNumberFormat="1" applyFont="1" applyFill="1" applyBorder="1"/>
    <xf numFmtId="6" fontId="29" fillId="3" borderId="1" xfId="0" applyNumberFormat="1" applyFont="1" applyFill="1" applyBorder="1"/>
    <xf numFmtId="0" fontId="29" fillId="3" borderId="1" xfId="0" applyFont="1" applyFill="1" applyBorder="1"/>
    <xf numFmtId="42" fontId="0" fillId="3" borderId="111" xfId="0" applyNumberFormat="1" applyFill="1" applyBorder="1"/>
    <xf numFmtId="42" fontId="0" fillId="3" borderId="116" xfId="0" applyNumberFormat="1" applyFill="1" applyBorder="1"/>
    <xf numFmtId="0" fontId="24" fillId="2" borderId="1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/>
    <xf numFmtId="0" fontId="16" fillId="2" borderId="2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5" xfId="0" applyFont="1" applyBorder="1"/>
    <xf numFmtId="0" fontId="17" fillId="0" borderId="8" xfId="0" applyFont="1" applyBorder="1"/>
    <xf numFmtId="0" fontId="17" fillId="0" borderId="9" xfId="0" applyFont="1" applyBorder="1"/>
    <xf numFmtId="0" fontId="17" fillId="0" borderId="11" xfId="0" applyFont="1" applyBorder="1"/>
    <xf numFmtId="0" fontId="18" fillId="2" borderId="12" xfId="0" applyFont="1" applyFill="1" applyBorder="1" applyAlignment="1">
      <alignment horizontal="center"/>
    </xf>
    <xf numFmtId="0" fontId="19" fillId="0" borderId="14" xfId="0" applyFont="1" applyBorder="1"/>
    <xf numFmtId="0" fontId="19" fillId="0" borderId="15" xfId="0" applyFont="1" applyBorder="1"/>
    <xf numFmtId="0" fontId="6" fillId="2" borderId="8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44" fontId="5" fillId="2" borderId="12" xfId="0" applyNumberFormat="1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5" fillId="2" borderId="43" xfId="0" applyFont="1" applyFill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5" fillId="2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9" xfId="0" applyFont="1" applyBorder="1"/>
    <xf numFmtId="0" fontId="33" fillId="2" borderId="12" xfId="0" applyFont="1" applyFill="1" applyBorder="1" applyAlignment="1">
      <alignment horizontal="center"/>
    </xf>
    <xf numFmtId="0" fontId="34" fillId="0" borderId="14" xfId="0" applyFont="1" applyBorder="1"/>
    <xf numFmtId="0" fontId="34" fillId="0" borderId="15" xfId="0" applyFont="1" applyBorder="1"/>
    <xf numFmtId="0" fontId="16" fillId="2" borderId="12" xfId="0" applyFont="1" applyFill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5" fillId="3" borderId="65" xfId="0" applyFont="1" applyFill="1" applyBorder="1" applyAlignment="1">
      <alignment horizontal="center"/>
    </xf>
    <xf numFmtId="0" fontId="2" fillId="4" borderId="49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5" fillId="3" borderId="119" xfId="0" applyFont="1" applyFill="1" applyBorder="1" applyAlignment="1">
      <alignment horizontal="center"/>
    </xf>
    <xf numFmtId="0" fontId="2" fillId="4" borderId="120" xfId="0" applyFont="1" applyFill="1" applyBorder="1" applyAlignment="1">
      <alignment horizontal="center"/>
    </xf>
    <xf numFmtId="0" fontId="2" fillId="4" borderId="121" xfId="0" applyFont="1" applyFill="1" applyBorder="1" applyAlignment="1">
      <alignment horizontal="center"/>
    </xf>
    <xf numFmtId="0" fontId="5" fillId="3" borderId="128" xfId="0" applyFont="1" applyFill="1" applyBorder="1" applyAlignment="1">
      <alignment horizontal="center"/>
    </xf>
    <xf numFmtId="0" fontId="5" fillId="3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5" fillId="2" borderId="78" xfId="0" applyFont="1" applyFill="1" applyBorder="1" applyAlignment="1">
      <alignment horizontal="center"/>
    </xf>
    <xf numFmtId="0" fontId="20" fillId="2" borderId="79" xfId="0" applyFont="1" applyFill="1" applyBorder="1" applyAlignment="1">
      <alignment horizontal="center"/>
    </xf>
    <xf numFmtId="0" fontId="20" fillId="2" borderId="8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left"/>
    </xf>
    <xf numFmtId="0" fontId="10" fillId="2" borderId="41" xfId="0" applyFont="1" applyFill="1" applyBorder="1" applyAlignment="1">
      <alignment horizontal="left"/>
    </xf>
    <xf numFmtId="0" fontId="2" fillId="0" borderId="42" xfId="0" applyFont="1" applyBorder="1"/>
    <xf numFmtId="0" fontId="3" fillId="2" borderId="12" xfId="0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9" fillId="2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9" fillId="2" borderId="4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CCCFF"/>
      <color rgb="FF9900FF"/>
      <color rgb="FF9966FF"/>
      <color rgb="FF9999FF"/>
      <color rgb="FF00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389658</xdr:colOff>
      <xdr:row>0</xdr:row>
      <xdr:rowOff>804154</xdr:rowOff>
    </xdr:from>
    <xdr:to>
      <xdr:col>4</xdr:col>
      <xdr:colOff>822615</xdr:colOff>
      <xdr:row>4</xdr:row>
      <xdr:rowOff>333678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C0047-4A2E-6321-342A-B4247189B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89" t="14286" r="16456" b="26740"/>
        <a:stretch/>
      </xdr:blipFill>
      <xdr:spPr>
        <a:xfrm>
          <a:off x="3515590" y="804154"/>
          <a:ext cx="3342411" cy="194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</sheetPr>
  <dimension ref="A1:Z1000"/>
  <sheetViews>
    <sheetView tabSelected="1" zoomScale="110" zoomScaleNormal="110" workbookViewId="0">
      <selection activeCell="P27" sqref="P27"/>
    </sheetView>
  </sheetViews>
  <sheetFormatPr defaultColWidth="14.42578125" defaultRowHeight="15" customHeight="1"/>
  <cols>
    <col min="1" max="1" width="46.85546875" customWidth="1"/>
    <col min="2" max="2" width="11.140625" bestFit="1" customWidth="1"/>
    <col min="3" max="4" width="16.28515625" bestFit="1" customWidth="1"/>
    <col min="5" max="5" width="17.42578125" bestFit="1" customWidth="1"/>
    <col min="6" max="26" width="8.85546875" customWidth="1"/>
  </cols>
  <sheetData>
    <row r="1" spans="1:26" s="103" customFormat="1" ht="87.75" customHeight="1">
      <c r="A1" s="165"/>
      <c r="B1" s="173"/>
      <c r="C1" s="164"/>
      <c r="D1" s="164"/>
      <c r="E1" s="164"/>
      <c r="F1" s="165"/>
      <c r="G1" s="174"/>
      <c r="H1" s="165"/>
      <c r="I1" s="174"/>
      <c r="J1" s="171"/>
      <c r="K1" s="171"/>
      <c r="L1" s="171"/>
      <c r="M1" s="175"/>
      <c r="N1" s="175"/>
      <c r="O1" s="175"/>
      <c r="P1" s="175"/>
      <c r="Q1" s="174"/>
    </row>
    <row r="2" spans="1:26" s="103" customFormat="1" ht="15" customHeight="1">
      <c r="A2" s="170"/>
      <c r="B2" s="171"/>
      <c r="C2" s="166"/>
      <c r="D2" s="167"/>
      <c r="E2" s="167"/>
      <c r="F2" s="168"/>
      <c r="G2" s="166"/>
      <c r="H2" s="168"/>
      <c r="I2" s="166"/>
      <c r="J2" s="167"/>
      <c r="K2" s="167"/>
      <c r="L2" s="167"/>
      <c r="M2" s="167"/>
      <c r="N2" s="167"/>
      <c r="O2" s="168"/>
      <c r="P2" s="172"/>
      <c r="Q2" s="166"/>
    </row>
    <row r="3" spans="1:26" ht="4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4.25">
      <c r="A4" s="291"/>
      <c r="B4" s="119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6" ht="27" customHeight="1">
      <c r="A5" s="292"/>
      <c r="B5" s="304"/>
      <c r="C5" s="304"/>
      <c r="D5" s="304"/>
      <c r="E5" s="30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ht="15" customHeight="1">
      <c r="A6" s="293"/>
      <c r="B6" s="305" t="s">
        <v>165</v>
      </c>
      <c r="C6" s="305"/>
      <c r="D6" s="305"/>
      <c r="E6" s="30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ht="1.5" customHeight="1">
      <c r="A7" s="3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4.5" customHeight="1">
      <c r="A8" s="3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>
      <c r="A9" s="6"/>
      <c r="B9" s="294" t="s">
        <v>2</v>
      </c>
      <c r="C9" s="295"/>
      <c r="D9" s="295"/>
      <c r="E9" s="29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6"/>
      <c r="B10" s="297"/>
      <c r="C10" s="298"/>
      <c r="D10" s="298"/>
      <c r="E10" s="299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/>
      <c r="B11" s="1"/>
      <c r="C11" s="7">
        <v>2023</v>
      </c>
      <c r="D11" s="7">
        <v>2024</v>
      </c>
      <c r="E11" s="7">
        <v>2025</v>
      </c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6"/>
      <c r="B12" s="363" t="s">
        <v>71</v>
      </c>
      <c r="C12" s="113">
        <f>EBIT!C7</f>
        <v>2000000</v>
      </c>
      <c r="D12" s="113">
        <f>EBIT!D7</f>
        <v>0</v>
      </c>
      <c r="E12" s="113">
        <f>EBIT!E7</f>
        <v>0</v>
      </c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6"/>
      <c r="B13" s="362" t="s">
        <v>6</v>
      </c>
      <c r="C13" s="169">
        <f>'3Yr Summary by Month'!O11</f>
        <v>456009.1875</v>
      </c>
      <c r="D13" s="169">
        <f>EBIT!$O$23</f>
        <v>42924317.249999985</v>
      </c>
      <c r="E13" s="169">
        <f>EBIT!$O$33</f>
        <v>254615086.25000006</v>
      </c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/>
      <c r="B14" s="9" t="s">
        <v>21</v>
      </c>
      <c r="C14" s="11">
        <f>'3Yr Summary by Month'!O12</f>
        <v>481333.34000000008</v>
      </c>
      <c r="D14" s="11">
        <f>'3Yr Summary by Month'!O20</f>
        <v>7500000</v>
      </c>
      <c r="E14" s="11">
        <f>'3Yr Summary by Month'!O28</f>
        <v>33000000</v>
      </c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6"/>
      <c r="B15" s="9" t="s">
        <v>22</v>
      </c>
      <c r="C15" s="11">
        <f>'3Yr Summary by Month'!O13</f>
        <v>599965.06850000005</v>
      </c>
      <c r="D15" s="11">
        <f>'3Yr Summary by Month'!O21</f>
        <v>1556130.6900000004</v>
      </c>
      <c r="E15" s="11">
        <f>'3Yr Summary by Month'!O29</f>
        <v>2276238.5549999997</v>
      </c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6"/>
      <c r="B16" s="151" t="s">
        <v>28</v>
      </c>
      <c r="C16" s="15">
        <f>EBIT!$O$16</f>
        <v>-625289.22100000014</v>
      </c>
      <c r="D16" s="15">
        <f>EBIT!$O$26</f>
        <v>34521397.338999994</v>
      </c>
      <c r="E16" s="15">
        <f>EBIT!$O$36</f>
        <v>219338847.69499993</v>
      </c>
      <c r="F16" s="1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.5" customHeight="1">
      <c r="A17" s="6"/>
      <c r="B17" s="303"/>
      <c r="C17" s="303"/>
      <c r="D17" s="303"/>
      <c r="E17" s="303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 customHeight="1">
      <c r="A18" s="6"/>
      <c r="B18" s="300" t="s">
        <v>24</v>
      </c>
      <c r="C18" s="301"/>
      <c r="D18" s="301"/>
      <c r="E18" s="302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.25" customHeight="1">
      <c r="A19" s="6"/>
      <c r="B19" s="6"/>
      <c r="C19" s="6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.25" customHeight="1">
      <c r="A20" s="1"/>
      <c r="B20" s="1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90"/>
      <c r="C21" s="290"/>
      <c r="D21" s="290"/>
      <c r="E21" s="29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90"/>
      <c r="C22" s="290"/>
      <c r="D22" s="290"/>
      <c r="E22" s="29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90"/>
      <c r="C23" s="290"/>
      <c r="D23" s="290"/>
      <c r="E23" s="29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90"/>
      <c r="C24" s="290"/>
      <c r="D24" s="290"/>
      <c r="E24" s="29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90"/>
      <c r="C25" s="290"/>
      <c r="D25" s="290"/>
      <c r="E25" s="29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90"/>
      <c r="C26" s="290"/>
      <c r="D26" s="290"/>
      <c r="E26" s="29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90"/>
      <c r="C27" s="290"/>
      <c r="D27" s="290"/>
      <c r="E27" s="29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90"/>
      <c r="C28" s="290"/>
      <c r="D28" s="290"/>
      <c r="E28" s="29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90"/>
      <c r="C29" s="290"/>
      <c r="D29" s="290"/>
      <c r="E29" s="29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90"/>
      <c r="C30" s="290"/>
      <c r="D30" s="290"/>
      <c r="E30" s="29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90"/>
      <c r="C31" s="290"/>
      <c r="D31" s="290"/>
      <c r="E31" s="29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90"/>
      <c r="C32" s="290"/>
      <c r="D32" s="290"/>
      <c r="E32" s="29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1:E32"/>
    <mergeCell ref="A4:A6"/>
    <mergeCell ref="B9:E10"/>
    <mergeCell ref="B18:E18"/>
    <mergeCell ref="B17:E17"/>
    <mergeCell ref="B5:E5"/>
    <mergeCell ref="B6:E6"/>
  </mergeCells>
  <pageMargins left="0.7" right="0.7" top="0.75" bottom="0.75" header="0.3" footer="0.3"/>
  <pageSetup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34998626667073579"/>
  </sheetPr>
  <dimension ref="A1:Z993"/>
  <sheetViews>
    <sheetView topLeftCell="C1" workbookViewId="0">
      <selection activeCell="N53" sqref="N53"/>
    </sheetView>
  </sheetViews>
  <sheetFormatPr defaultColWidth="14.42578125" defaultRowHeight="15" customHeight="1"/>
  <cols>
    <col min="1" max="1" width="22.42578125" customWidth="1"/>
    <col min="2" max="2" width="15.42578125" customWidth="1"/>
    <col min="3" max="3" width="28" customWidth="1"/>
    <col min="4" max="15" width="12.140625" bestFit="1" customWidth="1"/>
    <col min="16" max="16" width="13.140625" bestFit="1" customWidth="1"/>
    <col min="17" max="18" width="8.85546875" customWidth="1"/>
    <col min="19" max="19" width="11.42578125" customWidth="1"/>
    <col min="20" max="26" width="8.85546875" customWidth="1"/>
  </cols>
  <sheetData>
    <row r="1" spans="1:26" ht="73.5" customHeight="1">
      <c r="A1" s="1"/>
      <c r="B1" s="1"/>
      <c r="C1" s="348" t="s">
        <v>95</v>
      </c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7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4" t="s">
        <v>55</v>
      </c>
      <c r="C3" s="55"/>
      <c r="D3" s="56" t="s">
        <v>7</v>
      </c>
      <c r="E3" s="56" t="s">
        <v>8</v>
      </c>
      <c r="F3" s="56" t="s">
        <v>9</v>
      </c>
      <c r="G3" s="56" t="s">
        <v>10</v>
      </c>
      <c r="H3" s="56" t="s">
        <v>11</v>
      </c>
      <c r="I3" s="56" t="s">
        <v>12</v>
      </c>
      <c r="J3" s="56" t="s">
        <v>13</v>
      </c>
      <c r="K3" s="56" t="s">
        <v>14</v>
      </c>
      <c r="L3" s="56" t="s">
        <v>15</v>
      </c>
      <c r="M3" s="56" t="s">
        <v>16</v>
      </c>
      <c r="N3" s="56" t="s">
        <v>17</v>
      </c>
      <c r="O3" s="56" t="s">
        <v>18</v>
      </c>
      <c r="P3" s="57" t="s">
        <v>19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8" t="s">
        <v>56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6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92"/>
      <c r="B5" s="178"/>
      <c r="C5" s="120" t="s">
        <v>108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5000</v>
      </c>
      <c r="O5" s="2">
        <v>5000</v>
      </c>
      <c r="P5" s="29">
        <f t="shared" ref="P5:P14" si="0">SUM(D5:O5)</f>
        <v>35000</v>
      </c>
      <c r="Q5" s="92"/>
      <c r="R5" s="92"/>
      <c r="S5" s="92"/>
      <c r="T5" s="92"/>
      <c r="U5" s="92"/>
      <c r="V5" s="92"/>
      <c r="W5" s="92"/>
      <c r="X5" s="92"/>
      <c r="Y5" s="92"/>
      <c r="Z5" s="92"/>
    </row>
    <row r="6" spans="1:26">
      <c r="A6" s="1"/>
      <c r="B6" s="28"/>
      <c r="C6" s="1" t="s">
        <v>96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500</v>
      </c>
      <c r="J6" s="2">
        <v>500</v>
      </c>
      <c r="K6" s="2">
        <v>500</v>
      </c>
      <c r="L6" s="2">
        <v>500</v>
      </c>
      <c r="M6" s="2">
        <v>500</v>
      </c>
      <c r="N6" s="2">
        <v>500</v>
      </c>
      <c r="O6" s="2">
        <v>500</v>
      </c>
      <c r="P6" s="29">
        <f t="shared" si="0"/>
        <v>3500</v>
      </c>
      <c r="Q6" s="1"/>
      <c r="R6" s="1"/>
      <c r="S6" s="4"/>
      <c r="T6" s="1"/>
      <c r="U6" s="1"/>
      <c r="V6" s="1"/>
      <c r="W6" s="1"/>
      <c r="X6" s="1"/>
      <c r="Y6" s="1"/>
      <c r="Z6" s="1"/>
    </row>
    <row r="7" spans="1:26">
      <c r="A7" s="92"/>
      <c r="B7" s="178"/>
      <c r="C7" s="120" t="s">
        <v>109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11">
        <v>1250</v>
      </c>
      <c r="J7" s="111">
        <v>1250</v>
      </c>
      <c r="K7" s="111">
        <v>1250</v>
      </c>
      <c r="L7" s="111">
        <v>1250</v>
      </c>
      <c r="M7" s="111">
        <v>1250</v>
      </c>
      <c r="N7" s="111">
        <v>1250</v>
      </c>
      <c r="O7" s="111">
        <v>1250</v>
      </c>
      <c r="P7" s="29">
        <f t="shared" si="0"/>
        <v>8750</v>
      </c>
      <c r="Q7" s="92"/>
      <c r="R7" s="92"/>
      <c r="S7" s="181"/>
      <c r="T7" s="92"/>
      <c r="U7" s="92"/>
      <c r="V7" s="92"/>
      <c r="W7" s="92"/>
      <c r="X7" s="92"/>
      <c r="Y7" s="92"/>
      <c r="Z7" s="92"/>
    </row>
    <row r="8" spans="1:26">
      <c r="A8" s="92"/>
      <c r="B8" s="178"/>
      <c r="C8" s="120" t="s">
        <v>110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11">
        <v>2500</v>
      </c>
      <c r="J8" s="111">
        <v>2500</v>
      </c>
      <c r="K8" s="111">
        <v>2500</v>
      </c>
      <c r="L8" s="111">
        <v>2500</v>
      </c>
      <c r="M8" s="111">
        <v>2500</v>
      </c>
      <c r="N8" s="111">
        <v>2500</v>
      </c>
      <c r="O8" s="111">
        <v>2500</v>
      </c>
      <c r="P8" s="29">
        <f t="shared" si="0"/>
        <v>17500</v>
      </c>
      <c r="Q8" s="92"/>
      <c r="R8" s="92"/>
      <c r="S8" s="181"/>
      <c r="T8" s="92"/>
      <c r="U8" s="92"/>
      <c r="V8" s="92"/>
      <c r="W8" s="92"/>
      <c r="X8" s="92"/>
      <c r="Y8" s="92"/>
      <c r="Z8" s="92"/>
    </row>
    <row r="9" spans="1:26">
      <c r="A9" s="1"/>
      <c r="B9" s="28"/>
      <c r="C9" s="102" t="s">
        <v>119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4166.67</v>
      </c>
      <c r="J9" s="2">
        <v>4166.67</v>
      </c>
      <c r="K9" s="2">
        <v>4166.67</v>
      </c>
      <c r="L9" s="2">
        <v>4166.67</v>
      </c>
      <c r="M9" s="2">
        <v>4166.67</v>
      </c>
      <c r="N9" s="2">
        <v>4166.67</v>
      </c>
      <c r="O9" s="2">
        <v>4166.67</v>
      </c>
      <c r="P9" s="29">
        <f t="shared" si="0"/>
        <v>29166.689999999995</v>
      </c>
      <c r="Q9" s="1"/>
      <c r="R9" s="1"/>
      <c r="S9" s="4"/>
      <c r="T9" s="1"/>
      <c r="U9" s="1"/>
      <c r="V9" s="1"/>
      <c r="W9" s="1"/>
      <c r="X9" s="1"/>
      <c r="Y9" s="1"/>
      <c r="Z9" s="1"/>
    </row>
    <row r="10" spans="1:26">
      <c r="A10" s="1"/>
      <c r="B10" s="28"/>
      <c r="C10" s="102" t="s">
        <v>106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2083.33</v>
      </c>
      <c r="J10" s="2">
        <v>2083.33</v>
      </c>
      <c r="K10" s="2">
        <v>2083.33</v>
      </c>
      <c r="L10" s="2">
        <v>2083.33</v>
      </c>
      <c r="M10" s="2">
        <v>2083.33</v>
      </c>
      <c r="N10" s="2">
        <v>2083.33</v>
      </c>
      <c r="O10" s="2">
        <v>2083.33</v>
      </c>
      <c r="P10" s="29">
        <f t="shared" si="0"/>
        <v>14583.31</v>
      </c>
      <c r="Q10" s="1"/>
      <c r="R10" s="1"/>
      <c r="S10" s="4"/>
      <c r="T10" s="1"/>
      <c r="U10" s="1"/>
      <c r="V10" s="1"/>
      <c r="W10" s="1"/>
      <c r="X10" s="1"/>
      <c r="Y10" s="1"/>
      <c r="Z10" s="1"/>
    </row>
    <row r="11" spans="1:26">
      <c r="A11" s="1"/>
      <c r="B11" s="28"/>
      <c r="C11" s="102" t="s">
        <v>57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500</v>
      </c>
      <c r="J11" s="2">
        <v>500</v>
      </c>
      <c r="K11" s="2">
        <v>500</v>
      </c>
      <c r="L11" s="2">
        <v>500</v>
      </c>
      <c r="M11" s="2">
        <v>500</v>
      </c>
      <c r="N11" s="2">
        <v>500</v>
      </c>
      <c r="O11" s="2">
        <v>500</v>
      </c>
      <c r="P11" s="29">
        <f t="shared" si="0"/>
        <v>3500</v>
      </c>
      <c r="Q11" s="1"/>
      <c r="R11" s="1"/>
      <c r="S11" s="4"/>
      <c r="T11" s="1"/>
      <c r="U11" s="1"/>
      <c r="V11" s="1"/>
      <c r="W11" s="1"/>
      <c r="X11" s="1"/>
      <c r="Y11" s="1"/>
      <c r="Z11" s="1"/>
    </row>
    <row r="12" spans="1:26">
      <c r="A12" s="1"/>
      <c r="B12" s="28"/>
      <c r="C12" s="1" t="s">
        <v>58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250</v>
      </c>
      <c r="J12" s="2">
        <v>250</v>
      </c>
      <c r="K12" s="2">
        <v>250</v>
      </c>
      <c r="L12" s="2">
        <v>250</v>
      </c>
      <c r="M12" s="2">
        <v>250</v>
      </c>
      <c r="N12" s="2">
        <v>250</v>
      </c>
      <c r="O12" s="2">
        <v>250</v>
      </c>
      <c r="P12" s="29">
        <f t="shared" si="0"/>
        <v>1750</v>
      </c>
      <c r="Q12" s="1"/>
      <c r="R12" s="1"/>
      <c r="S12" s="4"/>
      <c r="T12" s="1"/>
      <c r="U12" s="1"/>
      <c r="V12" s="1"/>
      <c r="W12" s="1"/>
      <c r="X12" s="1"/>
      <c r="Y12" s="1"/>
      <c r="Z12" s="1"/>
    </row>
    <row r="13" spans="1:26">
      <c r="A13" s="1"/>
      <c r="B13" s="28"/>
      <c r="C13" s="102" t="s">
        <v>107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10000</v>
      </c>
      <c r="J13" s="2">
        <v>10000</v>
      </c>
      <c r="K13" s="2">
        <v>10000</v>
      </c>
      <c r="L13" s="2">
        <v>10000</v>
      </c>
      <c r="M13" s="2">
        <v>10000</v>
      </c>
      <c r="N13" s="2">
        <v>10000</v>
      </c>
      <c r="O13" s="2">
        <v>10000</v>
      </c>
      <c r="P13" s="29">
        <f t="shared" si="0"/>
        <v>70000</v>
      </c>
      <c r="Q13" s="1"/>
      <c r="R13" s="1"/>
      <c r="S13" s="4"/>
      <c r="T13" s="1"/>
      <c r="U13" s="1"/>
      <c r="V13" s="1"/>
      <c r="W13" s="1"/>
      <c r="X13" s="1"/>
      <c r="Y13" s="1"/>
      <c r="Z13" s="1"/>
    </row>
    <row r="14" spans="1:26">
      <c r="A14" s="1"/>
      <c r="B14" s="28"/>
      <c r="C14" s="1" t="s">
        <v>21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5000</v>
      </c>
      <c r="L14" s="2">
        <v>33000</v>
      </c>
      <c r="M14" s="2">
        <v>110000</v>
      </c>
      <c r="N14" s="2">
        <v>166666.67000000001</v>
      </c>
      <c r="O14" s="2">
        <v>166666.67000000001</v>
      </c>
      <c r="P14" s="29">
        <f t="shared" si="0"/>
        <v>481333.34000000008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8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9"/>
      <c r="Q15" s="1"/>
      <c r="R15" s="1"/>
      <c r="S15" s="47"/>
      <c r="T15" s="1"/>
      <c r="U15" s="1"/>
      <c r="V15" s="1"/>
      <c r="W15" s="1"/>
      <c r="X15" s="1"/>
      <c r="Y15" s="1"/>
      <c r="Z15" s="1"/>
    </row>
    <row r="16" spans="1:26">
      <c r="A16" s="47"/>
      <c r="B16" s="346" t="s">
        <v>59</v>
      </c>
      <c r="C16" s="347"/>
      <c r="D16" s="68">
        <f>SUM(D6:D14)</f>
        <v>0</v>
      </c>
      <c r="E16" s="68">
        <f>SUM(E6:E14)</f>
        <v>0</v>
      </c>
      <c r="F16" s="68">
        <f>SUM(F6:F14)</f>
        <v>0</v>
      </c>
      <c r="G16" s="68">
        <f>SUM(G6:G14)</f>
        <v>0</v>
      </c>
      <c r="H16" s="68">
        <f>SUM(H6:H14)</f>
        <v>0</v>
      </c>
      <c r="I16" s="68">
        <f>SUM(I6:I14)</f>
        <v>21250</v>
      </c>
      <c r="J16" s="68">
        <f>SUM(J6:J14)</f>
        <v>21250</v>
      </c>
      <c r="K16" s="68">
        <f>SUM(K6:K14)</f>
        <v>26250</v>
      </c>
      <c r="L16" s="68">
        <f>SUM(L6:L14)</f>
        <v>54250</v>
      </c>
      <c r="M16" s="68">
        <f>SUM(M6:M14)</f>
        <v>131250</v>
      </c>
      <c r="N16" s="68">
        <f>SUM(N6:N14)</f>
        <v>187916.67</v>
      </c>
      <c r="O16" s="68">
        <f>SUM(O6:O14)</f>
        <v>187916.67</v>
      </c>
      <c r="P16" s="69">
        <f>SUM(P5:P15)</f>
        <v>665083.34000000008</v>
      </c>
      <c r="Q16" s="47"/>
      <c r="R16" s="47"/>
      <c r="S16" s="1"/>
      <c r="T16" s="47"/>
      <c r="U16" s="47"/>
      <c r="V16" s="47"/>
      <c r="W16" s="47"/>
      <c r="X16" s="47"/>
      <c r="Y16" s="47"/>
      <c r="Z16" s="47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4" t="s">
        <v>60</v>
      </c>
      <c r="C19" s="55"/>
      <c r="D19" s="56" t="s">
        <v>7</v>
      </c>
      <c r="E19" s="56" t="s">
        <v>8</v>
      </c>
      <c r="F19" s="56" t="s">
        <v>9</v>
      </c>
      <c r="G19" s="56" t="s">
        <v>10</v>
      </c>
      <c r="H19" s="56" t="s">
        <v>11</v>
      </c>
      <c r="I19" s="56" t="s">
        <v>12</v>
      </c>
      <c r="J19" s="56" t="s">
        <v>13</v>
      </c>
      <c r="K19" s="56" t="s">
        <v>14</v>
      </c>
      <c r="L19" s="56" t="s">
        <v>15</v>
      </c>
      <c r="M19" s="56" t="s">
        <v>16</v>
      </c>
      <c r="N19" s="56" t="s">
        <v>17</v>
      </c>
      <c r="O19" s="56" t="s">
        <v>18</v>
      </c>
      <c r="P19" s="57" t="s">
        <v>19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8" t="s">
        <v>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92"/>
      <c r="B21" s="178"/>
      <c r="C21" s="120" t="s">
        <v>108</v>
      </c>
      <c r="D21" s="2">
        <v>5000</v>
      </c>
      <c r="E21" s="2">
        <v>5000</v>
      </c>
      <c r="F21" s="2">
        <v>5000</v>
      </c>
      <c r="G21" s="2">
        <v>5000</v>
      </c>
      <c r="H21" s="2">
        <v>5000</v>
      </c>
      <c r="I21" s="2">
        <v>5000</v>
      </c>
      <c r="J21" s="2">
        <v>5000</v>
      </c>
      <c r="K21" s="2">
        <v>5000</v>
      </c>
      <c r="L21" s="2">
        <v>5000</v>
      </c>
      <c r="M21" s="2">
        <v>5000</v>
      </c>
      <c r="N21" s="2">
        <v>5000</v>
      </c>
      <c r="O21" s="2">
        <v>5000</v>
      </c>
      <c r="P21" s="29">
        <f t="shared" ref="P21:P30" si="1">SUM(D21:O21)</f>
        <v>60000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>
      <c r="A22" s="1"/>
      <c r="B22" s="28"/>
      <c r="C22" s="1" t="s">
        <v>96</v>
      </c>
      <c r="D22" s="2">
        <v>1500</v>
      </c>
      <c r="E22" s="2">
        <v>1500</v>
      </c>
      <c r="F22" s="2">
        <v>1500</v>
      </c>
      <c r="G22" s="2">
        <v>1500</v>
      </c>
      <c r="H22" s="2">
        <v>1500</v>
      </c>
      <c r="I22" s="2">
        <v>1500</v>
      </c>
      <c r="J22" s="2">
        <v>1500</v>
      </c>
      <c r="K22" s="2">
        <v>1500</v>
      </c>
      <c r="L22" s="2">
        <v>1500</v>
      </c>
      <c r="M22" s="2">
        <v>1500</v>
      </c>
      <c r="N22" s="2">
        <v>1500</v>
      </c>
      <c r="O22" s="2">
        <v>1500</v>
      </c>
      <c r="P22" s="29">
        <f t="shared" si="1"/>
        <v>18000</v>
      </c>
      <c r="Q22" s="1"/>
      <c r="R22" s="1"/>
      <c r="S22" s="4"/>
      <c r="T22" s="1"/>
      <c r="U22" s="1"/>
      <c r="V22" s="1"/>
      <c r="W22" s="1"/>
      <c r="X22" s="1"/>
      <c r="Y22" s="1"/>
      <c r="Z22" s="1"/>
    </row>
    <row r="23" spans="1:26">
      <c r="A23" s="92"/>
      <c r="B23" s="178"/>
      <c r="C23" s="120" t="s">
        <v>109</v>
      </c>
      <c r="D23" s="111">
        <v>1250</v>
      </c>
      <c r="E23" s="111">
        <v>1250</v>
      </c>
      <c r="F23" s="111">
        <v>1250</v>
      </c>
      <c r="G23" s="111">
        <v>1250</v>
      </c>
      <c r="H23" s="111">
        <v>1250</v>
      </c>
      <c r="I23" s="111">
        <v>1250</v>
      </c>
      <c r="J23" s="111">
        <v>1250</v>
      </c>
      <c r="K23" s="111">
        <v>1250</v>
      </c>
      <c r="L23" s="111">
        <v>1250</v>
      </c>
      <c r="M23" s="111">
        <v>1250</v>
      </c>
      <c r="N23" s="111">
        <v>1250</v>
      </c>
      <c r="O23" s="111">
        <v>1250</v>
      </c>
      <c r="P23" s="29">
        <f t="shared" si="1"/>
        <v>15000</v>
      </c>
      <c r="Q23" s="92"/>
      <c r="R23" s="92"/>
      <c r="S23" s="181"/>
      <c r="T23" s="92"/>
      <c r="U23" s="92"/>
      <c r="V23" s="92"/>
      <c r="W23" s="92"/>
      <c r="X23" s="92"/>
      <c r="Y23" s="92"/>
      <c r="Z23" s="92"/>
    </row>
    <row r="24" spans="1:26">
      <c r="A24" s="92"/>
      <c r="B24" s="178"/>
      <c r="C24" s="120" t="s">
        <v>110</v>
      </c>
      <c r="D24" s="111">
        <v>2500</v>
      </c>
      <c r="E24" s="111">
        <v>2500</v>
      </c>
      <c r="F24" s="111">
        <v>2500</v>
      </c>
      <c r="G24" s="111">
        <v>2500</v>
      </c>
      <c r="H24" s="111">
        <v>2500</v>
      </c>
      <c r="I24" s="111">
        <v>2500</v>
      </c>
      <c r="J24" s="111">
        <v>2500</v>
      </c>
      <c r="K24" s="111">
        <v>2500</v>
      </c>
      <c r="L24" s="111">
        <v>2500</v>
      </c>
      <c r="M24" s="111">
        <v>2500</v>
      </c>
      <c r="N24" s="111">
        <v>2500</v>
      </c>
      <c r="O24" s="111">
        <v>2500</v>
      </c>
      <c r="P24" s="29">
        <f t="shared" si="1"/>
        <v>30000</v>
      </c>
      <c r="Q24" s="92"/>
      <c r="R24" s="92"/>
      <c r="S24" s="181"/>
      <c r="T24" s="92"/>
      <c r="U24" s="92"/>
      <c r="V24" s="92"/>
      <c r="W24" s="92"/>
      <c r="X24" s="92"/>
      <c r="Y24" s="92"/>
      <c r="Z24" s="92"/>
    </row>
    <row r="25" spans="1:26">
      <c r="A25" s="1"/>
      <c r="B25" s="28"/>
      <c r="C25" s="102" t="s">
        <v>119</v>
      </c>
      <c r="D25" s="2">
        <v>4166.67</v>
      </c>
      <c r="E25" s="2">
        <v>4166.67</v>
      </c>
      <c r="F25" s="2">
        <v>4166.67</v>
      </c>
      <c r="G25" s="2">
        <v>4166.67</v>
      </c>
      <c r="H25" s="2">
        <v>4166.67</v>
      </c>
      <c r="I25" s="2">
        <v>4166.67</v>
      </c>
      <c r="J25" s="2">
        <v>4166.67</v>
      </c>
      <c r="K25" s="2">
        <v>4166.67</v>
      </c>
      <c r="L25" s="2">
        <v>4166.67</v>
      </c>
      <c r="M25" s="2">
        <v>4166.67</v>
      </c>
      <c r="N25" s="2">
        <v>4166.67</v>
      </c>
      <c r="O25" s="2">
        <v>4166.67</v>
      </c>
      <c r="P25" s="29">
        <f t="shared" si="1"/>
        <v>50000.039999999986</v>
      </c>
      <c r="Q25" s="1"/>
      <c r="R25" s="1"/>
      <c r="S25" s="4"/>
      <c r="T25" s="1"/>
      <c r="U25" s="1"/>
      <c r="V25" s="1"/>
      <c r="W25" s="1"/>
      <c r="X25" s="1"/>
      <c r="Y25" s="1"/>
      <c r="Z25" s="1"/>
    </row>
    <row r="26" spans="1:26">
      <c r="A26" s="1"/>
      <c r="B26" s="28"/>
      <c r="C26" s="102" t="s">
        <v>106</v>
      </c>
      <c r="D26" s="2">
        <v>2083.33</v>
      </c>
      <c r="E26" s="2">
        <v>2083.33</v>
      </c>
      <c r="F26" s="2">
        <v>2083.33</v>
      </c>
      <c r="G26" s="2">
        <v>2083.33</v>
      </c>
      <c r="H26" s="2">
        <v>2083.33</v>
      </c>
      <c r="I26" s="2">
        <v>2083.33</v>
      </c>
      <c r="J26" s="2">
        <v>2083.33</v>
      </c>
      <c r="K26" s="2">
        <v>2083.33</v>
      </c>
      <c r="L26" s="2">
        <v>2083.33</v>
      </c>
      <c r="M26" s="2">
        <v>2083.33</v>
      </c>
      <c r="N26" s="2">
        <v>2083.33</v>
      </c>
      <c r="O26" s="2">
        <v>2083.33</v>
      </c>
      <c r="P26" s="29">
        <f t="shared" si="1"/>
        <v>24999.960000000006</v>
      </c>
      <c r="Q26" s="1"/>
      <c r="R26" s="1"/>
      <c r="S26" s="4"/>
      <c r="T26" s="1"/>
      <c r="U26" s="1"/>
      <c r="V26" s="1"/>
      <c r="W26" s="1"/>
      <c r="X26" s="1"/>
      <c r="Y26" s="1"/>
      <c r="Z26" s="1"/>
    </row>
    <row r="27" spans="1:26">
      <c r="A27" s="1"/>
      <c r="B27" s="28"/>
      <c r="C27" s="102" t="s">
        <v>57</v>
      </c>
      <c r="D27" s="2">
        <v>500</v>
      </c>
      <c r="E27" s="2">
        <v>500</v>
      </c>
      <c r="F27" s="2">
        <v>500</v>
      </c>
      <c r="G27" s="2">
        <v>500</v>
      </c>
      <c r="H27" s="2">
        <v>500</v>
      </c>
      <c r="I27" s="2">
        <v>500</v>
      </c>
      <c r="J27" s="2">
        <v>500</v>
      </c>
      <c r="K27" s="2">
        <v>500</v>
      </c>
      <c r="L27" s="2">
        <v>500</v>
      </c>
      <c r="M27" s="2">
        <v>500</v>
      </c>
      <c r="N27" s="2">
        <v>500</v>
      </c>
      <c r="O27" s="2">
        <v>500</v>
      </c>
      <c r="P27" s="29">
        <f t="shared" si="1"/>
        <v>6000</v>
      </c>
      <c r="Q27" s="1"/>
      <c r="R27" s="1"/>
      <c r="S27" s="4"/>
      <c r="T27" s="1"/>
      <c r="U27" s="1"/>
      <c r="V27" s="1"/>
      <c r="W27" s="1"/>
      <c r="X27" s="1"/>
      <c r="Y27" s="1"/>
      <c r="Z27" s="1"/>
    </row>
    <row r="28" spans="1:26">
      <c r="A28" s="1"/>
      <c r="B28" s="28"/>
      <c r="C28" s="1" t="s">
        <v>58</v>
      </c>
      <c r="D28" s="2">
        <v>250</v>
      </c>
      <c r="E28" s="2">
        <v>250</v>
      </c>
      <c r="F28" s="2">
        <v>250</v>
      </c>
      <c r="G28" s="2">
        <v>250</v>
      </c>
      <c r="H28" s="2">
        <v>250</v>
      </c>
      <c r="I28" s="2">
        <v>250</v>
      </c>
      <c r="J28" s="2">
        <v>250</v>
      </c>
      <c r="K28" s="2">
        <v>250</v>
      </c>
      <c r="L28" s="2">
        <v>250</v>
      </c>
      <c r="M28" s="2">
        <v>250</v>
      </c>
      <c r="N28" s="2">
        <v>250</v>
      </c>
      <c r="O28" s="2">
        <v>250</v>
      </c>
      <c r="P28" s="29">
        <f t="shared" si="1"/>
        <v>3000</v>
      </c>
      <c r="Q28" s="1"/>
      <c r="R28" s="1"/>
      <c r="S28" s="4"/>
      <c r="T28" s="1"/>
      <c r="U28" s="1"/>
      <c r="V28" s="1"/>
      <c r="W28" s="1"/>
      <c r="X28" s="1"/>
      <c r="Y28" s="1"/>
      <c r="Z28" s="1"/>
    </row>
    <row r="29" spans="1:26">
      <c r="A29" s="1"/>
      <c r="B29" s="28"/>
      <c r="C29" s="102" t="s">
        <v>107</v>
      </c>
      <c r="D29" s="2">
        <v>10000</v>
      </c>
      <c r="E29" s="2">
        <v>10000</v>
      </c>
      <c r="F29" s="2">
        <v>10000</v>
      </c>
      <c r="G29" s="2">
        <v>10000</v>
      </c>
      <c r="H29" s="2">
        <v>10000</v>
      </c>
      <c r="I29" s="2">
        <v>10000</v>
      </c>
      <c r="J29" s="2">
        <v>10000</v>
      </c>
      <c r="K29" s="2">
        <v>10000</v>
      </c>
      <c r="L29" s="2">
        <v>10000</v>
      </c>
      <c r="M29" s="2">
        <v>10000</v>
      </c>
      <c r="N29" s="2">
        <v>10000</v>
      </c>
      <c r="O29" s="2">
        <v>10000</v>
      </c>
      <c r="P29" s="29">
        <f t="shared" si="1"/>
        <v>120000</v>
      </c>
      <c r="Q29" s="1"/>
      <c r="R29" s="1"/>
      <c r="S29" s="4"/>
      <c r="T29" s="1"/>
      <c r="U29" s="1"/>
      <c r="V29" s="1"/>
      <c r="W29" s="1"/>
      <c r="X29" s="1"/>
      <c r="Y29" s="1"/>
      <c r="Z29" s="1"/>
    </row>
    <row r="30" spans="1:26">
      <c r="A30" s="1"/>
      <c r="B30" s="28"/>
      <c r="C30" s="1" t="s">
        <v>21</v>
      </c>
      <c r="D30" s="2">
        <v>250000</v>
      </c>
      <c r="E30" s="2">
        <v>250000</v>
      </c>
      <c r="F30" s="2">
        <v>250000</v>
      </c>
      <c r="G30" s="2">
        <v>500000</v>
      </c>
      <c r="H30" s="2">
        <v>500000</v>
      </c>
      <c r="I30" s="2">
        <v>500000</v>
      </c>
      <c r="J30" s="2">
        <v>750000</v>
      </c>
      <c r="K30" s="2">
        <v>750000</v>
      </c>
      <c r="L30" s="2">
        <v>750000</v>
      </c>
      <c r="M30" s="2">
        <v>1000000</v>
      </c>
      <c r="N30" s="2">
        <v>1000000</v>
      </c>
      <c r="O30" s="2">
        <v>1000000</v>
      </c>
      <c r="P30" s="29">
        <f t="shared" si="1"/>
        <v>7500000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92"/>
      <c r="B31" s="178"/>
      <c r="C31" s="92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29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>
      <c r="A32" s="1"/>
      <c r="B32" s="346" t="s">
        <v>59</v>
      </c>
      <c r="C32" s="347"/>
      <c r="D32" s="68">
        <f>SUM(D21:D30)</f>
        <v>277250</v>
      </c>
      <c r="E32" s="68">
        <f>SUM(E21:E30)</f>
        <v>277250</v>
      </c>
      <c r="F32" s="68">
        <f>SUM(F21:F30)</f>
        <v>277250</v>
      </c>
      <c r="G32" s="68">
        <f>SUM(G21:G30)</f>
        <v>527250</v>
      </c>
      <c r="H32" s="68">
        <f>SUM(H21:H30)</f>
        <v>527250</v>
      </c>
      <c r="I32" s="68">
        <f>SUM(I21:I30)</f>
        <v>527250</v>
      </c>
      <c r="J32" s="68">
        <f>SUM(J21:J30)</f>
        <v>777250</v>
      </c>
      <c r="K32" s="68">
        <f>SUM(K21:K30)</f>
        <v>777250</v>
      </c>
      <c r="L32" s="68">
        <f>SUM(L21:L30)</f>
        <v>777250</v>
      </c>
      <c r="M32" s="68">
        <f>SUM(M21:M30)</f>
        <v>1027250</v>
      </c>
      <c r="N32" s="68">
        <f>SUM(N21:N30)</f>
        <v>1027250</v>
      </c>
      <c r="O32" s="68">
        <f>SUM(O21:O30)</f>
        <v>1027250</v>
      </c>
      <c r="P32" s="69">
        <f>SUM(P21:P30)</f>
        <v>7827000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54" t="s">
        <v>61</v>
      </c>
      <c r="C35" s="55"/>
      <c r="D35" s="56" t="s">
        <v>7</v>
      </c>
      <c r="E35" s="56" t="s">
        <v>8</v>
      </c>
      <c r="F35" s="56" t="s">
        <v>9</v>
      </c>
      <c r="G35" s="56" t="s">
        <v>10</v>
      </c>
      <c r="H35" s="56" t="s">
        <v>11</v>
      </c>
      <c r="I35" s="56" t="s">
        <v>12</v>
      </c>
      <c r="J35" s="56" t="s">
        <v>13</v>
      </c>
      <c r="K35" s="56" t="s">
        <v>14</v>
      </c>
      <c r="L35" s="56" t="s">
        <v>15</v>
      </c>
      <c r="M35" s="56" t="s">
        <v>16</v>
      </c>
      <c r="N35" s="56" t="s">
        <v>17</v>
      </c>
      <c r="O35" s="56" t="s">
        <v>18</v>
      </c>
      <c r="P35" s="57" t="s">
        <v>19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8" t="s">
        <v>56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8"/>
      <c r="C37" s="1" t="s">
        <v>108</v>
      </c>
      <c r="D37" s="2">
        <v>7500</v>
      </c>
      <c r="E37" s="2">
        <v>7500</v>
      </c>
      <c r="F37" s="2">
        <v>7500</v>
      </c>
      <c r="G37" s="2">
        <v>7500</v>
      </c>
      <c r="H37" s="2">
        <v>7500</v>
      </c>
      <c r="I37" s="2">
        <v>7500</v>
      </c>
      <c r="J37" s="2">
        <v>7500</v>
      </c>
      <c r="K37" s="2">
        <v>7500</v>
      </c>
      <c r="L37" s="2">
        <v>7500</v>
      </c>
      <c r="M37" s="2">
        <v>7500</v>
      </c>
      <c r="N37" s="2">
        <v>7500</v>
      </c>
      <c r="O37" s="2">
        <v>7500</v>
      </c>
      <c r="P37" s="29">
        <f t="shared" ref="P37:P46" si="2">SUM(D37:O37)</f>
        <v>90000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8"/>
      <c r="C38" s="1" t="s">
        <v>96</v>
      </c>
      <c r="D38" s="2">
        <v>1500</v>
      </c>
      <c r="E38" s="2">
        <v>1500</v>
      </c>
      <c r="F38" s="2">
        <v>1500</v>
      </c>
      <c r="G38" s="2">
        <v>1500</v>
      </c>
      <c r="H38" s="2">
        <v>1500</v>
      </c>
      <c r="I38" s="2">
        <v>1500</v>
      </c>
      <c r="J38" s="2">
        <v>1500</v>
      </c>
      <c r="K38" s="2">
        <v>1500</v>
      </c>
      <c r="L38" s="2">
        <v>1500</v>
      </c>
      <c r="M38" s="2">
        <v>1500</v>
      </c>
      <c r="N38" s="2">
        <v>1500</v>
      </c>
      <c r="O38" s="2">
        <v>1500</v>
      </c>
      <c r="P38" s="29">
        <f t="shared" si="2"/>
        <v>18000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8"/>
      <c r="C39" s="1" t="s">
        <v>109</v>
      </c>
      <c r="D39" s="2">
        <v>1250</v>
      </c>
      <c r="E39" s="2">
        <v>1250</v>
      </c>
      <c r="F39" s="2">
        <v>1250</v>
      </c>
      <c r="G39" s="2">
        <v>1250</v>
      </c>
      <c r="H39" s="2">
        <v>1250</v>
      </c>
      <c r="I39" s="2">
        <v>1250</v>
      </c>
      <c r="J39" s="2">
        <v>1250</v>
      </c>
      <c r="K39" s="2">
        <v>1250</v>
      </c>
      <c r="L39" s="2">
        <v>1250</v>
      </c>
      <c r="M39" s="2">
        <v>1250</v>
      </c>
      <c r="N39" s="2">
        <v>1250</v>
      </c>
      <c r="O39" s="2">
        <v>1250</v>
      </c>
      <c r="P39" s="29">
        <f t="shared" si="2"/>
        <v>15000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8"/>
      <c r="C40" s="1" t="s">
        <v>110</v>
      </c>
      <c r="D40" s="2">
        <v>2500</v>
      </c>
      <c r="E40" s="2">
        <v>2500</v>
      </c>
      <c r="F40" s="2">
        <v>2500</v>
      </c>
      <c r="G40" s="2">
        <v>2500</v>
      </c>
      <c r="H40" s="2">
        <v>2500</v>
      </c>
      <c r="I40" s="2">
        <v>2500</v>
      </c>
      <c r="J40" s="2">
        <v>2500</v>
      </c>
      <c r="K40" s="2">
        <v>2500</v>
      </c>
      <c r="L40" s="2">
        <v>2500</v>
      </c>
      <c r="M40" s="2">
        <v>2500</v>
      </c>
      <c r="N40" s="2">
        <v>2500</v>
      </c>
      <c r="O40" s="2">
        <v>2500</v>
      </c>
      <c r="P40" s="29">
        <f t="shared" si="2"/>
        <v>30000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8"/>
      <c r="C41" s="102" t="s">
        <v>119</v>
      </c>
      <c r="D41" s="121">
        <v>4166.67</v>
      </c>
      <c r="E41" s="121">
        <v>4166.67</v>
      </c>
      <c r="F41" s="121">
        <v>4166.67</v>
      </c>
      <c r="G41" s="121">
        <v>4166.67</v>
      </c>
      <c r="H41" s="121">
        <v>4166.67</v>
      </c>
      <c r="I41" s="121">
        <v>4166.67</v>
      </c>
      <c r="J41" s="121">
        <v>4166.67</v>
      </c>
      <c r="K41" s="121">
        <v>4166.67</v>
      </c>
      <c r="L41" s="121">
        <v>4166.67</v>
      </c>
      <c r="M41" s="121">
        <v>4166.67</v>
      </c>
      <c r="N41" s="121">
        <v>4166.67</v>
      </c>
      <c r="O41" s="121">
        <v>4166.67</v>
      </c>
      <c r="P41" s="29">
        <f t="shared" si="2"/>
        <v>50000.039999999986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8"/>
      <c r="C42" s="1" t="s">
        <v>106</v>
      </c>
      <c r="D42" s="121">
        <v>2083.33</v>
      </c>
      <c r="E42" s="121">
        <v>2083.33</v>
      </c>
      <c r="F42" s="121">
        <v>2083.33</v>
      </c>
      <c r="G42" s="121">
        <v>2083.33</v>
      </c>
      <c r="H42" s="121">
        <v>2083.33</v>
      </c>
      <c r="I42" s="121">
        <v>2083.33</v>
      </c>
      <c r="J42" s="121">
        <v>2083.33</v>
      </c>
      <c r="K42" s="121">
        <v>2083.33</v>
      </c>
      <c r="L42" s="121">
        <v>2083.33</v>
      </c>
      <c r="M42" s="121">
        <v>2083.33</v>
      </c>
      <c r="N42" s="121">
        <v>2083.33</v>
      </c>
      <c r="O42" s="121">
        <v>2083.33</v>
      </c>
      <c r="P42" s="29">
        <f t="shared" si="2"/>
        <v>24999.960000000006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8"/>
      <c r="C43" s="1" t="s">
        <v>57</v>
      </c>
      <c r="D43" s="121">
        <v>500</v>
      </c>
      <c r="E43" s="121">
        <v>500</v>
      </c>
      <c r="F43" s="121">
        <v>500</v>
      </c>
      <c r="G43" s="121">
        <v>500</v>
      </c>
      <c r="H43" s="121">
        <v>500</v>
      </c>
      <c r="I43" s="121">
        <v>500</v>
      </c>
      <c r="J43" s="121">
        <v>500</v>
      </c>
      <c r="K43" s="121">
        <v>500</v>
      </c>
      <c r="L43" s="121">
        <v>500</v>
      </c>
      <c r="M43" s="121">
        <v>500</v>
      </c>
      <c r="N43" s="121">
        <v>500</v>
      </c>
      <c r="O43" s="121">
        <v>500</v>
      </c>
      <c r="P43" s="29">
        <f t="shared" si="2"/>
        <v>6000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8"/>
      <c r="C44" s="102" t="s">
        <v>58</v>
      </c>
      <c r="D44" s="121">
        <v>250</v>
      </c>
      <c r="E44" s="121">
        <v>250</v>
      </c>
      <c r="F44" s="121">
        <v>250</v>
      </c>
      <c r="G44" s="121">
        <v>250</v>
      </c>
      <c r="H44" s="121">
        <v>250</v>
      </c>
      <c r="I44" s="121">
        <v>250</v>
      </c>
      <c r="J44" s="121">
        <v>250</v>
      </c>
      <c r="K44" s="121">
        <v>250</v>
      </c>
      <c r="L44" s="121">
        <v>250</v>
      </c>
      <c r="M44" s="121">
        <v>250</v>
      </c>
      <c r="N44" s="121">
        <v>250</v>
      </c>
      <c r="O44" s="121">
        <v>250</v>
      </c>
      <c r="P44" s="29">
        <f t="shared" si="2"/>
        <v>3000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8"/>
      <c r="C45" s="110" t="s">
        <v>107</v>
      </c>
      <c r="D45" s="121">
        <v>10000</v>
      </c>
      <c r="E45" s="2">
        <v>10000</v>
      </c>
      <c r="F45" s="2">
        <v>10000</v>
      </c>
      <c r="G45" s="2">
        <v>10000</v>
      </c>
      <c r="H45" s="2">
        <v>10000</v>
      </c>
      <c r="I45" s="2">
        <v>10000</v>
      </c>
      <c r="J45" s="2">
        <v>10000</v>
      </c>
      <c r="K45" s="2">
        <v>10000</v>
      </c>
      <c r="L45" s="2">
        <v>10000</v>
      </c>
      <c r="M45" s="2">
        <v>10000</v>
      </c>
      <c r="N45" s="2">
        <v>10000</v>
      </c>
      <c r="O45" s="2">
        <v>10000</v>
      </c>
      <c r="P45" s="29">
        <f t="shared" si="2"/>
        <v>120000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8"/>
      <c r="C46" s="1" t="s">
        <v>21</v>
      </c>
      <c r="D46" s="2">
        <v>1000000</v>
      </c>
      <c r="E46" s="2">
        <v>1000000</v>
      </c>
      <c r="F46" s="2">
        <v>1000000</v>
      </c>
      <c r="G46" s="2">
        <v>2000000</v>
      </c>
      <c r="H46" s="2">
        <v>2000000</v>
      </c>
      <c r="I46" s="2">
        <v>2000000</v>
      </c>
      <c r="J46" s="2">
        <v>3000000</v>
      </c>
      <c r="K46" s="2">
        <v>3000000</v>
      </c>
      <c r="L46" s="2">
        <v>4000000</v>
      </c>
      <c r="M46" s="2">
        <v>4000000</v>
      </c>
      <c r="N46" s="2">
        <v>5000000</v>
      </c>
      <c r="O46" s="2">
        <v>5000000</v>
      </c>
      <c r="P46" s="29">
        <f t="shared" si="2"/>
        <v>33000000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92"/>
      <c r="B47" s="178"/>
      <c r="C47" s="92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29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spans="1:26">
      <c r="A48" s="1"/>
      <c r="B48" s="346" t="s">
        <v>59</v>
      </c>
      <c r="C48" s="347"/>
      <c r="D48" s="68">
        <f>SUM(D37:D46)</f>
        <v>1029750</v>
      </c>
      <c r="E48" s="68">
        <f>SUM(E37:E46)</f>
        <v>1029750</v>
      </c>
      <c r="F48" s="68">
        <f>SUM(F37:F46)</f>
        <v>1029750</v>
      </c>
      <c r="G48" s="68">
        <f>SUM(G37:G46)</f>
        <v>2029750</v>
      </c>
      <c r="H48" s="68">
        <f>SUM(H37:H46)</f>
        <v>2029750</v>
      </c>
      <c r="I48" s="68">
        <f>SUM(I37:I46)</f>
        <v>2029750</v>
      </c>
      <c r="J48" s="68">
        <f>SUM(J37:J46)</f>
        <v>3029750</v>
      </c>
      <c r="K48" s="68">
        <f>SUM(K37:K46)</f>
        <v>3029750</v>
      </c>
      <c r="L48" s="68">
        <f>SUM(L37:L46)</f>
        <v>4029750</v>
      </c>
      <c r="M48" s="68">
        <f>SUM(M37:M46)</f>
        <v>4029750</v>
      </c>
      <c r="N48" s="68">
        <f>SUM(N37:N46)</f>
        <v>5029750</v>
      </c>
      <c r="O48" s="68">
        <f>SUM(O37:O46)</f>
        <v>5029750</v>
      </c>
      <c r="P48" s="69">
        <f>SUM(P37:P46)</f>
        <v>33357000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2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4">
    <mergeCell ref="B16:C16"/>
    <mergeCell ref="B32:C32"/>
    <mergeCell ref="B48:C48"/>
    <mergeCell ref="C1:P1"/>
  </mergeCells>
  <pageMargins left="0.7" right="0.7" top="0.75" bottom="0.75" header="0.3" footer="0.3"/>
  <ignoredErrors>
    <ignoredError sqref="D16:O1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34998626667073579"/>
  </sheetPr>
  <dimension ref="A1:Z1001"/>
  <sheetViews>
    <sheetView zoomScale="130" zoomScaleNormal="130" workbookViewId="0">
      <selection activeCell="C22" sqref="C22"/>
    </sheetView>
  </sheetViews>
  <sheetFormatPr defaultColWidth="14.42578125" defaultRowHeight="15" customHeight="1"/>
  <cols>
    <col min="1" max="1" width="38.42578125" customWidth="1"/>
    <col min="2" max="2" width="22.28515625" bestFit="1" customWidth="1"/>
    <col min="3" max="7" width="13.85546875" customWidth="1"/>
    <col min="8" max="26" width="10.7109375" customWidth="1"/>
  </cols>
  <sheetData>
    <row r="1" spans="1:26" ht="124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349" t="s">
        <v>62</v>
      </c>
      <c r="C2" s="350"/>
      <c r="D2" s="350"/>
      <c r="E2" s="351"/>
      <c r="F2" s="125"/>
      <c r="G2" s="12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352"/>
      <c r="C3" s="353"/>
      <c r="D3" s="353"/>
      <c r="E3" s="354"/>
      <c r="F3" s="125"/>
      <c r="G3" s="12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>
      <c r="A4" s="1"/>
      <c r="B4" s="355"/>
      <c r="C4" s="356"/>
      <c r="D4" s="356"/>
      <c r="E4" s="357"/>
      <c r="F4" s="125"/>
      <c r="G4" s="12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/>
      <c r="B5" s="135"/>
      <c r="C5" s="137">
        <v>2019</v>
      </c>
      <c r="D5" s="136">
        <v>2020</v>
      </c>
      <c r="E5" s="136">
        <v>2021</v>
      </c>
      <c r="F5" s="92"/>
      <c r="G5" s="9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>
      <c r="A6" s="1"/>
      <c r="B6" s="132" t="s">
        <v>183</v>
      </c>
      <c r="C6" s="133">
        <f>'Development Expenses'!$E$35</f>
        <v>661500</v>
      </c>
      <c r="D6" s="133">
        <f>'Development Expenses'!$F$35</f>
        <v>314500</v>
      </c>
      <c r="E6" s="134">
        <f>'Development Expenses'!$G$35</f>
        <v>1114500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>
      <c r="A7" s="1"/>
      <c r="B7" s="127" t="s">
        <v>113</v>
      </c>
      <c r="C7" s="126">
        <f>SUM('Development Expenses'!E33:E34)</f>
        <v>3088511.5860000001</v>
      </c>
      <c r="D7" s="126">
        <f>SUM('Development Expenses'!F33:F34)</f>
        <v>9216130.6899999995</v>
      </c>
      <c r="E7" s="128">
        <f>SUM('Development Expenses'!G33:G34)</f>
        <v>35586238.555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>
      <c r="A8" s="92"/>
      <c r="B8" s="127" t="s">
        <v>82</v>
      </c>
      <c r="C8" s="126">
        <f>'Staffing Profile'!$P$37</f>
        <v>451215.06850000005</v>
      </c>
      <c r="D8" s="126">
        <f>'Staffing Profile'!$P$69</f>
        <v>1229130.69</v>
      </c>
      <c r="E8" s="128">
        <f>'Staffing Profile'!$P$100</f>
        <v>1919238.5549999997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6">
      <c r="A9" s="92"/>
      <c r="B9" s="127" t="s">
        <v>84</v>
      </c>
      <c r="C9" s="126">
        <f>$C$6</f>
        <v>661500</v>
      </c>
      <c r="D9" s="126">
        <f>$D$6</f>
        <v>314500</v>
      </c>
      <c r="E9" s="128">
        <f>$E$6</f>
        <v>1114500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</row>
    <row r="10" spans="1:26">
      <c r="A10" s="1"/>
      <c r="B10" s="127" t="s">
        <v>83</v>
      </c>
      <c r="C10" s="126">
        <f>SUM(C7:C8)</f>
        <v>3539726.6545000002</v>
      </c>
      <c r="D10" s="126">
        <f>SUM(D7:D8)</f>
        <v>10445261.379999999</v>
      </c>
      <c r="E10" s="128">
        <f>SUM(E7:E8)</f>
        <v>37505477.109999999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5.75" thickBot="1">
      <c r="A11" s="1"/>
      <c r="B11" s="129" t="s">
        <v>19</v>
      </c>
      <c r="C11" s="130">
        <f>SUM(C9:C10)</f>
        <v>4201226.6545000002</v>
      </c>
      <c r="D11" s="130">
        <f>SUM(D9:D10)</f>
        <v>10759761.379999999</v>
      </c>
      <c r="E11" s="131">
        <f>SUM(E9:E10)</f>
        <v>38619977.109999999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E4"/>
  </mergeCells>
  <pageMargins left="0.7" right="0.7" top="0.75" bottom="0.75" header="0.3" footer="0.3"/>
  <ignoredErrors>
    <ignoredError sqref="D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 tint="0.34998626667073579"/>
  </sheetPr>
  <dimension ref="A1:Z1000"/>
  <sheetViews>
    <sheetView workbookViewId="0">
      <selection activeCell="G27" sqref="G27"/>
    </sheetView>
  </sheetViews>
  <sheetFormatPr defaultColWidth="14.42578125" defaultRowHeight="15" customHeight="1"/>
  <cols>
    <col min="1" max="1" width="13.140625" customWidth="1"/>
    <col min="2" max="2" width="27.42578125" customWidth="1"/>
    <col min="3" max="3" width="15.140625" customWidth="1"/>
    <col min="4" max="4" width="14.28515625" bestFit="1" customWidth="1"/>
    <col min="5" max="6" width="16.42578125" customWidth="1"/>
    <col min="7" max="7" width="16.5703125" bestFit="1" customWidth="1"/>
    <col min="8" max="26" width="8.85546875" customWidth="1"/>
  </cols>
  <sheetData>
    <row r="1" spans="1:26" ht="15" customHeight="1">
      <c r="A1" s="1"/>
      <c r="B1" s="358"/>
      <c r="C1" s="316"/>
      <c r="D1" s="316"/>
      <c r="E1" s="31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1"/>
      <c r="B3" s="361" t="s">
        <v>63</v>
      </c>
      <c r="C3" s="319"/>
      <c r="D3" s="320"/>
      <c r="E3" s="2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1"/>
      <c r="B4" s="73" t="s">
        <v>64</v>
      </c>
      <c r="C4" s="23"/>
      <c r="D4" s="27"/>
      <c r="E4" s="2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73" t="s">
        <v>65</v>
      </c>
      <c r="C5" s="18"/>
      <c r="D5" s="74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92"/>
      <c r="B6" s="147" t="s">
        <v>89</v>
      </c>
      <c r="C6" s="148">
        <v>0.34</v>
      </c>
      <c r="D6" s="74"/>
      <c r="E6" s="148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6" ht="16.5" thickBot="1">
      <c r="A7" s="1"/>
      <c r="B7" s="75" t="s">
        <v>66</v>
      </c>
      <c r="C7" s="76"/>
      <c r="D7" s="77"/>
      <c r="E7" s="1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78"/>
      <c r="C8" s="23"/>
      <c r="D8" s="23"/>
      <c r="E8" s="2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7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78"/>
      <c r="C10" s="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>
      <c r="A11" s="1"/>
      <c r="B11" s="359" t="s">
        <v>67</v>
      </c>
      <c r="C11" s="36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79" t="s">
        <v>68</v>
      </c>
      <c r="C12" s="80">
        <v>0.4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79" t="s">
        <v>69</v>
      </c>
      <c r="C13" s="80">
        <v>0.35</v>
      </c>
      <c r="D13" s="1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thickBot="1">
      <c r="A14" s="1"/>
      <c r="B14" s="81" t="s">
        <v>70</v>
      </c>
      <c r="C14" s="82">
        <f>NPV(C12,'3Yr Summary by Year'!C16:E16,('3Yr Summary by Year'!E16*'Investor Notes'!G27))*(1-C13)</f>
        <v>248676228.85425618</v>
      </c>
      <c r="D14" s="1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7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70" t="s">
        <v>71</v>
      </c>
      <c r="C18" s="83">
        <f>EBIT!C7</f>
        <v>2000000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84" t="s">
        <v>72</v>
      </c>
      <c r="C19" s="85">
        <f>0.1</f>
        <v>0.1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8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53"/>
      <c r="C21" s="71" t="s">
        <v>3</v>
      </c>
      <c r="D21" s="71" t="s">
        <v>4</v>
      </c>
      <c r="E21" s="71" t="s">
        <v>5</v>
      </c>
      <c r="F21" s="71" t="s">
        <v>73</v>
      </c>
      <c r="G21" s="72" t="s">
        <v>74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4" t="s">
        <v>75</v>
      </c>
      <c r="C22" s="87">
        <f>$C19*'3Yr Summary by Year'!C16</f>
        <v>-62528.922100000018</v>
      </c>
      <c r="D22" s="87">
        <f>$C19*'3Yr Summary by Year'!D16</f>
        <v>3452139.7338999994</v>
      </c>
      <c r="E22" s="87">
        <f>$C19*'3Yr Summary by Year'!E16</f>
        <v>21933884.769499995</v>
      </c>
      <c r="F22" s="87">
        <f>C19*('3Yr Summary by Year'!E16*'Investor Notes'!G27)</f>
        <v>109669423.84749997</v>
      </c>
      <c r="G22" s="88">
        <f>SUM(C22:F22)</f>
        <v>134992919.42879996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4"/>
      <c r="C23" s="35"/>
      <c r="D23" s="35"/>
      <c r="E23" s="35"/>
      <c r="F23" s="35"/>
      <c r="G23" s="3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84" t="s">
        <v>76</v>
      </c>
      <c r="C24" s="89">
        <f>C22-C18</f>
        <v>-2062528.9221000001</v>
      </c>
      <c r="D24" s="89">
        <f t="shared" ref="D24:F24" si="0">D22</f>
        <v>3452139.7338999994</v>
      </c>
      <c r="E24" s="89">
        <f t="shared" si="0"/>
        <v>21933884.769499995</v>
      </c>
      <c r="F24" s="89">
        <f t="shared" si="0"/>
        <v>109669423.84749997</v>
      </c>
      <c r="G24" s="90">
        <f>IRR(B24:F24)</f>
        <v>4.4327565578184922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5"/>
      <c r="D27" s="1"/>
      <c r="E27" s="1"/>
      <c r="F27" s="109" t="s">
        <v>90</v>
      </c>
      <c r="G27" s="1">
        <v>5</v>
      </c>
      <c r="H27" s="1" t="s">
        <v>91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E1"/>
    <mergeCell ref="B11:C11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</sheetPr>
  <dimension ref="A1:S107"/>
  <sheetViews>
    <sheetView topLeftCell="B1" zoomScale="89" zoomScaleNormal="89" workbookViewId="0">
      <selection activeCell="G31" sqref="G31"/>
    </sheetView>
  </sheetViews>
  <sheetFormatPr defaultColWidth="14.42578125" defaultRowHeight="15" customHeight="1"/>
  <cols>
    <col min="1" max="1" width="8.85546875" customWidth="1"/>
    <col min="2" max="2" width="30.7109375" bestFit="1" customWidth="1"/>
    <col min="3" max="3" width="20.140625" customWidth="1"/>
    <col min="4" max="11" width="15.42578125" bestFit="1" customWidth="1"/>
    <col min="12" max="12" width="15.85546875" bestFit="1" customWidth="1"/>
    <col min="13" max="14" width="17" bestFit="1" customWidth="1"/>
    <col min="15" max="15" width="16.28515625" bestFit="1" customWidth="1"/>
    <col min="16" max="16" width="12.42578125" hidden="1" customWidth="1"/>
    <col min="17" max="17" width="10.42578125" customWidth="1"/>
    <col min="18" max="18" width="15.28515625" customWidth="1"/>
    <col min="19" max="26" width="8.85546875" customWidth="1"/>
  </cols>
  <sheetData>
    <row r="1" spans="1:19" ht="15" customHeight="1">
      <c r="A1" s="1"/>
      <c r="B1" s="306" t="s">
        <v>88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8"/>
      <c r="P1" s="1"/>
      <c r="Q1" s="1"/>
      <c r="R1" s="2"/>
      <c r="S1" s="1"/>
    </row>
    <row r="2" spans="1:19" ht="15" customHeight="1">
      <c r="A2" s="1"/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1"/>
      <c r="P2" s="1"/>
      <c r="Q2" s="1"/>
      <c r="R2" s="1"/>
      <c r="S2" s="1"/>
    </row>
    <row r="3" spans="1:19" ht="15" customHeight="1">
      <c r="A3" s="1"/>
      <c r="B3" s="309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1"/>
      <c r="P3" s="1"/>
      <c r="Q3" s="1"/>
      <c r="R3" s="1"/>
      <c r="S3" s="1"/>
    </row>
    <row r="4" spans="1:19" ht="15" customHeight="1">
      <c r="A4" s="1"/>
      <c r="B4" s="309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1"/>
      <c r="P4" s="1"/>
      <c r="Q4" s="4"/>
      <c r="R4" s="1"/>
      <c r="S4" s="1"/>
    </row>
    <row r="5" spans="1:19">
      <c r="A5" s="1"/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4"/>
      <c r="P5" s="1"/>
      <c r="Q5" s="1"/>
      <c r="R5" s="1"/>
      <c r="S5" s="1"/>
    </row>
    <row r="6" spans="1:19">
      <c r="A6" s="1"/>
      <c r="B6" s="158"/>
      <c r="C6" s="162">
        <v>2023</v>
      </c>
      <c r="D6" s="282">
        <v>2023</v>
      </c>
      <c r="E6" s="282">
        <v>2024</v>
      </c>
      <c r="F6" s="283"/>
      <c r="G6" s="283"/>
      <c r="H6" s="283"/>
      <c r="I6" s="283"/>
      <c r="J6" s="283"/>
      <c r="K6" s="283"/>
      <c r="L6" s="283"/>
      <c r="M6" s="283"/>
      <c r="N6" s="283"/>
      <c r="O6" s="284"/>
      <c r="P6" s="1"/>
      <c r="Q6" s="1"/>
      <c r="R6" s="1"/>
      <c r="S6" s="1"/>
    </row>
    <row r="7" spans="1:19" ht="15.75">
      <c r="A7" s="1"/>
      <c r="B7" s="163" t="s">
        <v>1</v>
      </c>
      <c r="C7" s="281">
        <v>2000000</v>
      </c>
      <c r="D7" s="285"/>
      <c r="E7" s="285"/>
      <c r="F7" s="286"/>
      <c r="G7" s="287"/>
      <c r="H7" s="287"/>
      <c r="I7" s="287"/>
      <c r="J7" s="287"/>
      <c r="K7" s="287"/>
      <c r="L7" s="287"/>
      <c r="M7" s="287"/>
      <c r="N7" s="287"/>
      <c r="O7" s="287"/>
      <c r="P7" s="1"/>
      <c r="Q7" s="1"/>
      <c r="R7" s="1"/>
      <c r="S7" s="1"/>
    </row>
    <row r="8" spans="1:19">
      <c r="A8" s="1"/>
      <c r="B8" s="1"/>
      <c r="C8" s="145"/>
      <c r="D8" s="1"/>
      <c r="E8" s="1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thickBot="1">
      <c r="A9" s="1"/>
      <c r="B9" s="1"/>
      <c r="C9" s="1">
        <v>1</v>
      </c>
      <c r="D9" s="1">
        <f t="shared" ref="D9:N9" si="0">+C9+1</f>
        <v>2</v>
      </c>
      <c r="E9" s="1">
        <f t="shared" si="0"/>
        <v>3</v>
      </c>
      <c r="F9" s="1">
        <f t="shared" si="0"/>
        <v>4</v>
      </c>
      <c r="G9" s="1">
        <f t="shared" si="0"/>
        <v>5</v>
      </c>
      <c r="H9" s="1">
        <f t="shared" si="0"/>
        <v>6</v>
      </c>
      <c r="I9" s="1">
        <f t="shared" si="0"/>
        <v>7</v>
      </c>
      <c r="J9" s="1">
        <f t="shared" si="0"/>
        <v>8</v>
      </c>
      <c r="K9" s="1">
        <f t="shared" si="0"/>
        <v>9</v>
      </c>
      <c r="L9" s="1">
        <f t="shared" si="0"/>
        <v>10</v>
      </c>
      <c r="M9" s="1">
        <f t="shared" si="0"/>
        <v>11</v>
      </c>
      <c r="N9" s="1">
        <f t="shared" si="0"/>
        <v>12</v>
      </c>
      <c r="O9" s="1"/>
      <c r="P9" s="1"/>
      <c r="Q9" s="1"/>
      <c r="R9" s="1"/>
      <c r="S9" s="1"/>
    </row>
    <row r="10" spans="1:19" ht="16.5" thickBot="1">
      <c r="A10" s="1"/>
      <c r="B10" s="318">
        <v>2023</v>
      </c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20"/>
      <c r="P10" s="1"/>
      <c r="Q10" s="1"/>
      <c r="R10" s="1"/>
      <c r="S10" s="1"/>
    </row>
    <row r="11" spans="1:19">
      <c r="A11" s="1"/>
      <c r="B11" s="93"/>
      <c r="C11" s="101" t="s">
        <v>7</v>
      </c>
      <c r="D11" s="101" t="s">
        <v>8</v>
      </c>
      <c r="E11" s="101" t="s">
        <v>9</v>
      </c>
      <c r="F11" s="101" t="s">
        <v>10</v>
      </c>
      <c r="G11" s="101" t="s">
        <v>11</v>
      </c>
      <c r="H11" s="101" t="s">
        <v>12</v>
      </c>
      <c r="I11" s="101" t="s">
        <v>13</v>
      </c>
      <c r="J11" s="101" t="s">
        <v>14</v>
      </c>
      <c r="K11" s="101" t="s">
        <v>15</v>
      </c>
      <c r="L11" s="101" t="s">
        <v>16</v>
      </c>
      <c r="M11" s="101" t="s">
        <v>17</v>
      </c>
      <c r="N11" s="101" t="s">
        <v>18</v>
      </c>
      <c r="O11" s="100" t="s">
        <v>19</v>
      </c>
      <c r="P11" s="1"/>
      <c r="Q11" s="1"/>
      <c r="R11" s="1"/>
      <c r="S11" s="1"/>
    </row>
    <row r="12" spans="1:19">
      <c r="A12" s="1"/>
      <c r="B12" s="95" t="s">
        <v>20</v>
      </c>
      <c r="C12" s="14">
        <f>'Development Expenses'!$E$35+'Development Expenses'!E34</f>
        <v>721500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16">
        <f t="shared" ref="O12:O16" si="1">SUM(C12:N12)</f>
        <v>721500</v>
      </c>
      <c r="P12" s="1"/>
      <c r="Q12" s="1"/>
      <c r="R12" s="1"/>
      <c r="S12" s="1"/>
    </row>
    <row r="13" spans="1:19">
      <c r="A13" s="1"/>
      <c r="B13" s="95" t="s">
        <v>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>
        <f>'Revenue Production'!M18</f>
        <v>152003.0625</v>
      </c>
      <c r="N13" s="11">
        <f>'Revenue Production'!N18</f>
        <v>304006.125</v>
      </c>
      <c r="O13" s="94">
        <f t="shared" si="1"/>
        <v>456009.1875</v>
      </c>
      <c r="P13" s="1"/>
      <c r="Q13" s="1"/>
      <c r="R13" s="1"/>
      <c r="S13" s="1"/>
    </row>
    <row r="14" spans="1:19">
      <c r="A14" s="1"/>
      <c r="B14" s="95" t="s">
        <v>26</v>
      </c>
      <c r="C14" s="11">
        <f>'Non-Payroll OpEx '!D14</f>
        <v>0</v>
      </c>
      <c r="D14" s="11">
        <f>'Non-Payroll OpEx '!E14</f>
        <v>0</v>
      </c>
      <c r="E14" s="11">
        <f>'Non-Payroll OpEx '!F14</f>
        <v>0</v>
      </c>
      <c r="F14" s="11">
        <f>'Non-Payroll OpEx '!G14</f>
        <v>0</v>
      </c>
      <c r="G14" s="11">
        <f>'Non-Payroll OpEx '!H14</f>
        <v>0</v>
      </c>
      <c r="H14" s="11">
        <f>'Non-Payroll OpEx '!I14</f>
        <v>0</v>
      </c>
      <c r="I14" s="11">
        <f>'Non-Payroll OpEx '!J14</f>
        <v>0</v>
      </c>
      <c r="J14" s="11">
        <f>'Non-Payroll OpEx '!K14</f>
        <v>5000</v>
      </c>
      <c r="K14" s="11">
        <f>'Non-Payroll OpEx '!L14</f>
        <v>33000</v>
      </c>
      <c r="L14" s="11">
        <f>'Non-Payroll OpEx '!M14</f>
        <v>110000</v>
      </c>
      <c r="M14" s="11">
        <f>'Non-Payroll OpEx '!N14</f>
        <v>166666.67000000001</v>
      </c>
      <c r="N14" s="11">
        <f>'Non-Payroll OpEx '!O14</f>
        <v>166666.67000000001</v>
      </c>
      <c r="O14" s="94">
        <f t="shared" si="1"/>
        <v>481333.34000000008</v>
      </c>
      <c r="P14" s="18">
        <f t="shared" ref="P14:P15" si="2">O14/O$13</f>
        <v>1.0555343032425197</v>
      </c>
      <c r="Q14" s="1"/>
      <c r="R14" s="2"/>
      <c r="S14" s="1"/>
    </row>
    <row r="15" spans="1:19">
      <c r="A15" s="1"/>
      <c r="B15" s="91" t="s">
        <v>27</v>
      </c>
      <c r="C15" s="36">
        <f>'Non-Payroll OpEx '!D16-'Non-Payroll OpEx '!D14+'Staffing Profile'!D37</f>
        <v>0</v>
      </c>
      <c r="D15" s="36">
        <f>'Non-Payroll OpEx '!E16-'Non-Payroll OpEx '!E14+'Staffing Profile'!E37</f>
        <v>0</v>
      </c>
      <c r="E15" s="36">
        <f>'Non-Payroll OpEx '!F16-'Non-Payroll OpEx '!F14+'Staffing Profile'!F37</f>
        <v>0</v>
      </c>
      <c r="F15" s="36">
        <f>'Non-Payroll OpEx '!G16-'Non-Payroll OpEx '!G14+'Staffing Profile'!G37</f>
        <v>0</v>
      </c>
      <c r="G15" s="36">
        <f>'Non-Payroll OpEx '!H16-'Non-Payroll OpEx '!H14+'Staffing Profile'!H37</f>
        <v>0</v>
      </c>
      <c r="H15" s="36">
        <f>'Non-Payroll OpEx '!I16-'Non-Payroll OpEx '!I14+'Staffing Profile'!I37</f>
        <v>85709.295500000007</v>
      </c>
      <c r="I15" s="36">
        <f>'Non-Payroll OpEx '!J16-'Non-Payroll OpEx '!J14+'Staffing Profile'!J37</f>
        <v>85709.295500000007</v>
      </c>
      <c r="J15" s="36">
        <f>'Non-Payroll OpEx '!K16-'Non-Payroll OpEx '!K14+'Staffing Profile'!K37</f>
        <v>85709.295500000007</v>
      </c>
      <c r="K15" s="36">
        <f>'Non-Payroll OpEx '!L16-'Non-Payroll OpEx '!L14+'Staffing Profile'!L37</f>
        <v>85709.295500000007</v>
      </c>
      <c r="L15" s="36">
        <f>'Non-Payroll OpEx '!M16-'Non-Payroll OpEx '!M14+'Staffing Profile'!M37</f>
        <v>85709.295500000007</v>
      </c>
      <c r="M15" s="36">
        <f>'Non-Payroll OpEx '!N16-'Non-Payroll OpEx '!N14+'Staffing Profile'!N37</f>
        <v>85709.295500000007</v>
      </c>
      <c r="N15" s="36">
        <f>'Non-Payroll OpEx '!O16-'Non-Payroll OpEx '!O14+'Staffing Profile'!O37</f>
        <v>85709.295500000007</v>
      </c>
      <c r="O15" s="94">
        <f>SUM('Development Expenses'!E33:E34)</f>
        <v>3088511.5860000001</v>
      </c>
      <c r="P15" s="18">
        <f t="shared" si="2"/>
        <v>6.7729152628092608</v>
      </c>
      <c r="Q15" s="1"/>
      <c r="R15" s="23"/>
      <c r="S15" s="1"/>
    </row>
    <row r="16" spans="1:19">
      <c r="A16" s="1"/>
      <c r="B16" s="146" t="s">
        <v>28</v>
      </c>
      <c r="C16" s="115">
        <f>C13-SUM(C14:C15)</f>
        <v>0</v>
      </c>
      <c r="D16" s="115">
        <f t="shared" ref="D16:N16" si="3">D13-SUM(D14:D15)</f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-85709.295500000007</v>
      </c>
      <c r="I16" s="115">
        <f t="shared" si="3"/>
        <v>-85709.295500000007</v>
      </c>
      <c r="J16" s="115">
        <f t="shared" si="3"/>
        <v>-90709.295500000007</v>
      </c>
      <c r="K16" s="115">
        <f t="shared" si="3"/>
        <v>-118709.29550000001</v>
      </c>
      <c r="L16" s="115">
        <f t="shared" si="3"/>
        <v>-195709.29550000001</v>
      </c>
      <c r="M16" s="115">
        <f t="shared" si="3"/>
        <v>-100372.90300000002</v>
      </c>
      <c r="N16" s="115">
        <f t="shared" si="3"/>
        <v>51630.15949999998</v>
      </c>
      <c r="O16" s="117">
        <f t="shared" si="1"/>
        <v>-625289.22100000014</v>
      </c>
      <c r="P16" s="1"/>
      <c r="Q16" s="1"/>
      <c r="R16" s="1"/>
      <c r="S16" s="1"/>
    </row>
    <row r="17" spans="1:19" ht="15.75" thickBot="1">
      <c r="A17" s="1"/>
      <c r="B17" s="99" t="s">
        <v>182</v>
      </c>
      <c r="C17" s="96">
        <f>C7-C12</f>
        <v>1278500</v>
      </c>
      <c r="D17" s="96">
        <f>D16+C17+$C$8</f>
        <v>1278500</v>
      </c>
      <c r="E17" s="96">
        <f t="shared" ref="E17:N17" si="4">E16+D17+$C$8</f>
        <v>1278500</v>
      </c>
      <c r="F17" s="96">
        <f t="shared" si="4"/>
        <v>1278500</v>
      </c>
      <c r="G17" s="96">
        <f t="shared" si="4"/>
        <v>1278500</v>
      </c>
      <c r="H17" s="96">
        <f>H16+G17-H12</f>
        <v>1192790.7045</v>
      </c>
      <c r="I17" s="96">
        <f>I16+H17+$C$8-I12</f>
        <v>1107081.409</v>
      </c>
      <c r="J17" s="96">
        <f t="shared" si="4"/>
        <v>1016372.1135</v>
      </c>
      <c r="K17" s="96">
        <f t="shared" si="4"/>
        <v>897662.81799999997</v>
      </c>
      <c r="L17" s="96">
        <f t="shared" si="4"/>
        <v>701953.52249999996</v>
      </c>
      <c r="M17" s="96">
        <f t="shared" si="4"/>
        <v>601580.61949999991</v>
      </c>
      <c r="N17" s="96">
        <f t="shared" si="4"/>
        <v>653210.77899999986</v>
      </c>
      <c r="O17" s="97">
        <f>N17</f>
        <v>653210.77899999986</v>
      </c>
      <c r="P17" s="1"/>
      <c r="Q17" s="1"/>
      <c r="R17" s="1"/>
      <c r="S17" s="1"/>
    </row>
    <row r="18" spans="1:19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</row>
    <row r="19" spans="1:19" ht="15.75" thickBot="1">
      <c r="A19" s="1"/>
      <c r="B19" s="1"/>
      <c r="C19" s="1">
        <f>+N9+1</f>
        <v>13</v>
      </c>
      <c r="D19" s="1">
        <f t="shared" ref="D19:N19" si="5">+C19+1</f>
        <v>14</v>
      </c>
      <c r="E19" s="1">
        <f t="shared" si="5"/>
        <v>15</v>
      </c>
      <c r="F19" s="1">
        <f t="shared" si="5"/>
        <v>16</v>
      </c>
      <c r="G19" s="1">
        <f t="shared" si="5"/>
        <v>17</v>
      </c>
      <c r="H19" s="1">
        <f t="shared" si="5"/>
        <v>18</v>
      </c>
      <c r="I19" s="1">
        <f t="shared" si="5"/>
        <v>19</v>
      </c>
      <c r="J19" s="1">
        <f t="shared" si="5"/>
        <v>20</v>
      </c>
      <c r="K19" s="1">
        <f t="shared" si="5"/>
        <v>21</v>
      </c>
      <c r="L19" s="1">
        <f t="shared" si="5"/>
        <v>22</v>
      </c>
      <c r="M19" s="1">
        <f t="shared" si="5"/>
        <v>23</v>
      </c>
      <c r="N19" s="1">
        <f t="shared" si="5"/>
        <v>24</v>
      </c>
      <c r="O19" s="1"/>
      <c r="P19" s="1"/>
      <c r="Q19" s="1"/>
      <c r="R19" s="1"/>
      <c r="S19" s="1"/>
    </row>
    <row r="20" spans="1:19" ht="16.5" thickBot="1">
      <c r="A20" s="1"/>
      <c r="B20" s="318">
        <v>2024</v>
      </c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20"/>
      <c r="P20" s="1"/>
      <c r="Q20" s="1"/>
      <c r="R20" s="1"/>
      <c r="S20" s="1"/>
    </row>
    <row r="21" spans="1:19" ht="15.75" customHeight="1">
      <c r="A21" s="1"/>
      <c r="B21" s="93"/>
      <c r="C21" s="101" t="s">
        <v>7</v>
      </c>
      <c r="D21" s="101" t="s">
        <v>8</v>
      </c>
      <c r="E21" s="101" t="s">
        <v>9</v>
      </c>
      <c r="F21" s="101" t="s">
        <v>10</v>
      </c>
      <c r="G21" s="101" t="s">
        <v>11</v>
      </c>
      <c r="H21" s="101" t="s">
        <v>12</v>
      </c>
      <c r="I21" s="101" t="s">
        <v>13</v>
      </c>
      <c r="J21" s="101" t="s">
        <v>14</v>
      </c>
      <c r="K21" s="101" t="s">
        <v>15</v>
      </c>
      <c r="L21" s="101" t="s">
        <v>16</v>
      </c>
      <c r="M21" s="101" t="s">
        <v>17</v>
      </c>
      <c r="N21" s="101" t="s">
        <v>18</v>
      </c>
      <c r="O21" s="100" t="s">
        <v>19</v>
      </c>
      <c r="P21" s="1"/>
      <c r="Q21" s="1"/>
      <c r="R21" s="1"/>
      <c r="S21" s="1"/>
    </row>
    <row r="22" spans="1:19">
      <c r="A22" s="1"/>
      <c r="B22" s="95" t="s">
        <v>20</v>
      </c>
      <c r="C22" s="14"/>
      <c r="D22" s="14"/>
      <c r="E22" s="14"/>
      <c r="F22" s="14"/>
      <c r="G22" s="14"/>
      <c r="H22" s="14">
        <f>'Development Expenses'!$F$35+'Development Expenses'!F34</f>
        <v>474500</v>
      </c>
      <c r="I22" s="14"/>
      <c r="J22" s="14"/>
      <c r="K22" s="14"/>
      <c r="L22" s="14"/>
      <c r="M22" s="14"/>
      <c r="N22" s="14"/>
      <c r="O22" s="116">
        <f t="shared" ref="O22:O24" si="6">SUM(C22:N22)</f>
        <v>474500</v>
      </c>
      <c r="P22" s="1"/>
      <c r="Q22" s="1"/>
      <c r="R22" s="1"/>
      <c r="S22" s="1"/>
    </row>
    <row r="23" spans="1:19">
      <c r="A23" s="1"/>
      <c r="B23" s="95" t="s">
        <v>6</v>
      </c>
      <c r="C23" s="11">
        <f>'Revenue Production'!C32</f>
        <v>701382.25</v>
      </c>
      <c r="D23" s="11">
        <f>'Revenue Production'!D32</f>
        <v>1402764.5</v>
      </c>
      <c r="E23" s="11">
        <f>'Revenue Production'!E32</f>
        <v>2104146.75</v>
      </c>
      <c r="F23" s="11">
        <f>'Revenue Production'!F32</f>
        <v>2805529</v>
      </c>
      <c r="G23" s="11">
        <f>'Revenue Production'!G32</f>
        <v>3506911.25</v>
      </c>
      <c r="H23" s="11">
        <f>'Revenue Production'!H32</f>
        <v>4228293.5</v>
      </c>
      <c r="I23" s="11">
        <f>'Revenue Production'!I32</f>
        <v>4695881.666666666</v>
      </c>
      <c r="J23" s="11">
        <f>'Revenue Production'!J32</f>
        <v>4695881.666666666</v>
      </c>
      <c r="K23" s="11">
        <f>'Revenue Production'!K32</f>
        <v>4695881.666666666</v>
      </c>
      <c r="L23" s="11">
        <f>'Revenue Production'!L32</f>
        <v>4695881.666666666</v>
      </c>
      <c r="M23" s="11">
        <f>'Revenue Production'!M32</f>
        <v>4695881.666666666</v>
      </c>
      <c r="N23" s="11">
        <f>'Revenue Production'!N32</f>
        <v>4695881.666666666</v>
      </c>
      <c r="O23" s="94">
        <f>SUM(C23:N23)</f>
        <v>42924317.249999985</v>
      </c>
      <c r="P23" s="1"/>
      <c r="Q23" s="1"/>
      <c r="R23" s="1"/>
      <c r="S23" s="1"/>
    </row>
    <row r="24" spans="1:19">
      <c r="A24" s="1"/>
      <c r="B24" s="95" t="s">
        <v>26</v>
      </c>
      <c r="C24" s="150">
        <f>'Non-Payroll OpEx '!D30</f>
        <v>250000</v>
      </c>
      <c r="D24" s="150">
        <f>'Non-Payroll OpEx '!E30</f>
        <v>250000</v>
      </c>
      <c r="E24" s="150">
        <f>'Non-Payroll OpEx '!F30</f>
        <v>250000</v>
      </c>
      <c r="F24" s="150">
        <f>'Non-Payroll OpEx '!G30</f>
        <v>500000</v>
      </c>
      <c r="G24" s="150">
        <f>'Non-Payroll OpEx '!H30</f>
        <v>500000</v>
      </c>
      <c r="H24" s="150">
        <f>'Non-Payroll OpEx '!I30</f>
        <v>500000</v>
      </c>
      <c r="I24" s="150">
        <f>'Non-Payroll OpEx '!J30</f>
        <v>750000</v>
      </c>
      <c r="J24" s="150">
        <f>'Non-Payroll OpEx '!K30</f>
        <v>750000</v>
      </c>
      <c r="K24" s="150">
        <f>'Non-Payroll OpEx '!L30</f>
        <v>750000</v>
      </c>
      <c r="L24" s="150">
        <f>'Non-Payroll OpEx '!M30</f>
        <v>1000000</v>
      </c>
      <c r="M24" s="150">
        <f>'Non-Payroll OpEx '!N30</f>
        <v>1000000</v>
      </c>
      <c r="N24" s="150">
        <f>'Non-Payroll OpEx '!O30</f>
        <v>1000000</v>
      </c>
      <c r="O24" s="94">
        <f t="shared" si="6"/>
        <v>7500000</v>
      </c>
      <c r="P24" s="18">
        <f t="shared" ref="P24:P25" si="7">O24/O$13</f>
        <v>16.447037045717419</v>
      </c>
      <c r="Q24" s="1"/>
      <c r="R24" s="2"/>
      <c r="S24" s="1"/>
    </row>
    <row r="25" spans="1:19">
      <c r="A25" s="1"/>
      <c r="B25" s="91" t="s">
        <v>27</v>
      </c>
      <c r="C25" s="150">
        <f>'Non-Payroll OpEx '!D32-'Non-Payroll OpEx '!D30+'Staffing Profile'!D69</f>
        <v>115875.95250000001</v>
      </c>
      <c r="D25" s="150">
        <f>'Non-Payroll OpEx '!E32-'Non-Payroll OpEx '!E30+'Staffing Profile'!E69</f>
        <v>115875.95250000001</v>
      </c>
      <c r="E25" s="150">
        <f>'Non-Payroll OpEx '!F32-'Non-Payroll OpEx '!F30+'Staffing Profile'!F69</f>
        <v>115875.95250000001</v>
      </c>
      <c r="F25" s="150">
        <f>'Non-Payroll OpEx '!G32-'Non-Payroll OpEx '!G30+'Staffing Profile'!G69</f>
        <v>115875.95250000001</v>
      </c>
      <c r="G25" s="150">
        <f>'Non-Payroll OpEx '!H32-'Non-Payroll OpEx '!H30+'Staffing Profile'!H69</f>
        <v>115875.95250000001</v>
      </c>
      <c r="H25" s="150">
        <f>'Non-Payroll OpEx '!I32-'Non-Payroll OpEx '!I30+'Staffing Profile'!I69</f>
        <v>115875.95250000001</v>
      </c>
      <c r="I25" s="150">
        <f>'Non-Payroll OpEx '!J32-'Non-Payroll OpEx '!J30+'Staffing Profile'!J69</f>
        <v>143479.16250000001</v>
      </c>
      <c r="J25" s="150">
        <f>'Non-Payroll OpEx '!K32-'Non-Payroll OpEx '!K30+'Staffing Profile'!K69</f>
        <v>143479.16250000001</v>
      </c>
      <c r="K25" s="150">
        <f>'Non-Payroll OpEx '!L32-'Non-Payroll OpEx '!L30+'Staffing Profile'!L69</f>
        <v>143479.16250000001</v>
      </c>
      <c r="L25" s="150">
        <f>'Non-Payroll OpEx '!M32-'Non-Payroll OpEx '!M30+'Staffing Profile'!M69</f>
        <v>143479.16250000001</v>
      </c>
      <c r="M25" s="150">
        <f>'Non-Payroll OpEx '!N32-'Non-Payroll OpEx '!N30+'Staffing Profile'!N69</f>
        <v>143479.16250000001</v>
      </c>
      <c r="N25" s="150">
        <f>'Non-Payroll OpEx '!O32-'Non-Payroll OpEx '!O30+'Staffing Profile'!O69</f>
        <v>143479.16250000001</v>
      </c>
      <c r="O25" s="94">
        <f>SUM(C25:N25)</f>
        <v>1556130.6900000004</v>
      </c>
      <c r="P25" s="18">
        <f t="shared" si="7"/>
        <v>3.4124985475210416</v>
      </c>
      <c r="Q25" s="1"/>
      <c r="R25" s="23"/>
      <c r="S25" s="1"/>
    </row>
    <row r="26" spans="1:19">
      <c r="A26" s="1"/>
      <c r="B26" s="146" t="s">
        <v>28</v>
      </c>
      <c r="C26" s="115">
        <f>C23+O17-SUM(C24:C25)</f>
        <v>988717.07649999985</v>
      </c>
      <c r="D26" s="115">
        <f>D23-SUM(D24:D25)</f>
        <v>1036888.5475</v>
      </c>
      <c r="E26" s="115">
        <f t="shared" ref="E26:N26" si="8">E23-SUM(E24:E25)</f>
        <v>1738270.7974999999</v>
      </c>
      <c r="F26" s="115">
        <f t="shared" si="8"/>
        <v>2189653.0474999999</v>
      </c>
      <c r="G26" s="115">
        <f t="shared" si="8"/>
        <v>2891035.2974999999</v>
      </c>
      <c r="H26" s="115">
        <f t="shared" si="8"/>
        <v>3612417.5474999999</v>
      </c>
      <c r="I26" s="115">
        <f t="shared" si="8"/>
        <v>3802402.504166666</v>
      </c>
      <c r="J26" s="115">
        <f t="shared" si="8"/>
        <v>3802402.504166666</v>
      </c>
      <c r="K26" s="115">
        <f>K23-SUM(K24:K25)</f>
        <v>3802402.504166666</v>
      </c>
      <c r="L26" s="115">
        <f>L23-SUM(L24:L25)</f>
        <v>3552402.504166666</v>
      </c>
      <c r="M26" s="115">
        <f t="shared" si="8"/>
        <v>3552402.504166666</v>
      </c>
      <c r="N26" s="115">
        <f t="shared" si="8"/>
        <v>3552402.504166666</v>
      </c>
      <c r="O26" s="117">
        <f>SUM(C26:N26)</f>
        <v>34521397.338999994</v>
      </c>
      <c r="P26" s="1"/>
      <c r="Q26" s="1"/>
      <c r="R26" s="1"/>
      <c r="S26" s="1"/>
    </row>
    <row r="27" spans="1:19" ht="15.75" thickBot="1">
      <c r="A27" s="1"/>
      <c r="B27" s="99" t="s">
        <v>182</v>
      </c>
      <c r="C27" s="96">
        <f>C26</f>
        <v>988717.07649999985</v>
      </c>
      <c r="D27" s="96">
        <f>C27+D26-D22</f>
        <v>2025605.6239999998</v>
      </c>
      <c r="E27" s="96">
        <f t="shared" ref="E27:N27" si="9">D27+E26-E22</f>
        <v>3763876.4214999997</v>
      </c>
      <c r="F27" s="96">
        <f t="shared" si="9"/>
        <v>5953529.4689999996</v>
      </c>
      <c r="G27" s="96">
        <f t="shared" si="9"/>
        <v>8844564.7664999999</v>
      </c>
      <c r="H27" s="96">
        <f t="shared" si="9"/>
        <v>11982482.313999999</v>
      </c>
      <c r="I27" s="96">
        <f t="shared" si="9"/>
        <v>15784884.818166666</v>
      </c>
      <c r="J27" s="96">
        <f t="shared" si="9"/>
        <v>19587287.322333332</v>
      </c>
      <c r="K27" s="96">
        <f t="shared" si="9"/>
        <v>23389689.826499999</v>
      </c>
      <c r="L27" s="96">
        <f t="shared" si="9"/>
        <v>26942092.330666665</v>
      </c>
      <c r="M27" s="96">
        <f t="shared" si="9"/>
        <v>30494494.834833331</v>
      </c>
      <c r="N27" s="96">
        <f t="shared" si="9"/>
        <v>34046897.338999994</v>
      </c>
      <c r="O27" s="97">
        <f>N27</f>
        <v>34046897.338999994</v>
      </c>
      <c r="P27" s="1"/>
      <c r="Q27" s="1"/>
      <c r="R27" s="1"/>
      <c r="S27" s="1"/>
    </row>
    <row r="28" spans="1:19">
      <c r="A28" s="1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2"/>
      <c r="P28" s="1"/>
      <c r="Q28" s="1"/>
      <c r="R28" s="1"/>
      <c r="S28" s="1"/>
    </row>
    <row r="29" spans="1:19" ht="15.75" thickBot="1">
      <c r="A29" s="1"/>
      <c r="B29" s="1"/>
      <c r="C29" s="1">
        <f>+N19+1</f>
        <v>25</v>
      </c>
      <c r="D29" s="1">
        <f t="shared" ref="D29" si="10">+C29+1</f>
        <v>26</v>
      </c>
      <c r="E29" s="1">
        <f t="shared" ref="E29" si="11">+D29+1</f>
        <v>27</v>
      </c>
      <c r="F29" s="1">
        <f t="shared" ref="F29" si="12">+E29+1</f>
        <v>28</v>
      </c>
      <c r="G29" s="1">
        <f t="shared" ref="G29" si="13">+F29+1</f>
        <v>29</v>
      </c>
      <c r="H29" s="1">
        <f t="shared" ref="H29" si="14">+G29+1</f>
        <v>30</v>
      </c>
      <c r="I29" s="1">
        <f t="shared" ref="I29" si="15">+H29+1</f>
        <v>31</v>
      </c>
      <c r="J29" s="1">
        <f t="shared" ref="J29" si="16">+I29+1</f>
        <v>32</v>
      </c>
      <c r="K29" s="1">
        <f t="shared" ref="K29" si="17">+J29+1</f>
        <v>33</v>
      </c>
      <c r="L29" s="1">
        <f t="shared" ref="L29" si="18">+K29+1</f>
        <v>34</v>
      </c>
      <c r="M29" s="1">
        <f t="shared" ref="M29" si="19">+L29+1</f>
        <v>35</v>
      </c>
      <c r="N29" s="1">
        <f t="shared" ref="N29" si="20">+M29+1</f>
        <v>36</v>
      </c>
      <c r="O29" s="1"/>
      <c r="P29" s="1"/>
      <c r="Q29" s="1"/>
      <c r="R29" s="1"/>
      <c r="S29" s="1"/>
    </row>
    <row r="30" spans="1:19" ht="16.5" thickBot="1">
      <c r="A30" s="1"/>
      <c r="B30" s="321">
        <v>2025</v>
      </c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3"/>
      <c r="P30" s="1"/>
      <c r="Q30" s="1"/>
      <c r="R30" s="1"/>
      <c r="S30" s="1"/>
    </row>
    <row r="31" spans="1:19">
      <c r="A31" s="1"/>
      <c r="B31" s="8"/>
      <c r="C31" s="10" t="s">
        <v>7</v>
      </c>
      <c r="D31" s="10" t="s">
        <v>8</v>
      </c>
      <c r="E31" s="10" t="s">
        <v>9</v>
      </c>
      <c r="F31" s="10" t="s">
        <v>10</v>
      </c>
      <c r="G31" s="10" t="s">
        <v>11</v>
      </c>
      <c r="H31" s="10" t="s">
        <v>12</v>
      </c>
      <c r="I31" s="10" t="s">
        <v>13</v>
      </c>
      <c r="J31" s="10" t="s">
        <v>14</v>
      </c>
      <c r="K31" s="10" t="s">
        <v>15</v>
      </c>
      <c r="L31" s="10" t="s">
        <v>16</v>
      </c>
      <c r="M31" s="10" t="s">
        <v>17</v>
      </c>
      <c r="N31" s="10" t="s">
        <v>18</v>
      </c>
      <c r="O31" s="12" t="s">
        <v>19</v>
      </c>
      <c r="P31" s="1"/>
      <c r="Q31" s="1"/>
      <c r="R31" s="1"/>
      <c r="S31" s="1"/>
    </row>
    <row r="32" spans="1:19">
      <c r="A32" s="1"/>
      <c r="B32" s="95" t="s">
        <v>20</v>
      </c>
      <c r="D32" s="14"/>
      <c r="E32" s="14"/>
      <c r="F32" s="14"/>
      <c r="G32" s="14"/>
      <c r="H32" s="14">
        <f>'Development Expenses'!G34+'Development Expenses'!G35</f>
        <v>1424500</v>
      </c>
      <c r="I32" s="14"/>
      <c r="J32" s="14"/>
      <c r="K32" s="14"/>
      <c r="L32" s="14"/>
      <c r="M32" s="14"/>
      <c r="N32" s="14"/>
      <c r="O32" s="116">
        <f>SUM(D32:N32)</f>
        <v>1424500</v>
      </c>
      <c r="P32" s="1"/>
      <c r="Q32" s="1"/>
      <c r="R32" s="1"/>
      <c r="S32" s="1"/>
    </row>
    <row r="33" spans="1:19">
      <c r="A33" s="1"/>
      <c r="B33" s="95" t="s">
        <v>6</v>
      </c>
      <c r="C33" s="11">
        <f>'Revenue Production'!C48</f>
        <v>3511411.25</v>
      </c>
      <c r="D33" s="11">
        <f>'Revenue Production'!D48</f>
        <v>47441822.5</v>
      </c>
      <c r="E33" s="11">
        <f>'Revenue Production'!E48</f>
        <v>10534233.75</v>
      </c>
      <c r="F33" s="11">
        <f>'Revenue Production'!F48</f>
        <v>14045645</v>
      </c>
      <c r="G33" s="11">
        <f>'Revenue Production'!G48</f>
        <v>17557056.25</v>
      </c>
      <c r="H33" s="11">
        <f>'Revenue Production'!H48</f>
        <v>21068467.5</v>
      </c>
      <c r="I33" s="11">
        <f>'Revenue Production'!I48</f>
        <v>23409408.333333332</v>
      </c>
      <c r="J33" s="11">
        <f>'Revenue Production'!J48</f>
        <v>23409408.333333332</v>
      </c>
      <c r="K33" s="11">
        <f>'Revenue Production'!K48</f>
        <v>23409408.333333332</v>
      </c>
      <c r="L33" s="11">
        <f>'Revenue Production'!L48</f>
        <v>23409408.333333332</v>
      </c>
      <c r="M33" s="11">
        <f>'Revenue Production'!M48</f>
        <v>23409408.333333332</v>
      </c>
      <c r="N33" s="11">
        <f>'Revenue Production'!N48</f>
        <v>23409408.333333332</v>
      </c>
      <c r="O33" s="94">
        <f>SUM(C33:N33)</f>
        <v>254615086.25000006</v>
      </c>
      <c r="P33" s="1"/>
      <c r="Q33" s="1"/>
      <c r="R33" s="1"/>
      <c r="S33" s="1"/>
    </row>
    <row r="34" spans="1:19">
      <c r="A34" s="1"/>
      <c r="B34" s="95" t="s">
        <v>26</v>
      </c>
      <c r="C34" s="150">
        <f>'Non-Payroll OpEx '!D46</f>
        <v>1000000</v>
      </c>
      <c r="D34" s="150">
        <f>'Non-Payroll OpEx '!E46</f>
        <v>1000000</v>
      </c>
      <c r="E34" s="150">
        <f>'Non-Payroll OpEx '!F46</f>
        <v>1000000</v>
      </c>
      <c r="F34" s="150">
        <f>'Non-Payroll OpEx '!G46</f>
        <v>2000000</v>
      </c>
      <c r="G34" s="150">
        <f>'Non-Payroll OpEx '!H46</f>
        <v>2000000</v>
      </c>
      <c r="H34" s="150">
        <f>'Non-Payroll OpEx '!I46</f>
        <v>2000000</v>
      </c>
      <c r="I34" s="150">
        <f>'Non-Payroll OpEx '!J46</f>
        <v>3000000</v>
      </c>
      <c r="J34" s="150">
        <f>'Non-Payroll OpEx '!K46</f>
        <v>3000000</v>
      </c>
      <c r="K34" s="150">
        <f>'Non-Payroll OpEx '!L46</f>
        <v>4000000</v>
      </c>
      <c r="L34" s="150">
        <f>'Non-Payroll OpEx '!M46</f>
        <v>4000000</v>
      </c>
      <c r="M34" s="150">
        <f>'Non-Payroll OpEx '!N46</f>
        <v>5000000</v>
      </c>
      <c r="N34" s="150">
        <f>'Non-Payroll OpEx '!O46</f>
        <v>5000000</v>
      </c>
      <c r="O34" s="94">
        <f>SUM(C34:N34)</f>
        <v>33000000</v>
      </c>
      <c r="P34" s="18">
        <f t="shared" ref="P34:P35" si="21">O34/O$13</f>
        <v>72.366963001156634</v>
      </c>
      <c r="Q34" s="1"/>
      <c r="R34" s="2"/>
      <c r="S34" s="1"/>
    </row>
    <row r="35" spans="1:19">
      <c r="A35" s="1"/>
      <c r="B35" s="91" t="s">
        <v>27</v>
      </c>
      <c r="C35" s="36">
        <f>'Non-Payroll OpEx '!D48-'Non-Payroll OpEx '!D46+'Staffing Profile'!D100</f>
        <v>170144.87699999998</v>
      </c>
      <c r="D35" s="36">
        <f>'Non-Payroll OpEx '!E48-'Non-Payroll OpEx '!E46+'Staffing Profile'!E100</f>
        <v>170144.87699999998</v>
      </c>
      <c r="E35" s="36">
        <f>'Non-Payroll OpEx '!F48-'Non-Payroll OpEx '!F46+'Staffing Profile'!F100</f>
        <v>170144.87699999998</v>
      </c>
      <c r="F35" s="36">
        <f>'Non-Payroll OpEx '!G48-'Non-Payroll OpEx '!G46+'Staffing Profile'!G100</f>
        <v>170144.87699999998</v>
      </c>
      <c r="G35" s="36">
        <f>'Non-Payroll OpEx '!H48-'Non-Payroll OpEx '!H46+'Staffing Profile'!H100</f>
        <v>170144.87699999998</v>
      </c>
      <c r="H35" s="36">
        <f>'Non-Payroll OpEx '!I48-'Non-Payroll OpEx '!I46+'Staffing Profile'!I100</f>
        <v>170144.87699999998</v>
      </c>
      <c r="I35" s="36">
        <f>'Non-Payroll OpEx '!J48-'Non-Payroll OpEx '!J46+'Staffing Profile'!J100</f>
        <v>209228.21549999999</v>
      </c>
      <c r="J35" s="36">
        <f>'Non-Payroll OpEx '!K48-'Non-Payroll OpEx '!K46+'Staffing Profile'!K100</f>
        <v>209228.21549999999</v>
      </c>
      <c r="K35" s="36">
        <f>'Non-Payroll OpEx '!L48-'Non-Payroll OpEx '!L46+'Staffing Profile'!L100</f>
        <v>209228.21549999999</v>
      </c>
      <c r="L35" s="36">
        <f>'Non-Payroll OpEx '!M48-'Non-Payroll OpEx '!M46+'Staffing Profile'!M100</f>
        <v>209228.21549999999</v>
      </c>
      <c r="M35" s="36">
        <f>'Non-Payroll OpEx '!N48-'Non-Payroll OpEx '!N46+'Staffing Profile'!N100</f>
        <v>209228.21549999999</v>
      </c>
      <c r="N35" s="36">
        <f>'Non-Payroll OpEx '!O48-'Non-Payroll OpEx '!O46+'Staffing Profile'!O100</f>
        <v>209228.21549999999</v>
      </c>
      <c r="O35" s="94">
        <f>SUM(C35:N35)</f>
        <v>2276238.5549999997</v>
      </c>
      <c r="P35" s="18">
        <f t="shared" si="21"/>
        <v>4.991650645196704</v>
      </c>
      <c r="Q35" s="1"/>
      <c r="R35" s="23"/>
      <c r="S35" s="1"/>
    </row>
    <row r="36" spans="1:19">
      <c r="A36" s="1"/>
      <c r="B36" s="146" t="s">
        <v>28</v>
      </c>
      <c r="C36" s="115">
        <f>C33-SUM(C34:C35)</f>
        <v>2341266.3730000001</v>
      </c>
      <c r="D36" s="115">
        <f>D33-SUM(D34:D35)</f>
        <v>46271677.623000003</v>
      </c>
      <c r="E36" s="115">
        <f t="shared" ref="E36:N36" si="22">E33-SUM(E34:E35)</f>
        <v>9364088.8729999997</v>
      </c>
      <c r="F36" s="115">
        <f t="shared" si="22"/>
        <v>11875500.123</v>
      </c>
      <c r="G36" s="115">
        <f t="shared" si="22"/>
        <v>15386911.373</v>
      </c>
      <c r="H36" s="115">
        <f t="shared" si="22"/>
        <v>18898322.623</v>
      </c>
      <c r="I36" s="115">
        <f t="shared" si="22"/>
        <v>20200180.117833331</v>
      </c>
      <c r="J36" s="115">
        <f t="shared" si="22"/>
        <v>20200180.117833331</v>
      </c>
      <c r="K36" s="115">
        <f t="shared" si="22"/>
        <v>19200180.117833331</v>
      </c>
      <c r="L36" s="115">
        <f t="shared" si="22"/>
        <v>19200180.117833331</v>
      </c>
      <c r="M36" s="115">
        <f t="shared" si="22"/>
        <v>18200180.117833331</v>
      </c>
      <c r="N36" s="115">
        <f t="shared" si="22"/>
        <v>18200180.117833331</v>
      </c>
      <c r="O36" s="117">
        <f t="shared" ref="O36" si="23">SUM(C36:N36)</f>
        <v>219338847.69499993</v>
      </c>
      <c r="P36" s="1"/>
      <c r="Q36" s="1"/>
      <c r="R36" s="1"/>
      <c r="S36" s="1"/>
    </row>
    <row r="37" spans="1:19" ht="15.75" thickBot="1">
      <c r="A37" s="1"/>
      <c r="B37" s="99" t="s">
        <v>182</v>
      </c>
      <c r="C37" s="96">
        <f>C36</f>
        <v>2341266.3730000001</v>
      </c>
      <c r="D37" s="96">
        <f>D36+C37-D32</f>
        <v>48612943.996000007</v>
      </c>
      <c r="E37" s="96">
        <f t="shared" ref="E37:N37" si="24">E36+D37-E32</f>
        <v>57977032.869000003</v>
      </c>
      <c r="F37" s="96">
        <f t="shared" si="24"/>
        <v>69852532.991999999</v>
      </c>
      <c r="G37" s="96">
        <f t="shared" si="24"/>
        <v>85239444.364999995</v>
      </c>
      <c r="H37" s="96">
        <f t="shared" si="24"/>
        <v>102713266.98799999</v>
      </c>
      <c r="I37" s="96">
        <f t="shared" si="24"/>
        <v>122913447.10583332</v>
      </c>
      <c r="J37" s="96">
        <f t="shared" si="24"/>
        <v>143113627.22366667</v>
      </c>
      <c r="K37" s="96">
        <f t="shared" si="24"/>
        <v>162313807.34149998</v>
      </c>
      <c r="L37" s="96">
        <f t="shared" si="24"/>
        <v>181513987.4593333</v>
      </c>
      <c r="M37" s="96">
        <f t="shared" si="24"/>
        <v>199714167.57716662</v>
      </c>
      <c r="N37" s="96">
        <f t="shared" si="24"/>
        <v>217914347.69499993</v>
      </c>
      <c r="O37" s="97">
        <f>N37</f>
        <v>217914347.69499993</v>
      </c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>
      <c r="A40" s="1"/>
      <c r="B40" s="315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7"/>
      <c r="P40" s="1"/>
      <c r="Q40" s="1"/>
      <c r="R40" s="1"/>
      <c r="S40" s="1"/>
    </row>
    <row r="41" spans="1:19">
      <c r="A41" s="1"/>
      <c r="B41" s="1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1"/>
      <c r="Q41" s="1"/>
      <c r="R41" s="1"/>
      <c r="S41" s="1"/>
    </row>
    <row r="42" spans="1:19">
      <c r="A42" s="1"/>
      <c r="B42" s="1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1"/>
      <c r="P42" s="1"/>
      <c r="Q42" s="1"/>
      <c r="R42" s="1"/>
      <c r="S42" s="1"/>
    </row>
    <row r="43" spans="1:19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  <c r="Q43" s="1"/>
      <c r="R43" s="1"/>
      <c r="S43" s="1"/>
    </row>
    <row r="44" spans="1:19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  <c r="Q44" s="1"/>
      <c r="R44" s="1"/>
      <c r="S44" s="1"/>
    </row>
    <row r="45" spans="1:19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  <c r="Q45" s="1"/>
      <c r="R45" s="1"/>
      <c r="S45" s="1"/>
    </row>
    <row r="46" spans="1:19">
      <c r="A46" s="1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1"/>
      <c r="Q46" s="1"/>
      <c r="R46" s="1"/>
      <c r="S46" s="1"/>
    </row>
    <row r="47" spans="1:19">
      <c r="A47" s="1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1"/>
      <c r="Q47" s="1"/>
      <c r="R47" s="1"/>
      <c r="S47" s="1"/>
    </row>
    <row r="48" spans="1:19">
      <c r="A48" s="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18" t="e">
        <f>#REF!/#REF!</f>
        <v>#REF!</v>
      </c>
      <c r="Q48" s="1"/>
      <c r="R48" s="1"/>
      <c r="S48" s="1"/>
    </row>
    <row r="49" spans="1:19">
      <c r="A49" s="1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18" t="e">
        <f>#REF!/#REF!</f>
        <v>#REF!</v>
      </c>
      <c r="Q49" s="1"/>
      <c r="R49" s="1"/>
      <c r="S49" s="1"/>
    </row>
    <row r="50" spans="1:19">
      <c r="A50" s="1"/>
      <c r="B50" s="4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18" t="e">
        <f>#REF!/#REF!</f>
        <v>#REF!</v>
      </c>
      <c r="Q50" s="1"/>
      <c r="R50" s="1"/>
      <c r="S50" s="1"/>
    </row>
    <row r="51" spans="1:19">
      <c r="A51" s="1"/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P51" s="18" t="e">
        <f>#REF!/#REF!</f>
        <v>#REF!</v>
      </c>
      <c r="Q51" s="1"/>
      <c r="R51" s="1"/>
      <c r="S51" s="1"/>
    </row>
    <row r="52" spans="1:19">
      <c r="A52" s="1"/>
      <c r="P52" s="18" t="e">
        <f>#REF!/#REF!</f>
        <v>#REF!</v>
      </c>
      <c r="Q52" s="1"/>
      <c r="R52" s="1"/>
      <c r="S52" s="1"/>
    </row>
    <row r="53" spans="1:19">
      <c r="A53" s="1"/>
      <c r="P53" s="18" t="e">
        <f>#REF!/#REF!</f>
        <v>#REF!</v>
      </c>
      <c r="Q53" s="1"/>
      <c r="R53" s="1"/>
      <c r="S53" s="1"/>
    </row>
    <row r="54" spans="1:19">
      <c r="A54" s="1"/>
      <c r="P54" s="1"/>
      <c r="Q54" s="1"/>
      <c r="R54" s="1"/>
      <c r="S54" s="1"/>
    </row>
    <row r="55" spans="1:19">
      <c r="A55" s="1"/>
      <c r="P55" s="1"/>
      <c r="Q55" s="1"/>
      <c r="R55" s="1"/>
      <c r="S55" s="1"/>
    </row>
    <row r="56" spans="1:19" ht="18" customHeight="1">
      <c r="A56" s="1"/>
      <c r="P56" s="1"/>
      <c r="Q56" s="1"/>
      <c r="R56" s="1"/>
      <c r="S56" s="1"/>
    </row>
    <row r="57" spans="1:19">
      <c r="A57" s="1"/>
      <c r="P57" s="1"/>
      <c r="Q57" s="1"/>
      <c r="R57" s="1"/>
      <c r="S57" s="1"/>
    </row>
    <row r="58" spans="1:19">
      <c r="A58" s="1"/>
      <c r="P58" s="1"/>
      <c r="Q58" s="1"/>
      <c r="R58" s="1"/>
      <c r="S58" s="1"/>
    </row>
    <row r="59" spans="1:19" hidden="1">
      <c r="A59" s="1" t="s">
        <v>29</v>
      </c>
      <c r="P59" s="1"/>
      <c r="Q59" s="1"/>
      <c r="R59" s="1"/>
      <c r="S59" s="1"/>
    </row>
    <row r="60" spans="1:19">
      <c r="A60" s="1"/>
      <c r="P60" s="1"/>
      <c r="Q60" s="1"/>
      <c r="R60" s="1"/>
      <c r="S60" s="1"/>
    </row>
    <row r="61" spans="1:19">
      <c r="A61" s="1"/>
      <c r="P61" s="1"/>
      <c r="Q61" s="1"/>
      <c r="R61" s="1"/>
      <c r="S61" s="1"/>
    </row>
    <row r="62" spans="1:19">
      <c r="A62" s="1"/>
      <c r="P62" s="1"/>
      <c r="Q62" s="1"/>
      <c r="R62" s="1"/>
      <c r="S62" s="1"/>
    </row>
    <row r="63" spans="1:19">
      <c r="A63" s="1"/>
      <c r="P63" s="1"/>
      <c r="Q63" s="1"/>
      <c r="R63" s="1"/>
      <c r="S63" s="1"/>
    </row>
    <row r="64" spans="1:19">
      <c r="A64" s="1"/>
      <c r="P64" s="1"/>
      <c r="Q64" s="1"/>
      <c r="R64" s="1"/>
      <c r="S64" s="1"/>
    </row>
    <row r="65" spans="1:19">
      <c r="A65" s="1"/>
      <c r="P65" s="1"/>
      <c r="Q65" s="1"/>
      <c r="R65" s="1"/>
      <c r="S65" s="1"/>
    </row>
    <row r="66" spans="1:19">
      <c r="A66" s="1"/>
      <c r="P66" s="1"/>
      <c r="Q66" s="1"/>
      <c r="R66" s="1"/>
      <c r="S66" s="1"/>
    </row>
    <row r="67" spans="1:19">
      <c r="A67" s="1"/>
      <c r="P67" s="1"/>
      <c r="Q67" s="1"/>
      <c r="R67" s="1"/>
      <c r="S67" s="1"/>
    </row>
    <row r="68" spans="1:19">
      <c r="A68" s="1"/>
      <c r="P68" s="1"/>
      <c r="Q68" s="1"/>
      <c r="R68" s="1"/>
      <c r="S68" s="1"/>
    </row>
    <row r="69" spans="1:19">
      <c r="A69" s="1"/>
      <c r="P69" s="1"/>
      <c r="Q69" s="1"/>
      <c r="R69" s="1"/>
      <c r="S69" s="1"/>
    </row>
    <row r="70" spans="1:19">
      <c r="A70" s="1"/>
      <c r="P70" s="1"/>
      <c r="Q70" s="1"/>
      <c r="R70" s="1"/>
      <c r="S70" s="1"/>
    </row>
    <row r="71" spans="1:19">
      <c r="A71" s="1"/>
      <c r="P71" s="1"/>
      <c r="Q71" s="1"/>
      <c r="R71" s="1"/>
      <c r="S71" s="1"/>
    </row>
    <row r="72" spans="1:19">
      <c r="A72" s="1"/>
      <c r="P72" s="1"/>
      <c r="Q72" s="1"/>
      <c r="R72" s="1"/>
      <c r="S72" s="1"/>
    </row>
    <row r="73" spans="1:19">
      <c r="A73" s="1"/>
      <c r="P73" s="1"/>
      <c r="Q73" s="1"/>
      <c r="R73" s="2"/>
      <c r="S73" s="1"/>
    </row>
    <row r="74" spans="1:19">
      <c r="A74" s="1"/>
      <c r="P74" s="18" t="e">
        <f>#REF!/#REF!</f>
        <v>#REF!</v>
      </c>
      <c r="Q74" s="1"/>
      <c r="R74" s="2"/>
      <c r="S74" s="1"/>
    </row>
    <row r="75" spans="1:19">
      <c r="A75" s="1"/>
      <c r="P75" s="18" t="e">
        <f>#REF!/#REF!</f>
        <v>#REF!</v>
      </c>
      <c r="Q75" s="1"/>
      <c r="R75" s="1"/>
      <c r="S75" s="1"/>
    </row>
    <row r="76" spans="1:19">
      <c r="A76" s="1"/>
      <c r="P76" s="18" t="e">
        <f>#REF!/#REF!</f>
        <v>#REF!</v>
      </c>
      <c r="Q76" s="1"/>
      <c r="R76" s="1"/>
      <c r="S76" s="1"/>
    </row>
    <row r="77" spans="1:19">
      <c r="A77" s="1"/>
      <c r="P77" s="18" t="e">
        <f>#REF!/#REF!</f>
        <v>#REF!</v>
      </c>
      <c r="Q77" s="1"/>
      <c r="R77" s="1"/>
      <c r="S77" s="1"/>
    </row>
    <row r="78" spans="1:19">
      <c r="A78" s="1"/>
      <c r="P78" s="18" t="e">
        <f>#REF!/#REF!</f>
        <v>#REF!</v>
      </c>
      <c r="Q78" s="1"/>
      <c r="R78" s="1"/>
      <c r="S78" s="1"/>
    </row>
    <row r="79" spans="1:19">
      <c r="A79" s="1"/>
      <c r="P79" s="18" t="e">
        <f>#REF!/#REF!</f>
        <v>#REF!</v>
      </c>
      <c r="Q79" s="1"/>
      <c r="R79" s="1"/>
      <c r="S79" s="1"/>
    </row>
    <row r="80" spans="1:19">
      <c r="A80" s="1"/>
      <c r="P80" s="1"/>
      <c r="Q80" s="1"/>
      <c r="R80" s="1"/>
      <c r="S80" s="1"/>
    </row>
    <row r="81" spans="1:19">
      <c r="A81" s="1"/>
      <c r="P81" s="1"/>
      <c r="Q81" s="1"/>
      <c r="R81" s="1"/>
      <c r="S81" s="1"/>
    </row>
    <row r="82" spans="1:19">
      <c r="A82" s="1"/>
      <c r="P82" s="1"/>
      <c r="Q82" s="1"/>
      <c r="R82" s="1"/>
      <c r="S82" s="1"/>
    </row>
    <row r="83" spans="1:19">
      <c r="A83" s="1"/>
      <c r="P83" s="1"/>
      <c r="Q83" s="1"/>
      <c r="R83" s="1"/>
      <c r="S83" s="1"/>
    </row>
    <row r="84" spans="1:19">
      <c r="A84" s="1"/>
      <c r="P84" s="1"/>
      <c r="Q84" s="1"/>
      <c r="R84" s="1"/>
      <c r="S84" s="1"/>
    </row>
    <row r="85" spans="1:19" hidden="1">
      <c r="A85" s="1" t="s">
        <v>29</v>
      </c>
      <c r="P85" s="1"/>
      <c r="Q85" s="1"/>
      <c r="R85" s="1"/>
      <c r="S85" s="1"/>
    </row>
    <row r="86" spans="1:19">
      <c r="A86" s="1"/>
      <c r="P86" s="1"/>
      <c r="Q86" s="1"/>
      <c r="R86" s="1"/>
      <c r="S86" s="1"/>
    </row>
    <row r="87" spans="1:19">
      <c r="A87" s="1"/>
      <c r="P87" s="1"/>
      <c r="Q87" s="1"/>
      <c r="R87" s="1"/>
      <c r="S87" s="1"/>
    </row>
    <row r="88" spans="1:19">
      <c r="A88" s="1"/>
      <c r="P88" s="1"/>
      <c r="Q88" s="1"/>
      <c r="R88" s="1"/>
      <c r="S88" s="1"/>
    </row>
    <row r="89" spans="1:19">
      <c r="A89" s="1"/>
      <c r="P89" s="1"/>
      <c r="Q89" s="1"/>
      <c r="R89" s="1"/>
      <c r="S89" s="1"/>
    </row>
    <row r="90" spans="1:19">
      <c r="A90" s="1"/>
      <c r="P90" s="1"/>
      <c r="Q90" s="1"/>
      <c r="R90" s="1"/>
      <c r="S90" s="1"/>
    </row>
    <row r="91" spans="1:19">
      <c r="A91" s="1"/>
      <c r="P91" s="1"/>
      <c r="Q91" s="1"/>
      <c r="R91" s="1"/>
      <c r="S91" s="1"/>
    </row>
    <row r="92" spans="1:19">
      <c r="A92" s="1"/>
      <c r="P92" s="1"/>
      <c r="Q92" s="1"/>
      <c r="R92" s="1"/>
      <c r="S92" s="1"/>
    </row>
    <row r="93" spans="1:19">
      <c r="A93" s="1"/>
      <c r="P93" s="1"/>
      <c r="Q93" s="1"/>
      <c r="R93" s="1"/>
      <c r="S93" s="1"/>
    </row>
    <row r="94" spans="1:19">
      <c r="A94" s="1"/>
      <c r="P94" s="1"/>
      <c r="Q94" s="1"/>
      <c r="R94" s="1"/>
      <c r="S94" s="1"/>
    </row>
    <row r="95" spans="1:19">
      <c r="A95" s="1"/>
      <c r="P95" s="1"/>
      <c r="Q95" s="1"/>
      <c r="R95" s="1"/>
      <c r="S95" s="1"/>
    </row>
    <row r="96" spans="1:19">
      <c r="A96" s="1"/>
      <c r="P96" s="1"/>
      <c r="Q96" s="1"/>
      <c r="R96" s="1"/>
      <c r="S96" s="1"/>
    </row>
    <row r="97" spans="1:19">
      <c r="A97" s="1"/>
      <c r="P97" s="1"/>
      <c r="Q97" s="1"/>
      <c r="R97" s="1"/>
      <c r="S97" s="1"/>
    </row>
    <row r="98" spans="1:19">
      <c r="A98" s="1"/>
      <c r="P98" s="1"/>
      <c r="Q98" s="1"/>
      <c r="R98" s="1"/>
      <c r="S98" s="1"/>
    </row>
    <row r="99" spans="1:19">
      <c r="A99" s="1"/>
      <c r="P99" s="1"/>
      <c r="Q99" s="1"/>
      <c r="R99" s="1"/>
      <c r="S99" s="1"/>
    </row>
    <row r="100" spans="1:19">
      <c r="A100" s="1"/>
      <c r="P100" s="1"/>
      <c r="Q100" s="1"/>
      <c r="R100" s="1"/>
      <c r="S100" s="1"/>
    </row>
    <row r="101" spans="1:19"/>
    <row r="102" spans="1:19"/>
    <row r="103" spans="1:19"/>
    <row r="104" spans="1:19"/>
    <row r="105" spans="1:19"/>
    <row r="106" spans="1:19"/>
    <row r="107" spans="1:19"/>
  </sheetData>
  <mergeCells count="5">
    <mergeCell ref="B1:O5"/>
    <mergeCell ref="B40:O40"/>
    <mergeCell ref="B10:O10"/>
    <mergeCell ref="B20:O20"/>
    <mergeCell ref="B30:O30"/>
  </mergeCells>
  <pageMargins left="0.7" right="0.7" top="0.75" bottom="0.75" header="0.3" footer="0.3"/>
  <pageSetup orientation="portrait" r:id="rId1"/>
  <ignoredErrors>
    <ignoredError sqref="H17 O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34998626667073579"/>
  </sheetPr>
  <dimension ref="A1:S36"/>
  <sheetViews>
    <sheetView workbookViewId="0">
      <selection activeCell="G31" sqref="G31"/>
    </sheetView>
  </sheetViews>
  <sheetFormatPr defaultColWidth="14.42578125" defaultRowHeight="15" customHeight="1"/>
  <cols>
    <col min="1" max="1" width="5" customWidth="1"/>
    <col min="2" max="2" width="10.42578125" customWidth="1"/>
    <col min="3" max="4" width="14.28515625" bestFit="1" customWidth="1"/>
    <col min="5" max="10" width="14.28515625" customWidth="1"/>
    <col min="11" max="14" width="15.85546875" bestFit="1" customWidth="1"/>
    <col min="15" max="15" width="15.28515625" bestFit="1" customWidth="1"/>
    <col min="16" max="16" width="8.85546875" customWidth="1"/>
    <col min="17" max="17" width="14.28515625" customWidth="1"/>
    <col min="18" max="26" width="8.85546875" customWidth="1"/>
  </cols>
  <sheetData>
    <row r="1" spans="1:19" ht="15" customHeight="1">
      <c r="A1" s="1"/>
      <c r="B1" s="306" t="s">
        <v>87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8"/>
      <c r="P1" s="1"/>
      <c r="Q1" s="1"/>
      <c r="R1" s="1"/>
      <c r="S1" s="1"/>
    </row>
    <row r="2" spans="1:19" ht="15" customHeight="1">
      <c r="A2" s="1"/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1"/>
      <c r="P2" s="1"/>
      <c r="Q2" s="1"/>
      <c r="R2" s="1"/>
      <c r="S2" s="1"/>
    </row>
    <row r="3" spans="1:19" ht="15" customHeight="1">
      <c r="A3" s="1"/>
      <c r="B3" s="309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1"/>
      <c r="P3" s="1"/>
      <c r="Q3" s="1"/>
      <c r="R3" s="1"/>
      <c r="S3" s="1"/>
    </row>
    <row r="4" spans="1:19" ht="15" customHeight="1">
      <c r="A4" s="1"/>
      <c r="B4" s="309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1"/>
      <c r="P4" s="1"/>
      <c r="Q4" s="1"/>
      <c r="R4" s="1"/>
      <c r="S4" s="1"/>
    </row>
    <row r="5" spans="1:19" ht="15" customHeight="1">
      <c r="A5" s="1"/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4"/>
      <c r="P5" s="1"/>
      <c r="Q5" s="1"/>
      <c r="R5" s="1"/>
      <c r="S5" s="1"/>
    </row>
    <row r="6" spans="1:19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" customHeight="1">
      <c r="A7" s="1"/>
      <c r="B7" s="327" t="s">
        <v>0</v>
      </c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9"/>
      <c r="P7" s="1"/>
      <c r="Q7" s="1"/>
      <c r="R7" s="1"/>
      <c r="S7" s="1"/>
    </row>
    <row r="8" spans="1:19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>
      <c r="A9" s="1"/>
      <c r="B9" s="321">
        <v>2023</v>
      </c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3"/>
      <c r="P9" s="1"/>
      <c r="Q9" s="1"/>
      <c r="R9" s="1"/>
      <c r="S9" s="1"/>
    </row>
    <row r="10" spans="1:19" ht="15" customHeight="1">
      <c r="A10" s="1"/>
      <c r="B10" s="8"/>
      <c r="C10" s="10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12</v>
      </c>
      <c r="I10" s="10" t="s">
        <v>13</v>
      </c>
      <c r="J10" s="10" t="s">
        <v>14</v>
      </c>
      <c r="K10" s="10" t="s">
        <v>15</v>
      </c>
      <c r="L10" s="10" t="s">
        <v>16</v>
      </c>
      <c r="M10" s="10" t="s">
        <v>17</v>
      </c>
      <c r="N10" s="10" t="s">
        <v>18</v>
      </c>
      <c r="O10" s="12" t="s">
        <v>19</v>
      </c>
      <c r="P10" s="1"/>
      <c r="Q10" s="1"/>
      <c r="R10" s="1"/>
      <c r="S10" s="1"/>
    </row>
    <row r="11" spans="1:19" ht="15" customHeight="1">
      <c r="A11" s="1"/>
      <c r="B11" s="13" t="s">
        <v>6</v>
      </c>
      <c r="C11" s="11">
        <f>EBIT!C13</f>
        <v>0</v>
      </c>
      <c r="D11" s="11">
        <f>EBIT!D13</f>
        <v>0</v>
      </c>
      <c r="E11" s="11">
        <f>EBIT!E13</f>
        <v>0</v>
      </c>
      <c r="F11" s="11">
        <f>EBIT!F13</f>
        <v>0</v>
      </c>
      <c r="G11" s="11">
        <f>EBIT!G13</f>
        <v>0</v>
      </c>
      <c r="H11" s="11">
        <f>EBIT!H13</f>
        <v>0</v>
      </c>
      <c r="I11" s="11">
        <f>EBIT!I13</f>
        <v>0</v>
      </c>
      <c r="J11" s="11">
        <f>EBIT!J13</f>
        <v>0</v>
      </c>
      <c r="K11" s="11">
        <f>EBIT!K13</f>
        <v>0</v>
      </c>
      <c r="L11" s="11">
        <f>EBIT!L13</f>
        <v>0</v>
      </c>
      <c r="M11" s="11">
        <f>EBIT!M13</f>
        <v>152003.0625</v>
      </c>
      <c r="N11" s="11">
        <f>EBIT!N13</f>
        <v>304006.125</v>
      </c>
      <c r="O11" s="16">
        <f t="shared" ref="O11:O13" si="0">SUM(C11:N11)</f>
        <v>456009.1875</v>
      </c>
      <c r="P11" s="1"/>
      <c r="Q11" s="1"/>
      <c r="R11" s="1"/>
      <c r="S11" s="1"/>
    </row>
    <row r="12" spans="1:19" ht="15" customHeight="1">
      <c r="A12" s="1"/>
      <c r="B12" s="13" t="s">
        <v>25</v>
      </c>
      <c r="C12" s="11">
        <f>EBIT!C14</f>
        <v>0</v>
      </c>
      <c r="D12" s="11">
        <f>EBIT!D14</f>
        <v>0</v>
      </c>
      <c r="E12" s="11">
        <f>EBIT!E14</f>
        <v>0</v>
      </c>
      <c r="F12" s="11">
        <f>EBIT!F14</f>
        <v>0</v>
      </c>
      <c r="G12" s="11">
        <f>EBIT!G14</f>
        <v>0</v>
      </c>
      <c r="H12" s="11">
        <f>EBIT!H14</f>
        <v>0</v>
      </c>
      <c r="I12" s="11">
        <f>EBIT!I14</f>
        <v>0</v>
      </c>
      <c r="J12" s="11">
        <f>EBIT!J14</f>
        <v>5000</v>
      </c>
      <c r="K12" s="11">
        <f>EBIT!K14</f>
        <v>33000</v>
      </c>
      <c r="L12" s="11">
        <f>EBIT!L14</f>
        <v>110000</v>
      </c>
      <c r="M12" s="11">
        <f>EBIT!M14</f>
        <v>166666.67000000001</v>
      </c>
      <c r="N12" s="11">
        <f>EBIT!N14</f>
        <v>166666.67000000001</v>
      </c>
      <c r="O12" s="16">
        <f t="shared" si="0"/>
        <v>481333.34000000008</v>
      </c>
      <c r="P12" s="1"/>
      <c r="Q12" s="1"/>
      <c r="R12" s="1"/>
      <c r="S12" s="1"/>
    </row>
    <row r="13" spans="1:19" ht="15" customHeight="1">
      <c r="A13" s="1"/>
      <c r="B13" s="13" t="s">
        <v>22</v>
      </c>
      <c r="C13" s="11">
        <f>EBIT!C15</f>
        <v>0</v>
      </c>
      <c r="D13" s="11">
        <f>EBIT!D15</f>
        <v>0</v>
      </c>
      <c r="E13" s="11">
        <f>EBIT!E15</f>
        <v>0</v>
      </c>
      <c r="F13" s="11">
        <f>EBIT!F15</f>
        <v>0</v>
      </c>
      <c r="G13" s="11">
        <f>EBIT!G15</f>
        <v>0</v>
      </c>
      <c r="H13" s="11">
        <f>EBIT!H15</f>
        <v>85709.295500000007</v>
      </c>
      <c r="I13" s="11">
        <f>EBIT!I15</f>
        <v>85709.295500000007</v>
      </c>
      <c r="J13" s="11">
        <f>EBIT!J15</f>
        <v>85709.295500000007</v>
      </c>
      <c r="K13" s="11">
        <f>EBIT!K15</f>
        <v>85709.295500000007</v>
      </c>
      <c r="L13" s="11">
        <f>EBIT!L15</f>
        <v>85709.295500000007</v>
      </c>
      <c r="M13" s="11">
        <f>EBIT!M15</f>
        <v>85709.295500000007</v>
      </c>
      <c r="N13" s="11">
        <f>EBIT!N15</f>
        <v>85709.295500000007</v>
      </c>
      <c r="O13" s="16">
        <f t="shared" si="0"/>
        <v>599965.06850000005</v>
      </c>
      <c r="P13" s="1"/>
      <c r="Q13" s="1"/>
      <c r="R13" s="1"/>
      <c r="S13" s="1"/>
    </row>
    <row r="14" spans="1:19" ht="15" customHeight="1">
      <c r="A14" s="1"/>
      <c r="B14" s="13" t="s">
        <v>28</v>
      </c>
      <c r="C14" s="15">
        <f>EBIT!C16</f>
        <v>0</v>
      </c>
      <c r="D14" s="15">
        <f>EBIT!D16</f>
        <v>0</v>
      </c>
      <c r="E14" s="15">
        <f>EBIT!E16</f>
        <v>0</v>
      </c>
      <c r="F14" s="15">
        <f>EBIT!F16</f>
        <v>0</v>
      </c>
      <c r="G14" s="15">
        <f>EBIT!G16</f>
        <v>0</v>
      </c>
      <c r="H14" s="15">
        <f>EBIT!H16</f>
        <v>-85709.295500000007</v>
      </c>
      <c r="I14" s="15">
        <f>EBIT!I16</f>
        <v>-85709.295500000007</v>
      </c>
      <c r="J14" s="15">
        <f>EBIT!J16</f>
        <v>-90709.295500000007</v>
      </c>
      <c r="K14" s="15">
        <f>EBIT!K16</f>
        <v>-118709.29550000001</v>
      </c>
      <c r="L14" s="15">
        <f>EBIT!L16</f>
        <v>-195709.29550000001</v>
      </c>
      <c r="M14" s="15">
        <f>EBIT!M16</f>
        <v>-100372.90300000002</v>
      </c>
      <c r="N14" s="15">
        <f>EBIT!N16</f>
        <v>51630.15949999998</v>
      </c>
      <c r="O14" s="114">
        <f>SUM(C14:N14)</f>
        <v>-625289.22100000014</v>
      </c>
      <c r="P14" s="1"/>
      <c r="Q14" s="1"/>
      <c r="R14" s="1"/>
      <c r="S14" s="1"/>
    </row>
    <row r="15" spans="1:19" ht="15" customHeight="1" thickBot="1">
      <c r="A15" s="1"/>
      <c r="B15" s="20" t="s">
        <v>23</v>
      </c>
      <c r="C15" s="21">
        <f>EBIT!C17</f>
        <v>1278500</v>
      </c>
      <c r="D15" s="21">
        <f>EBIT!D17</f>
        <v>1278500</v>
      </c>
      <c r="E15" s="21">
        <f>EBIT!E17</f>
        <v>1278500</v>
      </c>
      <c r="F15" s="21">
        <f>EBIT!F17</f>
        <v>1278500</v>
      </c>
      <c r="G15" s="21">
        <f>EBIT!G17</f>
        <v>1278500</v>
      </c>
      <c r="H15" s="21">
        <f>EBIT!H17</f>
        <v>1192790.7045</v>
      </c>
      <c r="I15" s="21">
        <f>EBIT!I17</f>
        <v>1107081.409</v>
      </c>
      <c r="J15" s="21">
        <f>EBIT!J17</f>
        <v>1016372.1135</v>
      </c>
      <c r="K15" s="21">
        <f>EBIT!K17</f>
        <v>897662.81799999997</v>
      </c>
      <c r="L15" s="21">
        <f>EBIT!L17</f>
        <v>701953.52249999996</v>
      </c>
      <c r="M15" s="21">
        <f>EBIT!M17</f>
        <v>601580.61949999991</v>
      </c>
      <c r="N15" s="21">
        <f>EBIT!N17</f>
        <v>653210.77899999986</v>
      </c>
      <c r="O15" s="114">
        <f>SUM(C15:N15)</f>
        <v>12563151.965999998</v>
      </c>
      <c r="P15" s="1"/>
      <c r="Q15" s="1"/>
      <c r="R15" s="1"/>
      <c r="S15" s="1"/>
    </row>
    <row r="16" spans="1:19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5" customHeight="1">
      <c r="A17" s="1"/>
      <c r="B17" s="321">
        <v>2024</v>
      </c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3"/>
      <c r="P17" s="1"/>
      <c r="Q17" s="1"/>
      <c r="R17" s="1"/>
      <c r="S17" s="1"/>
    </row>
    <row r="18" spans="1:19" ht="15" customHeight="1">
      <c r="A18" s="1"/>
      <c r="B18" s="8"/>
      <c r="C18" s="10" t="s">
        <v>7</v>
      </c>
      <c r="D18" s="10" t="s">
        <v>8</v>
      </c>
      <c r="E18" s="10" t="s">
        <v>9</v>
      </c>
      <c r="F18" s="10" t="s">
        <v>10</v>
      </c>
      <c r="G18" s="10" t="s">
        <v>11</v>
      </c>
      <c r="H18" s="10" t="s">
        <v>12</v>
      </c>
      <c r="I18" s="10" t="s">
        <v>13</v>
      </c>
      <c r="J18" s="10" t="s">
        <v>14</v>
      </c>
      <c r="K18" s="10" t="s">
        <v>15</v>
      </c>
      <c r="L18" s="10" t="s">
        <v>16</v>
      </c>
      <c r="M18" s="10" t="s">
        <v>17</v>
      </c>
      <c r="N18" s="10" t="s">
        <v>18</v>
      </c>
      <c r="O18" s="12" t="s">
        <v>19</v>
      </c>
      <c r="P18" s="1"/>
      <c r="Q18" s="1"/>
      <c r="R18" s="1"/>
      <c r="S18" s="1"/>
    </row>
    <row r="19" spans="1:19">
      <c r="A19" s="1"/>
      <c r="B19" s="13" t="s">
        <v>6</v>
      </c>
      <c r="C19" s="11">
        <f>EBIT!C23</f>
        <v>701382.25</v>
      </c>
      <c r="D19" s="11">
        <f>EBIT!D23</f>
        <v>1402764.5</v>
      </c>
      <c r="E19" s="11">
        <f>EBIT!E23</f>
        <v>2104146.75</v>
      </c>
      <c r="F19" s="11">
        <f>EBIT!F23</f>
        <v>2805529</v>
      </c>
      <c r="G19" s="11">
        <f>EBIT!G23</f>
        <v>3506911.25</v>
      </c>
      <c r="H19" s="11">
        <f>EBIT!H23</f>
        <v>4228293.5</v>
      </c>
      <c r="I19" s="11">
        <f>EBIT!I23</f>
        <v>4695881.666666666</v>
      </c>
      <c r="J19" s="11">
        <f>EBIT!J23</f>
        <v>4695881.666666666</v>
      </c>
      <c r="K19" s="11">
        <f>EBIT!K23</f>
        <v>4695881.666666666</v>
      </c>
      <c r="L19" s="11">
        <f>EBIT!L23</f>
        <v>4695881.666666666</v>
      </c>
      <c r="M19" s="11">
        <f>EBIT!M23</f>
        <v>4695881.666666666</v>
      </c>
      <c r="N19" s="11">
        <f>EBIT!N23</f>
        <v>4695881.666666666</v>
      </c>
      <c r="O19" s="16">
        <f>'Revenue Production'!O27</f>
        <v>1018980.0000000001</v>
      </c>
      <c r="P19" s="1"/>
      <c r="Q19" s="1"/>
      <c r="R19" s="1"/>
      <c r="S19" s="1"/>
    </row>
    <row r="20" spans="1:19">
      <c r="A20" s="1"/>
      <c r="B20" s="13" t="s">
        <v>21</v>
      </c>
      <c r="C20" s="11">
        <f>EBIT!C24</f>
        <v>250000</v>
      </c>
      <c r="D20" s="11">
        <f>EBIT!D24</f>
        <v>250000</v>
      </c>
      <c r="E20" s="11">
        <f>EBIT!E24</f>
        <v>250000</v>
      </c>
      <c r="F20" s="11">
        <f>EBIT!F24</f>
        <v>500000</v>
      </c>
      <c r="G20" s="11">
        <f>EBIT!G24</f>
        <v>500000</v>
      </c>
      <c r="H20" s="11">
        <f>EBIT!H24</f>
        <v>500000</v>
      </c>
      <c r="I20" s="11">
        <f>EBIT!I24</f>
        <v>750000</v>
      </c>
      <c r="J20" s="11">
        <f>EBIT!J24</f>
        <v>750000</v>
      </c>
      <c r="K20" s="11">
        <f>EBIT!K24</f>
        <v>750000</v>
      </c>
      <c r="L20" s="11">
        <f>EBIT!L24</f>
        <v>1000000</v>
      </c>
      <c r="M20" s="11">
        <f>EBIT!M24</f>
        <v>1000000</v>
      </c>
      <c r="N20" s="11">
        <f>EBIT!N24</f>
        <v>1000000</v>
      </c>
      <c r="O20" s="16">
        <f t="shared" ref="O20:O22" si="1">SUM(C20:N20)</f>
        <v>7500000</v>
      </c>
      <c r="P20" s="1"/>
      <c r="Q20" s="1"/>
      <c r="R20" s="1"/>
      <c r="S20" s="1"/>
    </row>
    <row r="21" spans="1:19">
      <c r="A21" s="1"/>
      <c r="B21" s="13" t="s">
        <v>22</v>
      </c>
      <c r="C21" s="11">
        <f>EBIT!C25</f>
        <v>115875.95250000001</v>
      </c>
      <c r="D21" s="11">
        <f>EBIT!D25</f>
        <v>115875.95250000001</v>
      </c>
      <c r="E21" s="11">
        <f>EBIT!E25</f>
        <v>115875.95250000001</v>
      </c>
      <c r="F21" s="11">
        <f>EBIT!F25</f>
        <v>115875.95250000001</v>
      </c>
      <c r="G21" s="11">
        <f>EBIT!G25</f>
        <v>115875.95250000001</v>
      </c>
      <c r="H21" s="11">
        <f>EBIT!H25</f>
        <v>115875.95250000001</v>
      </c>
      <c r="I21" s="11">
        <f>EBIT!I25</f>
        <v>143479.16250000001</v>
      </c>
      <c r="J21" s="11">
        <f>EBIT!J25</f>
        <v>143479.16250000001</v>
      </c>
      <c r="K21" s="11">
        <f>EBIT!K25</f>
        <v>143479.16250000001</v>
      </c>
      <c r="L21" s="11">
        <f>EBIT!L25</f>
        <v>143479.16250000001</v>
      </c>
      <c r="M21" s="11">
        <f>EBIT!M25</f>
        <v>143479.16250000001</v>
      </c>
      <c r="N21" s="11">
        <f>EBIT!N25</f>
        <v>143479.16250000001</v>
      </c>
      <c r="O21" s="16">
        <f t="shared" si="1"/>
        <v>1556130.6900000004</v>
      </c>
      <c r="P21" s="1"/>
      <c r="Q21" s="1"/>
      <c r="R21" s="1"/>
      <c r="S21" s="1"/>
    </row>
    <row r="22" spans="1:19">
      <c r="A22" s="1"/>
      <c r="B22" s="13" t="s">
        <v>28</v>
      </c>
      <c r="C22" s="15">
        <f>EBIT!C26</f>
        <v>988717.07649999985</v>
      </c>
      <c r="D22" s="15">
        <f>EBIT!D26</f>
        <v>1036888.5475</v>
      </c>
      <c r="E22" s="15">
        <f>EBIT!E26</f>
        <v>1738270.7974999999</v>
      </c>
      <c r="F22" s="15">
        <f>EBIT!F26</f>
        <v>2189653.0474999999</v>
      </c>
      <c r="G22" s="15">
        <f>EBIT!G26</f>
        <v>2891035.2974999999</v>
      </c>
      <c r="H22" s="15">
        <f>EBIT!H26</f>
        <v>3612417.5474999999</v>
      </c>
      <c r="I22" s="15">
        <f>EBIT!I26</f>
        <v>3802402.504166666</v>
      </c>
      <c r="J22" s="15">
        <f>EBIT!J26</f>
        <v>3802402.504166666</v>
      </c>
      <c r="K22" s="15">
        <f>EBIT!K26</f>
        <v>3802402.504166666</v>
      </c>
      <c r="L22" s="15">
        <f>EBIT!L26</f>
        <v>3552402.504166666</v>
      </c>
      <c r="M22" s="15">
        <f>EBIT!M26</f>
        <v>3552402.504166666</v>
      </c>
      <c r="N22" s="15">
        <f>EBIT!N26</f>
        <v>3552402.504166666</v>
      </c>
      <c r="O22" s="114">
        <f t="shared" si="1"/>
        <v>34521397.338999994</v>
      </c>
      <c r="P22" s="1"/>
      <c r="Q22" s="1"/>
      <c r="R22" s="1"/>
      <c r="S22" s="1"/>
    </row>
    <row r="23" spans="1:19" ht="15.75" thickBot="1">
      <c r="A23" s="1"/>
      <c r="B23" s="20" t="s">
        <v>23</v>
      </c>
      <c r="C23" s="21">
        <f>EBIT!C27</f>
        <v>988717.07649999985</v>
      </c>
      <c r="D23" s="21">
        <f>EBIT!D27</f>
        <v>2025605.6239999998</v>
      </c>
      <c r="E23" s="21">
        <f>EBIT!E27</f>
        <v>3763876.4214999997</v>
      </c>
      <c r="F23" s="21">
        <f>EBIT!F27</f>
        <v>5953529.4689999996</v>
      </c>
      <c r="G23" s="21">
        <f>EBIT!G27</f>
        <v>8844564.7664999999</v>
      </c>
      <c r="H23" s="21">
        <f>EBIT!H27</f>
        <v>11982482.313999999</v>
      </c>
      <c r="I23" s="21">
        <f>EBIT!I27</f>
        <v>15784884.818166666</v>
      </c>
      <c r="J23" s="21">
        <f>EBIT!J27</f>
        <v>19587287.322333332</v>
      </c>
      <c r="K23" s="21">
        <f>EBIT!K27</f>
        <v>23389689.826499999</v>
      </c>
      <c r="L23" s="21">
        <f>EBIT!L27</f>
        <v>26942092.330666665</v>
      </c>
      <c r="M23" s="21">
        <f>EBIT!M27</f>
        <v>30494494.834833331</v>
      </c>
      <c r="N23" s="21">
        <f>EBIT!N27</f>
        <v>34046897.338999994</v>
      </c>
      <c r="O23" s="22">
        <f>EBIT!O27</f>
        <v>34046897.338999994</v>
      </c>
      <c r="P23" s="1"/>
      <c r="Q23" s="4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"/>
      <c r="R24" s="1"/>
      <c r="S24" s="1"/>
    </row>
    <row r="25" spans="1:19" ht="15.75">
      <c r="A25" s="1"/>
      <c r="B25" s="321">
        <v>2025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3"/>
      <c r="P25" s="1"/>
      <c r="Q25" s="1"/>
      <c r="R25" s="1"/>
      <c r="S25" s="1"/>
    </row>
    <row r="26" spans="1:19">
      <c r="A26" s="1"/>
      <c r="B26" s="8"/>
      <c r="C26" s="10" t="s">
        <v>7</v>
      </c>
      <c r="D26" s="10" t="s">
        <v>8</v>
      </c>
      <c r="E26" s="10" t="s">
        <v>9</v>
      </c>
      <c r="F26" s="10" t="s">
        <v>10</v>
      </c>
      <c r="G26" s="10" t="s">
        <v>11</v>
      </c>
      <c r="H26" s="10" t="s">
        <v>12</v>
      </c>
      <c r="I26" s="10" t="s">
        <v>13</v>
      </c>
      <c r="J26" s="10" t="s">
        <v>14</v>
      </c>
      <c r="K26" s="10" t="s">
        <v>15</v>
      </c>
      <c r="L26" s="10" t="s">
        <v>16</v>
      </c>
      <c r="M26" s="10" t="s">
        <v>17</v>
      </c>
      <c r="N26" s="10" t="s">
        <v>18</v>
      </c>
      <c r="O26" s="12" t="s">
        <v>19</v>
      </c>
      <c r="P26" s="1"/>
      <c r="Q26" s="1"/>
      <c r="R26" s="1"/>
      <c r="S26" s="1"/>
    </row>
    <row r="27" spans="1:19">
      <c r="A27" s="1"/>
      <c r="B27" s="13" t="s">
        <v>6</v>
      </c>
      <c r="C27" s="11">
        <f>EBIT!C33</f>
        <v>3511411.25</v>
      </c>
      <c r="D27" s="11">
        <f>EBIT!D33</f>
        <v>47441822.5</v>
      </c>
      <c r="E27" s="11">
        <f>EBIT!E33</f>
        <v>10534233.75</v>
      </c>
      <c r="F27" s="11">
        <f>EBIT!F33</f>
        <v>14045645</v>
      </c>
      <c r="G27" s="11">
        <f>EBIT!G33</f>
        <v>17557056.25</v>
      </c>
      <c r="H27" s="11">
        <f>EBIT!H33</f>
        <v>21068467.5</v>
      </c>
      <c r="I27" s="11">
        <f>EBIT!I33</f>
        <v>23409408.333333332</v>
      </c>
      <c r="J27" s="11">
        <f>EBIT!J33</f>
        <v>23409408.333333332</v>
      </c>
      <c r="K27" s="11">
        <f>EBIT!K33</f>
        <v>23409408.333333332</v>
      </c>
      <c r="L27" s="11">
        <f>EBIT!L33</f>
        <v>23409408.333333332</v>
      </c>
      <c r="M27" s="11">
        <f>EBIT!M33</f>
        <v>23409408.333333332</v>
      </c>
      <c r="N27" s="11">
        <f>EBIT!N33</f>
        <v>23409408.333333332</v>
      </c>
      <c r="O27" s="16">
        <f>SUM(C27:N27)</f>
        <v>254615086.25000006</v>
      </c>
      <c r="P27" s="1"/>
      <c r="Q27" s="1"/>
      <c r="R27" s="1"/>
      <c r="S27" s="1"/>
    </row>
    <row r="28" spans="1:19">
      <c r="A28" s="1"/>
      <c r="B28" s="13" t="s">
        <v>21</v>
      </c>
      <c r="C28" s="11">
        <f>EBIT!C34</f>
        <v>1000000</v>
      </c>
      <c r="D28" s="11">
        <f>EBIT!D34</f>
        <v>1000000</v>
      </c>
      <c r="E28" s="11">
        <f>EBIT!E34</f>
        <v>1000000</v>
      </c>
      <c r="F28" s="11">
        <f>EBIT!F34</f>
        <v>2000000</v>
      </c>
      <c r="G28" s="11">
        <f>EBIT!G34</f>
        <v>2000000</v>
      </c>
      <c r="H28" s="11">
        <f>EBIT!H34</f>
        <v>2000000</v>
      </c>
      <c r="I28" s="11">
        <f>EBIT!I34</f>
        <v>3000000</v>
      </c>
      <c r="J28" s="11">
        <f>EBIT!J34</f>
        <v>3000000</v>
      </c>
      <c r="K28" s="11">
        <f>EBIT!K34</f>
        <v>4000000</v>
      </c>
      <c r="L28" s="11">
        <f>EBIT!L34</f>
        <v>4000000</v>
      </c>
      <c r="M28" s="11">
        <f>EBIT!M34</f>
        <v>5000000</v>
      </c>
      <c r="N28" s="11">
        <f>EBIT!N34</f>
        <v>5000000</v>
      </c>
      <c r="O28" s="16">
        <f t="shared" ref="O28" si="2">SUM(C28:N28)</f>
        <v>33000000</v>
      </c>
      <c r="P28" s="1"/>
      <c r="Q28" s="1"/>
      <c r="R28" s="1"/>
      <c r="S28" s="1"/>
    </row>
    <row r="29" spans="1:19">
      <c r="A29" s="1"/>
      <c r="B29" s="13" t="s">
        <v>22</v>
      </c>
      <c r="C29" s="11">
        <f>EBIT!C35</f>
        <v>170144.87699999998</v>
      </c>
      <c r="D29" s="11">
        <f>EBIT!D35</f>
        <v>170144.87699999998</v>
      </c>
      <c r="E29" s="11">
        <f>EBIT!E35</f>
        <v>170144.87699999998</v>
      </c>
      <c r="F29" s="11">
        <f>EBIT!F35</f>
        <v>170144.87699999998</v>
      </c>
      <c r="G29" s="11">
        <f>EBIT!G35</f>
        <v>170144.87699999998</v>
      </c>
      <c r="H29" s="11">
        <f>EBIT!H35</f>
        <v>170144.87699999998</v>
      </c>
      <c r="I29" s="11">
        <f>EBIT!I35</f>
        <v>209228.21549999999</v>
      </c>
      <c r="J29" s="11">
        <f>EBIT!J35</f>
        <v>209228.21549999999</v>
      </c>
      <c r="K29" s="11">
        <f>EBIT!K35</f>
        <v>209228.21549999999</v>
      </c>
      <c r="L29" s="11">
        <f>EBIT!L35</f>
        <v>209228.21549999999</v>
      </c>
      <c r="M29" s="11">
        <f>EBIT!M35</f>
        <v>209228.21549999999</v>
      </c>
      <c r="N29" s="11">
        <f>EBIT!N35</f>
        <v>209228.21549999999</v>
      </c>
      <c r="O29" s="16">
        <f>EBIT!O35</f>
        <v>2276238.5549999997</v>
      </c>
      <c r="P29" s="1"/>
      <c r="Q29" s="1"/>
      <c r="R29" s="1"/>
      <c r="S29" s="1"/>
    </row>
    <row r="30" spans="1:19">
      <c r="A30" s="1"/>
      <c r="B30" s="13" t="s">
        <v>28</v>
      </c>
      <c r="C30" s="15">
        <f>EBIT!C36</f>
        <v>2341266.3730000001</v>
      </c>
      <c r="D30" s="15">
        <f>EBIT!D36</f>
        <v>46271677.623000003</v>
      </c>
      <c r="E30" s="15">
        <f>EBIT!E36</f>
        <v>9364088.8729999997</v>
      </c>
      <c r="F30" s="15">
        <f>EBIT!F36</f>
        <v>11875500.123</v>
      </c>
      <c r="G30" s="15">
        <f>EBIT!G36</f>
        <v>15386911.373</v>
      </c>
      <c r="H30" s="15">
        <f>EBIT!H36</f>
        <v>18898322.623</v>
      </c>
      <c r="I30" s="15">
        <f>EBIT!I36</f>
        <v>20200180.117833331</v>
      </c>
      <c r="J30" s="15">
        <f>EBIT!J36</f>
        <v>20200180.117833331</v>
      </c>
      <c r="K30" s="15">
        <f>EBIT!K36</f>
        <v>19200180.117833331</v>
      </c>
      <c r="L30" s="15">
        <f>EBIT!L36</f>
        <v>19200180.117833331</v>
      </c>
      <c r="M30" s="15">
        <f>EBIT!M36</f>
        <v>18200180.117833331</v>
      </c>
      <c r="N30" s="15">
        <f>EBIT!N36</f>
        <v>18200180.117833331</v>
      </c>
      <c r="O30" s="114">
        <f>EBIT!O36</f>
        <v>219338847.69499993</v>
      </c>
      <c r="P30" s="1"/>
      <c r="Q30" s="1"/>
      <c r="R30" s="1"/>
      <c r="S30" s="1"/>
    </row>
    <row r="31" spans="1:19">
      <c r="A31" s="1"/>
      <c r="B31" s="20" t="s">
        <v>23</v>
      </c>
      <c r="C31" s="21">
        <f>EBIT!C37</f>
        <v>2341266.3730000001</v>
      </c>
      <c r="D31" s="21">
        <f>EBIT!D37</f>
        <v>48612943.996000007</v>
      </c>
      <c r="E31" s="21">
        <f>EBIT!E37</f>
        <v>57977032.869000003</v>
      </c>
      <c r="F31" s="21">
        <f>EBIT!F37</f>
        <v>69852532.991999999</v>
      </c>
      <c r="G31" s="21">
        <f>EBIT!G37</f>
        <v>85239444.364999995</v>
      </c>
      <c r="H31" s="21">
        <f>EBIT!H37</f>
        <v>102713266.98799999</v>
      </c>
      <c r="I31" s="21">
        <f>EBIT!I37</f>
        <v>122913447.10583332</v>
      </c>
      <c r="J31" s="21">
        <f>EBIT!J37</f>
        <v>143113627.22366667</v>
      </c>
      <c r="K31" s="21">
        <f>EBIT!K37</f>
        <v>162313807.34149998</v>
      </c>
      <c r="L31" s="21">
        <f>EBIT!L37</f>
        <v>181513987.4593333</v>
      </c>
      <c r="M31" s="21">
        <f>EBIT!M37</f>
        <v>199714167.57716662</v>
      </c>
      <c r="N31" s="21">
        <f>EBIT!N37</f>
        <v>217914347.69499993</v>
      </c>
      <c r="O31" s="22">
        <f>EBIT!O37</f>
        <v>217914347.69499993</v>
      </c>
      <c r="P31" s="1"/>
      <c r="Q31" s="4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"/>
      <c r="R32" s="1"/>
      <c r="S32" s="1"/>
    </row>
    <row r="33" spans="1:19">
      <c r="A33" s="1"/>
      <c r="B33" s="324" t="s">
        <v>30</v>
      </c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1"/>
      <c r="Q33" s="4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mergeCells count="6">
    <mergeCell ref="B1:O5"/>
    <mergeCell ref="B9:O9"/>
    <mergeCell ref="B17:O17"/>
    <mergeCell ref="B25:O25"/>
    <mergeCell ref="B33:O33"/>
    <mergeCell ref="B7:O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A1:R53"/>
  <sheetViews>
    <sheetView topLeftCell="B6" zoomScale="89" workbookViewId="0">
      <selection activeCell="N53" sqref="N53"/>
    </sheetView>
  </sheetViews>
  <sheetFormatPr defaultColWidth="14.42578125" defaultRowHeight="15" customHeight="1"/>
  <cols>
    <col min="1" max="1" width="10.7109375" customWidth="1"/>
    <col min="2" max="2" width="35.7109375" bestFit="1" customWidth="1"/>
    <col min="3" max="3" width="16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14.42578125" bestFit="1" customWidth="1"/>
    <col min="8" max="8" width="16.28515625" bestFit="1" customWidth="1"/>
    <col min="9" max="9" width="13.28515625" bestFit="1" customWidth="1"/>
    <col min="10" max="10" width="13.7109375" bestFit="1" customWidth="1"/>
    <col min="11" max="11" width="16.28515625" bestFit="1" customWidth="1"/>
    <col min="12" max="13" width="14.28515625" bestFit="1" customWidth="1"/>
    <col min="14" max="14" width="16.28515625" bestFit="1" customWidth="1"/>
    <col min="15" max="15" width="18" bestFit="1" customWidth="1"/>
    <col min="16" max="16" width="14.7109375" customWidth="1"/>
    <col min="17" max="26" width="10.7109375" customWidth="1"/>
  </cols>
  <sheetData>
    <row r="1" spans="1:18" ht="15" customHeight="1">
      <c r="A1" s="1"/>
      <c r="B1" s="306" t="s">
        <v>152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8"/>
      <c r="P1" s="1"/>
      <c r="Q1" s="1"/>
      <c r="R1" s="1"/>
    </row>
    <row r="2" spans="1:18" ht="15" customHeight="1">
      <c r="A2" s="1"/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1"/>
      <c r="P2" s="1"/>
      <c r="Q2" s="1"/>
      <c r="R2" s="1"/>
    </row>
    <row r="3" spans="1:18" ht="15" customHeight="1">
      <c r="A3" s="1"/>
      <c r="B3" s="309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1"/>
      <c r="P3" s="1"/>
      <c r="Q3" s="1"/>
      <c r="R3" s="1"/>
    </row>
    <row r="4" spans="1:18" ht="15" customHeight="1">
      <c r="A4" s="1"/>
      <c r="B4" s="309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1"/>
      <c r="P4" s="1"/>
      <c r="Q4" s="1"/>
      <c r="R4" s="1"/>
    </row>
    <row r="5" spans="1:18" ht="15" customHeight="1">
      <c r="A5" s="1"/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4"/>
      <c r="P5" s="1"/>
      <c r="Q5" s="1"/>
      <c r="R5" s="1"/>
    </row>
    <row r="6" spans="1:18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>
      <c r="A7" s="1"/>
      <c r="B7" s="330" t="s">
        <v>162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2"/>
      <c r="P7" s="1"/>
      <c r="Q7" s="1"/>
      <c r="R7" s="1"/>
    </row>
    <row r="8" spans="1:18" ht="15" customHeight="1">
      <c r="A8" s="1"/>
      <c r="B8" s="139"/>
      <c r="C8" s="140" t="s">
        <v>7</v>
      </c>
      <c r="D8" s="140" t="s">
        <v>8</v>
      </c>
      <c r="E8" s="140" t="s">
        <v>9</v>
      </c>
      <c r="F8" s="140" t="s">
        <v>10</v>
      </c>
      <c r="G8" s="140" t="s">
        <v>11</v>
      </c>
      <c r="H8" s="140" t="s">
        <v>12</v>
      </c>
      <c r="I8" s="140" t="s">
        <v>13</v>
      </c>
      <c r="J8" s="140" t="s">
        <v>14</v>
      </c>
      <c r="K8" s="140" t="s">
        <v>15</v>
      </c>
      <c r="L8" s="140" t="s">
        <v>16</v>
      </c>
      <c r="M8" s="140" t="s">
        <v>17</v>
      </c>
      <c r="N8" s="140" t="s">
        <v>18</v>
      </c>
      <c r="O8" s="141" t="s">
        <v>19</v>
      </c>
      <c r="P8" s="1"/>
      <c r="Q8" s="1"/>
      <c r="R8" s="1"/>
    </row>
    <row r="9" spans="1:18" ht="15" customHeight="1">
      <c r="A9" s="1"/>
      <c r="B9" s="138" t="s">
        <v>153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f>SUM(O9/12)*0.15</f>
        <v>112275</v>
      </c>
      <c r="N9" s="159">
        <f>SUM(O9/12)*0.3</f>
        <v>224550</v>
      </c>
      <c r="O9" s="160">
        <f>SUM('Revenue Variables'!C9*'Revenue Variables'!C10*12)</f>
        <v>8982000</v>
      </c>
      <c r="P9" s="1"/>
      <c r="Q9" s="1"/>
      <c r="R9" s="1"/>
    </row>
    <row r="10" spans="1:18" ht="15" customHeight="1">
      <c r="A10" s="1"/>
      <c r="B10" s="138" t="s">
        <v>154</v>
      </c>
      <c r="C10" s="159">
        <v>0</v>
      </c>
      <c r="D10" s="159">
        <v>0</v>
      </c>
      <c r="E10" s="159">
        <v>0</v>
      </c>
      <c r="F10" s="159">
        <v>0</v>
      </c>
      <c r="G10" s="159">
        <v>0</v>
      </c>
      <c r="H10" s="159">
        <v>0</v>
      </c>
      <c r="I10" s="159">
        <v>0</v>
      </c>
      <c r="J10" s="159">
        <v>0</v>
      </c>
      <c r="K10" s="159">
        <v>0</v>
      </c>
      <c r="L10" s="159">
        <v>0</v>
      </c>
      <c r="M10" s="159">
        <f>SUM(O10/12)*0.15</f>
        <v>12497.5</v>
      </c>
      <c r="N10" s="159">
        <f>SUM(O10/12)*0.3</f>
        <v>24995</v>
      </c>
      <c r="O10" s="224">
        <f>'Revenue Variables'!C11*'Revenue Variables'!C12</f>
        <v>999800</v>
      </c>
      <c r="P10" s="1"/>
      <c r="Q10" s="1"/>
      <c r="R10" s="1"/>
    </row>
    <row r="11" spans="1:18" ht="15" customHeight="1">
      <c r="A11" s="1"/>
      <c r="B11" s="138" t="s">
        <v>155</v>
      </c>
      <c r="C11" s="159">
        <v>0</v>
      </c>
      <c r="D11" s="159">
        <v>0</v>
      </c>
      <c r="E11" s="159">
        <v>0</v>
      </c>
      <c r="F11" s="159">
        <v>0</v>
      </c>
      <c r="G11" s="159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f>SUM(O11/12)*0.15</f>
        <v>1124.3749999999998</v>
      </c>
      <c r="N11" s="159">
        <f>SUM(O11/12)*0.3</f>
        <v>2248.7499999999995</v>
      </c>
      <c r="O11" s="160">
        <f>'Revenue Variables'!C13*'Revenue Variables'!C14</f>
        <v>89949.999999999985</v>
      </c>
      <c r="P11" s="1"/>
      <c r="Q11" s="1"/>
      <c r="R11" s="1"/>
    </row>
    <row r="12" spans="1:18" ht="15" customHeight="1">
      <c r="A12" s="1"/>
      <c r="B12" s="138" t="s">
        <v>156</v>
      </c>
      <c r="C12" s="159">
        <v>0</v>
      </c>
      <c r="D12" s="159">
        <v>0</v>
      </c>
      <c r="E12" s="159">
        <v>0</v>
      </c>
      <c r="F12" s="159">
        <v>0</v>
      </c>
      <c r="G12" s="159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f>SUM(O12/12)*0.15</f>
        <v>22455</v>
      </c>
      <c r="N12" s="159">
        <f>SUM(O12/12)*0.3</f>
        <v>44910</v>
      </c>
      <c r="O12" s="161">
        <f>'Revenue Variables'!C15*'Revenue Variables'!C16*12</f>
        <v>1796400</v>
      </c>
      <c r="P12" s="1"/>
      <c r="Q12" s="1"/>
      <c r="R12" s="1"/>
    </row>
    <row r="13" spans="1:18" ht="15" customHeight="1">
      <c r="A13" s="1"/>
      <c r="B13" s="138" t="s">
        <v>157</v>
      </c>
      <c r="C13" s="159">
        <v>0</v>
      </c>
      <c r="D13" s="159">
        <v>0</v>
      </c>
      <c r="E13" s="159">
        <v>0</v>
      </c>
      <c r="F13" s="159">
        <v>0</v>
      </c>
      <c r="G13" s="159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59">
        <f>SUM(O13/12)*0.15</f>
        <v>3184.3125000000005</v>
      </c>
      <c r="N13" s="159">
        <f>SUM(O13/12)*0.3</f>
        <v>6368.6250000000009</v>
      </c>
      <c r="O13" s="160">
        <f>'Revenue Variables'!C17*'Revenue Variables'!C18</f>
        <v>254745.00000000003</v>
      </c>
      <c r="P13" s="1"/>
      <c r="Q13" s="1"/>
      <c r="R13" s="1"/>
    </row>
    <row r="14" spans="1:18" ht="15" customHeight="1">
      <c r="A14" s="1"/>
      <c r="B14" s="138" t="s">
        <v>158</v>
      </c>
      <c r="C14" s="159">
        <v>0</v>
      </c>
      <c r="D14" s="159">
        <v>0</v>
      </c>
      <c r="E14" s="159">
        <v>0</v>
      </c>
      <c r="F14" s="159">
        <v>0</v>
      </c>
      <c r="G14" s="159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f>SUM(O14/12)*0.15</f>
        <v>280.3125</v>
      </c>
      <c r="N14" s="159">
        <f>SUM(O14/12)*0.3</f>
        <v>560.625</v>
      </c>
      <c r="O14" s="224">
        <f>'Revenue Variables'!C19*'Revenue Variables'!C20</f>
        <v>22425</v>
      </c>
      <c r="P14" s="1"/>
      <c r="Q14" s="1"/>
      <c r="R14" s="1"/>
    </row>
    <row r="15" spans="1:18" ht="15" customHeight="1">
      <c r="A15" s="1"/>
      <c r="B15" s="138" t="s">
        <v>159</v>
      </c>
      <c r="C15" s="159">
        <v>0</v>
      </c>
      <c r="D15" s="159">
        <v>0</v>
      </c>
      <c r="E15" s="159">
        <v>0</v>
      </c>
      <c r="F15" s="159">
        <v>0</v>
      </c>
      <c r="G15" s="159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59">
        <f>SUM(O15/12)*0.15</f>
        <v>186.5625</v>
      </c>
      <c r="N15" s="159">
        <f>SUM(O15/12)*0.3</f>
        <v>373.125</v>
      </c>
      <c r="O15" s="160">
        <f>'Revenue Variables'!C21*'Revenue Variables'!C22</f>
        <v>14925</v>
      </c>
      <c r="P15" s="1"/>
      <c r="Q15" s="1"/>
      <c r="R15" s="1"/>
    </row>
    <row r="16" spans="1:18" ht="15" customHeight="1">
      <c r="A16" s="92"/>
      <c r="B16" s="138" t="s">
        <v>160</v>
      </c>
      <c r="C16" s="159">
        <v>0</v>
      </c>
      <c r="D16" s="159">
        <v>0</v>
      </c>
      <c r="E16" s="159">
        <v>0</v>
      </c>
      <c r="F16" s="159">
        <v>0</v>
      </c>
      <c r="G16" s="159">
        <v>0</v>
      </c>
      <c r="H16" s="159">
        <v>0</v>
      </c>
      <c r="I16" s="159">
        <v>0</v>
      </c>
      <c r="J16" s="159">
        <v>0</v>
      </c>
      <c r="K16" s="159">
        <v>0</v>
      </c>
      <c r="L16" s="159">
        <v>0</v>
      </c>
      <c r="M16" s="159">
        <v>0</v>
      </c>
      <c r="N16" s="159">
        <v>0</v>
      </c>
      <c r="O16" s="159">
        <v>0</v>
      </c>
      <c r="P16" s="92"/>
      <c r="Q16" s="92"/>
      <c r="R16" s="92"/>
    </row>
    <row r="17" spans="1:18" ht="15" customHeight="1">
      <c r="A17" s="1"/>
      <c r="B17" s="138" t="s">
        <v>161</v>
      </c>
      <c r="C17" s="159">
        <f>C2-C6</f>
        <v>0</v>
      </c>
      <c r="D17" s="159">
        <f t="shared" ref="D17:N17" si="0">C17+D2-D6</f>
        <v>0</v>
      </c>
      <c r="E17" s="159">
        <f t="shared" si="0"/>
        <v>0</v>
      </c>
      <c r="F17" s="159">
        <f t="shared" si="0"/>
        <v>0</v>
      </c>
      <c r="G17" s="159">
        <f t="shared" si="0"/>
        <v>0</v>
      </c>
      <c r="H17" s="159">
        <f t="shared" si="0"/>
        <v>0</v>
      </c>
      <c r="I17" s="159">
        <f t="shared" si="0"/>
        <v>0</v>
      </c>
      <c r="J17" s="159">
        <f t="shared" si="0"/>
        <v>0</v>
      </c>
      <c r="K17" s="159">
        <f t="shared" si="0"/>
        <v>0</v>
      </c>
      <c r="L17" s="159">
        <f t="shared" si="0"/>
        <v>0</v>
      </c>
      <c r="M17" s="159">
        <f t="shared" si="0"/>
        <v>0</v>
      </c>
      <c r="N17" s="159">
        <f t="shared" si="0"/>
        <v>0</v>
      </c>
      <c r="O17" s="161">
        <f>N17</f>
        <v>0</v>
      </c>
      <c r="P17" s="1"/>
      <c r="Q17" s="1"/>
      <c r="R17" s="1"/>
    </row>
    <row r="18" spans="1:18" ht="15" customHeight="1" thickBot="1">
      <c r="A18" s="1"/>
      <c r="B18" s="142" t="s">
        <v>86</v>
      </c>
      <c r="C18" s="143">
        <f>SUM(C9:C17)</f>
        <v>0</v>
      </c>
      <c r="D18" s="143">
        <f t="shared" ref="D18:N18" si="1">SUM(D9:D17)</f>
        <v>0</v>
      </c>
      <c r="E18" s="143">
        <f t="shared" si="1"/>
        <v>0</v>
      </c>
      <c r="F18" s="143">
        <f t="shared" si="1"/>
        <v>0</v>
      </c>
      <c r="G18" s="143">
        <f t="shared" si="1"/>
        <v>0</v>
      </c>
      <c r="H18" s="143">
        <f t="shared" si="1"/>
        <v>0</v>
      </c>
      <c r="I18" s="143">
        <f t="shared" si="1"/>
        <v>0</v>
      </c>
      <c r="J18" s="143">
        <f t="shared" si="1"/>
        <v>0</v>
      </c>
      <c r="K18" s="143">
        <f t="shared" si="1"/>
        <v>0</v>
      </c>
      <c r="L18" s="143">
        <f t="shared" si="1"/>
        <v>0</v>
      </c>
      <c r="M18" s="143">
        <f t="shared" si="1"/>
        <v>152003.0625</v>
      </c>
      <c r="N18" s="143">
        <f t="shared" si="1"/>
        <v>304006.125</v>
      </c>
      <c r="O18" s="144">
        <f>SUM(O9:O17)</f>
        <v>12160245</v>
      </c>
      <c r="P18" s="1"/>
      <c r="Q18" s="1"/>
      <c r="R18" s="1"/>
    </row>
    <row r="19" spans="1:18" ht="15" customHeight="1">
      <c r="A19" s="1"/>
      <c r="B19" s="31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1"/>
      <c r="P19" s="1"/>
      <c r="Q19" s="1"/>
      <c r="R19" s="1"/>
    </row>
    <row r="20" spans="1:18" ht="15" customHeight="1" thickBot="1">
      <c r="A20" s="1"/>
      <c r="B20" s="1"/>
      <c r="C20" s="1"/>
      <c r="D20" s="25"/>
      <c r="E20" s="1"/>
      <c r="F20" s="1"/>
      <c r="G20" s="1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customHeight="1">
      <c r="A21" s="1"/>
      <c r="B21" s="333" t="s">
        <v>163</v>
      </c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5"/>
      <c r="P21" s="1"/>
      <c r="Q21" s="1"/>
      <c r="R21" s="1"/>
    </row>
    <row r="22" spans="1:18" ht="15" customHeight="1">
      <c r="A22" s="1"/>
      <c r="B22" s="232"/>
      <c r="C22" s="140" t="s">
        <v>7</v>
      </c>
      <c r="D22" s="140" t="s">
        <v>8</v>
      </c>
      <c r="E22" s="140" t="s">
        <v>9</v>
      </c>
      <c r="F22" s="140" t="s">
        <v>10</v>
      </c>
      <c r="G22" s="140" t="s">
        <v>11</v>
      </c>
      <c r="H22" s="140" t="s">
        <v>12</v>
      </c>
      <c r="I22" s="140" t="s">
        <v>13</v>
      </c>
      <c r="J22" s="140" t="s">
        <v>14</v>
      </c>
      <c r="K22" s="140" t="s">
        <v>15</v>
      </c>
      <c r="L22" s="140" t="s">
        <v>16</v>
      </c>
      <c r="M22" s="140" t="s">
        <v>17</v>
      </c>
      <c r="N22" s="140" t="s">
        <v>18</v>
      </c>
      <c r="O22" s="233" t="s">
        <v>19</v>
      </c>
      <c r="P22" s="1"/>
      <c r="Q22" s="25"/>
      <c r="R22" s="1"/>
    </row>
    <row r="23" spans="1:18" ht="15" customHeight="1">
      <c r="A23" s="1"/>
      <c r="B23" s="234" t="s">
        <v>153</v>
      </c>
      <c r="C23" s="159">
        <f>SUM(O23/12)*0.15</f>
        <v>449100</v>
      </c>
      <c r="D23" s="159">
        <f>SUM(O23/12)*0.3</f>
        <v>898200</v>
      </c>
      <c r="E23" s="159">
        <f>SUM(O23/12)*0.45</f>
        <v>1347300</v>
      </c>
      <c r="F23" s="159">
        <f>SUM(O23/12)*0.6</f>
        <v>1796400</v>
      </c>
      <c r="G23" s="159">
        <f>SUM(O23/12)*0.75</f>
        <v>2245500</v>
      </c>
      <c r="H23" s="159">
        <f>SUM(O23/12)*0.9</f>
        <v>2694600</v>
      </c>
      <c r="I23" s="159">
        <f>SUM(O23/12)</f>
        <v>2994000</v>
      </c>
      <c r="J23" s="159">
        <f>SUM(O23/12)</f>
        <v>2994000</v>
      </c>
      <c r="K23" s="159">
        <f>SUM(O23/12)</f>
        <v>2994000</v>
      </c>
      <c r="L23" s="159">
        <f>SUM(O23/12)</f>
        <v>2994000</v>
      </c>
      <c r="M23" s="159">
        <f>SUM(O23/12)</f>
        <v>2994000</v>
      </c>
      <c r="N23" s="159">
        <f>SUM(O23/12)</f>
        <v>2994000</v>
      </c>
      <c r="O23" s="235">
        <f>SUM('Revenue Variables'!D9*'Revenue Variables'!D10*12)</f>
        <v>35928000</v>
      </c>
      <c r="P23" s="1"/>
      <c r="Q23" s="1"/>
      <c r="R23" s="1"/>
    </row>
    <row r="24" spans="1:18" ht="15" customHeight="1">
      <c r="A24" s="1"/>
      <c r="B24" s="234" t="s">
        <v>154</v>
      </c>
      <c r="C24" s="159">
        <f>SUM(O24/12)*0.15</f>
        <v>49990</v>
      </c>
      <c r="D24" s="159">
        <f>SUM(O24/12)*0.3</f>
        <v>99980</v>
      </c>
      <c r="E24" s="159">
        <f>SUM(O24/12)*0.45</f>
        <v>149970</v>
      </c>
      <c r="F24" s="159">
        <f>SUM(O24/12)*0.6</f>
        <v>199960</v>
      </c>
      <c r="G24" s="159">
        <f>SUM(O24/12)*0.75</f>
        <v>249950</v>
      </c>
      <c r="H24" s="159">
        <f>SUM(O24/12)*0.9</f>
        <v>299940</v>
      </c>
      <c r="I24" s="159">
        <f t="shared" ref="I24:I30" si="2">SUM(O24/12)</f>
        <v>333266.66666666669</v>
      </c>
      <c r="J24" s="159">
        <f t="shared" ref="J24:J30" si="3">SUM(O24/12)</f>
        <v>333266.66666666669</v>
      </c>
      <c r="K24" s="159">
        <f t="shared" ref="K24:K30" si="4">SUM(O24/12)</f>
        <v>333266.66666666669</v>
      </c>
      <c r="L24" s="159">
        <f t="shared" ref="L24:L30" si="5">SUM(O24/12)</f>
        <v>333266.66666666669</v>
      </c>
      <c r="M24" s="159">
        <f t="shared" ref="M24:M30" si="6">SUM(O24/12)</f>
        <v>333266.66666666669</v>
      </c>
      <c r="N24" s="159">
        <f t="shared" ref="N24:N30" si="7">SUM(O24/12)</f>
        <v>333266.66666666669</v>
      </c>
      <c r="O24" s="236">
        <f>'Revenue Variables'!D11*'Revenue Variables'!D12</f>
        <v>3999200</v>
      </c>
      <c r="P24" s="1"/>
      <c r="Q24" s="1"/>
      <c r="R24" s="1"/>
    </row>
    <row r="25" spans="1:18" ht="15" customHeight="1">
      <c r="A25" s="1"/>
      <c r="B25" s="234" t="s">
        <v>155</v>
      </c>
      <c r="C25" s="159">
        <f>SUM(O25/12)*0.15</f>
        <v>6746.25</v>
      </c>
      <c r="D25" s="159">
        <f>SUM(O25/12)*0.3</f>
        <v>13492.5</v>
      </c>
      <c r="E25" s="159">
        <f>SUM(O25/12)*0.45</f>
        <v>20238.75</v>
      </c>
      <c r="F25" s="159">
        <f>SUM(O25/12)*0.6</f>
        <v>26985</v>
      </c>
      <c r="G25" s="159">
        <f>SUM(O25/12)*0.75</f>
        <v>33731.25</v>
      </c>
      <c r="H25" s="159">
        <f>SUM(O25/12)*0.9</f>
        <v>40477.5</v>
      </c>
      <c r="I25" s="159">
        <f t="shared" si="2"/>
        <v>44975</v>
      </c>
      <c r="J25" s="159">
        <f t="shared" si="3"/>
        <v>44975</v>
      </c>
      <c r="K25" s="159">
        <f t="shared" si="4"/>
        <v>44975</v>
      </c>
      <c r="L25" s="159">
        <f t="shared" si="5"/>
        <v>44975</v>
      </c>
      <c r="M25" s="159">
        <f t="shared" si="6"/>
        <v>44975</v>
      </c>
      <c r="N25" s="159">
        <f t="shared" si="7"/>
        <v>44975</v>
      </c>
      <c r="O25" s="235">
        <f>'Revenue Variables'!D13*'Revenue Variables'!D14</f>
        <v>539700</v>
      </c>
      <c r="P25" s="1"/>
      <c r="Q25" s="1"/>
      <c r="R25" s="1"/>
    </row>
    <row r="26" spans="1:18" ht="15" customHeight="1">
      <c r="A26" s="1"/>
      <c r="B26" s="234" t="s">
        <v>156</v>
      </c>
      <c r="C26" s="159">
        <f>SUM(O26/12)*0.15</f>
        <v>179820</v>
      </c>
      <c r="D26" s="159">
        <f>SUM(O26/12)*0.3</f>
        <v>359640</v>
      </c>
      <c r="E26" s="159">
        <f>SUM(O26/12)*0.45</f>
        <v>539460</v>
      </c>
      <c r="F26" s="159">
        <f>SUM(O26/12)*0.6</f>
        <v>719280</v>
      </c>
      <c r="G26" s="159">
        <f>SUM(O26/12)*0.75</f>
        <v>899100</v>
      </c>
      <c r="H26" s="159">
        <f>SUM(O26/12)*0.9</f>
        <v>1078920</v>
      </c>
      <c r="I26" s="159">
        <f t="shared" si="2"/>
        <v>1198800</v>
      </c>
      <c r="J26" s="159">
        <f t="shared" si="3"/>
        <v>1198800</v>
      </c>
      <c r="K26" s="159">
        <f t="shared" si="4"/>
        <v>1198800</v>
      </c>
      <c r="L26" s="159">
        <f t="shared" si="5"/>
        <v>1198800</v>
      </c>
      <c r="M26" s="159">
        <f t="shared" si="6"/>
        <v>1198800</v>
      </c>
      <c r="N26" s="159">
        <f t="shared" si="7"/>
        <v>1198800</v>
      </c>
      <c r="O26" s="237">
        <f>'Revenue Variables'!D15*'Revenue Variables'!D16*12</f>
        <v>14385600</v>
      </c>
      <c r="P26" s="1"/>
      <c r="Q26" s="1"/>
      <c r="R26" s="1"/>
    </row>
    <row r="27" spans="1:18" ht="15" customHeight="1">
      <c r="A27" s="1"/>
      <c r="B27" s="234" t="s">
        <v>157</v>
      </c>
      <c r="C27" s="159">
        <f>SUM(O27/12)*0.15</f>
        <v>12737.250000000002</v>
      </c>
      <c r="D27" s="159">
        <f>SUM(O27/12)*0.3</f>
        <v>25474.500000000004</v>
      </c>
      <c r="E27" s="159">
        <f>SUM(O27/12)*0.45</f>
        <v>38211.750000000007</v>
      </c>
      <c r="F27" s="159">
        <f>SUM(O27/12)*0.6</f>
        <v>50949.000000000007</v>
      </c>
      <c r="G27" s="159">
        <f>SUM(O27/12)*0.75</f>
        <v>63686.250000000015</v>
      </c>
      <c r="H27" s="159">
        <f>SUM(O27/12)*0.9</f>
        <v>76423.500000000015</v>
      </c>
      <c r="I27" s="159">
        <f t="shared" si="2"/>
        <v>84915.000000000015</v>
      </c>
      <c r="J27" s="159">
        <f t="shared" si="3"/>
        <v>84915.000000000015</v>
      </c>
      <c r="K27" s="159">
        <f t="shared" si="4"/>
        <v>84915.000000000015</v>
      </c>
      <c r="L27" s="159">
        <f t="shared" si="5"/>
        <v>84915.000000000015</v>
      </c>
      <c r="M27" s="159">
        <f t="shared" si="6"/>
        <v>84915.000000000015</v>
      </c>
      <c r="N27" s="159">
        <f t="shared" si="7"/>
        <v>84915.000000000015</v>
      </c>
      <c r="O27" s="235">
        <f>'Revenue Variables'!D17*'Revenue Variables'!D18</f>
        <v>1018980.0000000001</v>
      </c>
      <c r="P27" s="1"/>
      <c r="Q27" s="1"/>
      <c r="R27" s="1"/>
    </row>
    <row r="28" spans="1:18" ht="15" customHeight="1">
      <c r="A28" s="1"/>
      <c r="B28" s="234" t="s">
        <v>158</v>
      </c>
      <c r="C28" s="159">
        <f>SUM(O28/12)*0.15</f>
        <v>2242.5</v>
      </c>
      <c r="D28" s="159">
        <f>SUM(O28/12)*0.3</f>
        <v>4485</v>
      </c>
      <c r="E28" s="159">
        <f>SUM(O28/12)*0.45</f>
        <v>6727.5</v>
      </c>
      <c r="F28" s="159">
        <f>SUM(O28/12)*0.6</f>
        <v>8970</v>
      </c>
      <c r="G28" s="159">
        <f>SUM(O28/12)*0.75</f>
        <v>11212.5</v>
      </c>
      <c r="H28" s="159">
        <f>SUM(O28/12)*0.9</f>
        <v>13455</v>
      </c>
      <c r="I28" s="159">
        <f t="shared" si="2"/>
        <v>14950</v>
      </c>
      <c r="J28" s="159">
        <f t="shared" si="3"/>
        <v>14950</v>
      </c>
      <c r="K28" s="159">
        <f t="shared" si="4"/>
        <v>14950</v>
      </c>
      <c r="L28" s="159">
        <f t="shared" si="5"/>
        <v>14950</v>
      </c>
      <c r="M28" s="159">
        <f t="shared" si="6"/>
        <v>14950</v>
      </c>
      <c r="N28" s="159">
        <f t="shared" si="7"/>
        <v>14950</v>
      </c>
      <c r="O28" s="236">
        <f>'Revenue Variables'!D19*'Revenue Variables'!D20</f>
        <v>179400</v>
      </c>
      <c r="P28" s="1"/>
      <c r="Q28" s="1"/>
      <c r="R28" s="1"/>
    </row>
    <row r="29" spans="1:18" ht="15" customHeight="1">
      <c r="A29" s="1"/>
      <c r="B29" s="234" t="s">
        <v>159</v>
      </c>
      <c r="C29" s="159">
        <f>SUM(O29/12)*0.15</f>
        <v>746.25</v>
      </c>
      <c r="D29" s="159">
        <f>SUM(O29/12)*0.3</f>
        <v>1492.5</v>
      </c>
      <c r="E29" s="159">
        <f>SUM(O29/12)*0.45</f>
        <v>2238.75</v>
      </c>
      <c r="F29" s="159">
        <f>SUM(O29/12)*0.6</f>
        <v>2985</v>
      </c>
      <c r="G29" s="159">
        <f>SUM(O29/12)*0.75</f>
        <v>3731.25</v>
      </c>
      <c r="H29" s="159">
        <f>SUM(O29/12)*0.9</f>
        <v>4477.5</v>
      </c>
      <c r="I29" s="159">
        <f t="shared" si="2"/>
        <v>4975</v>
      </c>
      <c r="J29" s="159">
        <f t="shared" si="3"/>
        <v>4975</v>
      </c>
      <c r="K29" s="159">
        <f t="shared" si="4"/>
        <v>4975</v>
      </c>
      <c r="L29" s="159">
        <f t="shared" si="5"/>
        <v>4975</v>
      </c>
      <c r="M29" s="159">
        <f t="shared" si="6"/>
        <v>4975</v>
      </c>
      <c r="N29" s="159">
        <f t="shared" si="7"/>
        <v>4975</v>
      </c>
      <c r="O29" s="235">
        <f>'Revenue Variables'!D21*'Revenue Variables'!D22</f>
        <v>59700</v>
      </c>
      <c r="P29" s="1"/>
      <c r="Q29" s="1"/>
      <c r="R29" s="1"/>
    </row>
    <row r="30" spans="1:18" ht="15" customHeight="1">
      <c r="A30" s="1"/>
      <c r="B30" s="234" t="s">
        <v>160</v>
      </c>
      <c r="C30" s="240">
        <v>0</v>
      </c>
      <c r="D30" s="240">
        <v>0</v>
      </c>
      <c r="E30" s="240">
        <v>0</v>
      </c>
      <c r="F30" s="240">
        <v>0</v>
      </c>
      <c r="G30" s="240">
        <v>0</v>
      </c>
      <c r="H30" s="240">
        <f t="shared" ref="H24:H30" si="8">SUM(O30/12)</f>
        <v>20000</v>
      </c>
      <c r="I30" s="240">
        <f t="shared" si="2"/>
        <v>20000</v>
      </c>
      <c r="J30" s="240">
        <f t="shared" si="3"/>
        <v>20000</v>
      </c>
      <c r="K30" s="240">
        <f t="shared" si="4"/>
        <v>20000</v>
      </c>
      <c r="L30" s="240">
        <f t="shared" si="5"/>
        <v>20000</v>
      </c>
      <c r="M30" s="240">
        <f t="shared" si="6"/>
        <v>20000</v>
      </c>
      <c r="N30" s="240">
        <f t="shared" si="7"/>
        <v>20000</v>
      </c>
      <c r="O30" s="244">
        <f>'Revenue Variables'!D23*'Revenue Variables'!D24*12</f>
        <v>240000</v>
      </c>
      <c r="P30" s="1"/>
      <c r="Q30" s="1"/>
      <c r="R30" s="1"/>
    </row>
    <row r="31" spans="1:18" ht="15" customHeight="1">
      <c r="A31" s="1"/>
      <c r="B31" s="239" t="s">
        <v>161</v>
      </c>
      <c r="C31" s="243">
        <v>0</v>
      </c>
      <c r="D31" s="243">
        <v>0</v>
      </c>
      <c r="E31" s="243">
        <v>0</v>
      </c>
      <c r="F31" s="243">
        <v>0</v>
      </c>
      <c r="G31" s="243">
        <v>0</v>
      </c>
      <c r="H31" s="243">
        <v>0</v>
      </c>
      <c r="I31" s="243">
        <v>0</v>
      </c>
      <c r="J31" s="243">
        <v>0</v>
      </c>
      <c r="K31" s="243">
        <v>0</v>
      </c>
      <c r="L31" s="243">
        <v>0</v>
      </c>
      <c r="M31" s="243">
        <v>0</v>
      </c>
      <c r="N31" s="243">
        <v>0</v>
      </c>
      <c r="O31" s="245">
        <v>0</v>
      </c>
      <c r="P31" s="1"/>
      <c r="Q31" s="1"/>
      <c r="R31" s="1"/>
    </row>
    <row r="32" spans="1:18" ht="15" customHeight="1" thickBot="1">
      <c r="A32" s="1"/>
      <c r="B32" s="238" t="s">
        <v>86</v>
      </c>
      <c r="C32" s="241">
        <f>SUM(C23:C31)</f>
        <v>701382.25</v>
      </c>
      <c r="D32" s="241">
        <f t="shared" ref="D32" si="9">SUM(D23:D31)</f>
        <v>1402764.5</v>
      </c>
      <c r="E32" s="241">
        <f t="shared" ref="E32" si="10">SUM(E23:E31)</f>
        <v>2104146.75</v>
      </c>
      <c r="F32" s="241">
        <f t="shared" ref="F32" si="11">SUM(F23:F31)</f>
        <v>2805529</v>
      </c>
      <c r="G32" s="241">
        <f t="shared" ref="G32" si="12">SUM(G23:G31)</f>
        <v>3506911.25</v>
      </c>
      <c r="H32" s="241">
        <f t="shared" ref="H32" si="13">SUM(H23:H31)</f>
        <v>4228293.5</v>
      </c>
      <c r="I32" s="241">
        <f t="shared" ref="I32" si="14">SUM(I23:I31)</f>
        <v>4695881.666666666</v>
      </c>
      <c r="J32" s="241">
        <f t="shared" ref="J32" si="15">SUM(J23:J31)</f>
        <v>4695881.666666666</v>
      </c>
      <c r="K32" s="241">
        <f t="shared" ref="K32" si="16">SUM(K23:K31)</f>
        <v>4695881.666666666</v>
      </c>
      <c r="L32" s="241">
        <f t="shared" ref="L32" si="17">SUM(L23:L31)</f>
        <v>4695881.666666666</v>
      </c>
      <c r="M32" s="241">
        <f t="shared" ref="M32" si="18">SUM(M23:M31)</f>
        <v>4695881.666666666</v>
      </c>
      <c r="N32" s="241">
        <f t="shared" ref="N32" si="19">SUM(N23:N31)</f>
        <v>4695881.666666666</v>
      </c>
      <c r="O32" s="242">
        <f>SUM(O23:O31)</f>
        <v>56350580</v>
      </c>
      <c r="P32" s="92"/>
      <c r="Q32" s="1"/>
      <c r="R32" s="1"/>
    </row>
    <row r="33" spans="1:18" ht="15" customHeight="1">
      <c r="A33" s="1"/>
      <c r="B33" s="225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7"/>
      <c r="P33" s="92"/>
      <c r="Q33" s="1"/>
      <c r="R33" s="1"/>
    </row>
    <row r="34" spans="1:18" ht="15" customHeight="1">
      <c r="A34" s="1"/>
      <c r="B34" s="225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92"/>
      <c r="Q34" s="1"/>
      <c r="R34" s="1"/>
    </row>
    <row r="35" spans="1:18" ht="15" customHeight="1">
      <c r="A35" s="1"/>
      <c r="B35" s="225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9"/>
      <c r="P35" s="92"/>
      <c r="Q35" s="1"/>
      <c r="R35" s="1"/>
    </row>
    <row r="36" spans="1:18" ht="15" customHeight="1" thickBot="1">
      <c r="A36" s="1"/>
      <c r="B36" s="230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92"/>
      <c r="Q36" s="1"/>
      <c r="R36" s="1"/>
    </row>
    <row r="37" spans="1:18" ht="15" customHeight="1">
      <c r="A37" s="1"/>
      <c r="B37" s="336" t="s">
        <v>164</v>
      </c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8"/>
      <c r="P37" s="1"/>
      <c r="Q37" s="1"/>
      <c r="R37" s="1"/>
    </row>
    <row r="38" spans="1:18" ht="15" customHeight="1">
      <c r="A38" s="1"/>
      <c r="B38" s="232"/>
      <c r="C38" s="140" t="s">
        <v>7</v>
      </c>
      <c r="D38" s="140" t="s">
        <v>8</v>
      </c>
      <c r="E38" s="140" t="s">
        <v>9</v>
      </c>
      <c r="F38" s="140" t="s">
        <v>10</v>
      </c>
      <c r="G38" s="140" t="s">
        <v>11</v>
      </c>
      <c r="H38" s="140" t="s">
        <v>12</v>
      </c>
      <c r="I38" s="140" t="s">
        <v>13</v>
      </c>
      <c r="J38" s="140" t="s">
        <v>14</v>
      </c>
      <c r="K38" s="140" t="s">
        <v>15</v>
      </c>
      <c r="L38" s="140" t="s">
        <v>16</v>
      </c>
      <c r="M38" s="140" t="s">
        <v>17</v>
      </c>
      <c r="N38" s="140" t="s">
        <v>18</v>
      </c>
      <c r="O38" s="233" t="s">
        <v>19</v>
      </c>
      <c r="P38" s="1"/>
      <c r="Q38" s="1"/>
      <c r="R38" s="1"/>
    </row>
    <row r="39" spans="1:18">
      <c r="A39" s="1"/>
      <c r="B39" s="234" t="s">
        <v>153</v>
      </c>
      <c r="C39" s="159">
        <f>SUM(O39/12)*0.15</f>
        <v>2245500</v>
      </c>
      <c r="D39" s="159">
        <f>SUM(O39/12)*3</f>
        <v>44910000</v>
      </c>
      <c r="E39" s="159">
        <f>SUM(O39/12)*0.45</f>
        <v>6736500</v>
      </c>
      <c r="F39" s="159">
        <f>SUM(O39/12)*0.6</f>
        <v>8982000</v>
      </c>
      <c r="G39" s="159">
        <f>SUM(O39/12)*0.75</f>
        <v>11227500</v>
      </c>
      <c r="H39" s="159">
        <f>SUM(O39/12)*0.9</f>
        <v>13473000</v>
      </c>
      <c r="I39" s="159">
        <f>SUM(O39/12)</f>
        <v>14970000</v>
      </c>
      <c r="J39" s="159">
        <f>SUM(O39/12)</f>
        <v>14970000</v>
      </c>
      <c r="K39" s="159">
        <f>SUM(O39/12)</f>
        <v>14970000</v>
      </c>
      <c r="L39" s="159">
        <f>SUM(O39/12)</f>
        <v>14970000</v>
      </c>
      <c r="M39" s="159">
        <f>SUM(O39/12)</f>
        <v>14970000</v>
      </c>
      <c r="N39" s="159">
        <f>SUM(O39/12)</f>
        <v>14970000</v>
      </c>
      <c r="O39" s="235">
        <f>SUM('Revenue Variables'!E9*'Revenue Variables'!E10*12)</f>
        <v>179640000</v>
      </c>
      <c r="P39" s="1"/>
      <c r="Q39" s="1"/>
      <c r="R39" s="1"/>
    </row>
    <row r="40" spans="1:18">
      <c r="A40" s="1"/>
      <c r="B40" s="234" t="s">
        <v>154</v>
      </c>
      <c r="C40" s="159">
        <f>SUM(O40/12)*0.15</f>
        <v>249949.99999999997</v>
      </c>
      <c r="D40" s="159">
        <f>SUM(O40/12)*0.3</f>
        <v>499899.99999999994</v>
      </c>
      <c r="E40" s="159">
        <f>SUM(O40/12)*0.45</f>
        <v>749850</v>
      </c>
      <c r="F40" s="159">
        <f>SUM(O40/12)*0.6</f>
        <v>999799.99999999988</v>
      </c>
      <c r="G40" s="159">
        <f>SUM(O40/12)*0.75</f>
        <v>1249750</v>
      </c>
      <c r="H40" s="159">
        <f>SUM(O40/12)*0.9</f>
        <v>1499700</v>
      </c>
      <c r="I40" s="159">
        <f t="shared" ref="I40:I46" si="20">SUM(O40/12)</f>
        <v>1666333.3333333333</v>
      </c>
      <c r="J40" s="159">
        <f t="shared" ref="J40:J46" si="21">SUM(O40/12)</f>
        <v>1666333.3333333333</v>
      </c>
      <c r="K40" s="159">
        <f t="shared" ref="K40:K46" si="22">SUM(O40/12)</f>
        <v>1666333.3333333333</v>
      </c>
      <c r="L40" s="159">
        <f t="shared" ref="L40:L46" si="23">SUM(O40/12)</f>
        <v>1666333.3333333333</v>
      </c>
      <c r="M40" s="159">
        <f t="shared" ref="M40:M46" si="24">SUM(O40/12)</f>
        <v>1666333.3333333333</v>
      </c>
      <c r="N40" s="159">
        <f t="shared" ref="N40:N46" si="25">SUM(O40/12)</f>
        <v>1666333.3333333333</v>
      </c>
      <c r="O40" s="236">
        <f>'Revenue Variables'!E11*'Revenue Variables'!E12</f>
        <v>19996000</v>
      </c>
      <c r="P40" s="1"/>
      <c r="Q40" s="1"/>
      <c r="R40" s="1"/>
    </row>
    <row r="41" spans="1:18">
      <c r="A41" s="1"/>
      <c r="B41" s="234" t="s">
        <v>155</v>
      </c>
      <c r="C41" s="159">
        <f>SUM(O41/12)*0.15</f>
        <v>33731.249999999993</v>
      </c>
      <c r="D41" s="159">
        <f>SUM(O41/12)*0.3</f>
        <v>67462.499999999985</v>
      </c>
      <c r="E41" s="159">
        <f>SUM(O41/12)*0.45</f>
        <v>101193.74999999999</v>
      </c>
      <c r="F41" s="159">
        <f>SUM(O41/12)*0.6</f>
        <v>134924.99999999997</v>
      </c>
      <c r="G41" s="159">
        <f>SUM(O41/12)*0.75</f>
        <v>168656.24999999997</v>
      </c>
      <c r="H41" s="159">
        <f>SUM(O41/12)*0.9</f>
        <v>202387.49999999997</v>
      </c>
      <c r="I41" s="159">
        <f t="shared" si="20"/>
        <v>224874.99999999997</v>
      </c>
      <c r="J41" s="159">
        <f t="shared" si="21"/>
        <v>224874.99999999997</v>
      </c>
      <c r="K41" s="159">
        <f t="shared" si="22"/>
        <v>224874.99999999997</v>
      </c>
      <c r="L41" s="159">
        <f t="shared" si="23"/>
        <v>224874.99999999997</v>
      </c>
      <c r="M41" s="159">
        <f t="shared" si="24"/>
        <v>224874.99999999997</v>
      </c>
      <c r="N41" s="159">
        <f t="shared" si="25"/>
        <v>224874.99999999997</v>
      </c>
      <c r="O41" s="235">
        <f>'Revenue Variables'!E13*'Revenue Variables'!E14</f>
        <v>2698499.9999999995</v>
      </c>
      <c r="P41" s="1"/>
      <c r="Q41" s="1"/>
      <c r="R41" s="1"/>
    </row>
    <row r="42" spans="1:18">
      <c r="B42" s="234" t="s">
        <v>156</v>
      </c>
      <c r="C42" s="159">
        <f>SUM(O42/12)*0.15</f>
        <v>899100</v>
      </c>
      <c r="D42" s="159">
        <f>SUM(O42/12)*0.3</f>
        <v>1798200</v>
      </c>
      <c r="E42" s="159">
        <f>SUM(O42/12)*0.45</f>
        <v>2697300</v>
      </c>
      <c r="F42" s="159">
        <f>SUM(O42/12)*0.6</f>
        <v>3596400</v>
      </c>
      <c r="G42" s="159">
        <f>SUM(O42/12)*0.75</f>
        <v>4495500</v>
      </c>
      <c r="H42" s="159">
        <f>SUM(O42/12)*0.9</f>
        <v>5394600</v>
      </c>
      <c r="I42" s="159">
        <f t="shared" si="20"/>
        <v>5994000</v>
      </c>
      <c r="J42" s="159">
        <f t="shared" si="21"/>
        <v>5994000</v>
      </c>
      <c r="K42" s="159">
        <f t="shared" si="22"/>
        <v>5994000</v>
      </c>
      <c r="L42" s="159">
        <f t="shared" si="23"/>
        <v>5994000</v>
      </c>
      <c r="M42" s="159">
        <f t="shared" si="24"/>
        <v>5994000</v>
      </c>
      <c r="N42" s="159">
        <f t="shared" si="25"/>
        <v>5994000</v>
      </c>
      <c r="O42" s="237">
        <f>'Revenue Variables'!E15*'Revenue Variables'!E16*12</f>
        <v>71928000</v>
      </c>
      <c r="P42" s="1"/>
      <c r="Q42" s="1"/>
      <c r="R42" s="1"/>
    </row>
    <row r="43" spans="1:18">
      <c r="B43" s="234" t="s">
        <v>157</v>
      </c>
      <c r="C43" s="159">
        <f>SUM(O43/12)*0.15</f>
        <v>63686.250000000007</v>
      </c>
      <c r="D43" s="159">
        <f>SUM(O43/12)*0.3</f>
        <v>127372.50000000001</v>
      </c>
      <c r="E43" s="159">
        <f>SUM(O43/12)*0.45</f>
        <v>191058.75000000003</v>
      </c>
      <c r="F43" s="159">
        <f>SUM(O43/12)*0.6</f>
        <v>254745.00000000003</v>
      </c>
      <c r="G43" s="159">
        <f>SUM(O43/12)*0.75</f>
        <v>318431.25000000006</v>
      </c>
      <c r="H43" s="159">
        <f>SUM(O43/12)*0.9</f>
        <v>382117.50000000006</v>
      </c>
      <c r="I43" s="159">
        <f t="shared" si="20"/>
        <v>424575.00000000006</v>
      </c>
      <c r="J43" s="159">
        <f t="shared" si="21"/>
        <v>424575.00000000006</v>
      </c>
      <c r="K43" s="159">
        <f t="shared" si="22"/>
        <v>424575.00000000006</v>
      </c>
      <c r="L43" s="159">
        <f t="shared" si="23"/>
        <v>424575.00000000006</v>
      </c>
      <c r="M43" s="159">
        <f t="shared" si="24"/>
        <v>424575.00000000006</v>
      </c>
      <c r="N43" s="159">
        <f t="shared" si="25"/>
        <v>424575.00000000006</v>
      </c>
      <c r="O43" s="235">
        <f>'Revenue Variables'!E17*'Revenue Variables'!E18</f>
        <v>5094900.0000000009</v>
      </c>
      <c r="P43" s="1"/>
      <c r="Q43" s="1"/>
      <c r="R43" s="1"/>
    </row>
    <row r="44" spans="1:18">
      <c r="B44" s="234" t="s">
        <v>158</v>
      </c>
      <c r="C44" s="159">
        <f>SUM(O44/12)*0.15</f>
        <v>11212.500000000002</v>
      </c>
      <c r="D44" s="159">
        <f>SUM(O44/12)*0.3</f>
        <v>22425.000000000004</v>
      </c>
      <c r="E44" s="159">
        <f>SUM(O44/12)*0.45</f>
        <v>33637.500000000007</v>
      </c>
      <c r="F44" s="159">
        <f>SUM(O44/12)*0.6</f>
        <v>44850.000000000007</v>
      </c>
      <c r="G44" s="159">
        <f>SUM(O44/12)*0.75</f>
        <v>56062.500000000015</v>
      </c>
      <c r="H44" s="159">
        <f>SUM(O44/12)*0.9</f>
        <v>67275.000000000015</v>
      </c>
      <c r="I44" s="159">
        <f t="shared" si="20"/>
        <v>74750.000000000015</v>
      </c>
      <c r="J44" s="159">
        <f t="shared" si="21"/>
        <v>74750.000000000015</v>
      </c>
      <c r="K44" s="159">
        <f t="shared" si="22"/>
        <v>74750.000000000015</v>
      </c>
      <c r="L44" s="159">
        <f t="shared" si="23"/>
        <v>74750.000000000015</v>
      </c>
      <c r="M44" s="159">
        <f t="shared" si="24"/>
        <v>74750.000000000015</v>
      </c>
      <c r="N44" s="159">
        <f t="shared" si="25"/>
        <v>74750.000000000015</v>
      </c>
      <c r="O44" s="236">
        <f>'Revenue Variables'!E19*'Revenue Variables'!E20</f>
        <v>897000.00000000012</v>
      </c>
      <c r="P44" s="1"/>
      <c r="Q44" s="1"/>
      <c r="R44" s="1"/>
    </row>
    <row r="45" spans="1:18" ht="15" customHeight="1">
      <c r="B45" s="234" t="s">
        <v>159</v>
      </c>
      <c r="C45" s="240">
        <f>SUM(O45/12)*0.15</f>
        <v>3731.25</v>
      </c>
      <c r="D45" s="240">
        <f>SUM(O45/12)*0.3</f>
        <v>7462.5</v>
      </c>
      <c r="E45" s="240">
        <f>SUM(O45/12)*0.45</f>
        <v>11193.75</v>
      </c>
      <c r="F45" s="240">
        <f>SUM(O45/12)*0.6</f>
        <v>14925</v>
      </c>
      <c r="G45" s="240">
        <f>SUM(O45/12)*0.75</f>
        <v>18656.25</v>
      </c>
      <c r="H45" s="240">
        <f>SUM(O45/12)*0.9</f>
        <v>22387.5</v>
      </c>
      <c r="I45" s="240">
        <f t="shared" si="20"/>
        <v>24875</v>
      </c>
      <c r="J45" s="240">
        <f t="shared" si="21"/>
        <v>24875</v>
      </c>
      <c r="K45" s="240">
        <f t="shared" si="22"/>
        <v>24875</v>
      </c>
      <c r="L45" s="240">
        <f t="shared" si="23"/>
        <v>24875</v>
      </c>
      <c r="M45" s="240">
        <f t="shared" si="24"/>
        <v>24875</v>
      </c>
      <c r="N45" s="240">
        <f t="shared" si="25"/>
        <v>24875</v>
      </c>
      <c r="O45" s="244">
        <f>'Revenue Variables'!E21*'Revenue Variables'!E22</f>
        <v>298500</v>
      </c>
    </row>
    <row r="46" spans="1:18" ht="15" customHeight="1">
      <c r="B46" s="239" t="s">
        <v>160</v>
      </c>
      <c r="C46" s="288">
        <f>SUM(O46/12)*0.15</f>
        <v>4500</v>
      </c>
      <c r="D46" s="288">
        <f>SUM(O46/12)*0.3</f>
        <v>9000</v>
      </c>
      <c r="E46" s="288">
        <f>SUM(O46/12)*0.45</f>
        <v>13500</v>
      </c>
      <c r="F46" s="288">
        <f>SUM(O46/12)*0.6</f>
        <v>18000</v>
      </c>
      <c r="G46" s="288">
        <f>SUM(O46/12)*0.75</f>
        <v>22500</v>
      </c>
      <c r="H46" s="288">
        <f>SUM(O46/12)*0.9</f>
        <v>27000</v>
      </c>
      <c r="I46" s="288">
        <f t="shared" si="20"/>
        <v>30000</v>
      </c>
      <c r="J46" s="288">
        <f t="shared" si="21"/>
        <v>30000</v>
      </c>
      <c r="K46" s="288">
        <f t="shared" si="22"/>
        <v>30000</v>
      </c>
      <c r="L46" s="288">
        <f t="shared" si="23"/>
        <v>30000</v>
      </c>
      <c r="M46" s="288">
        <f t="shared" si="24"/>
        <v>30000</v>
      </c>
      <c r="N46" s="288">
        <f t="shared" si="25"/>
        <v>30000</v>
      </c>
      <c r="O46" s="289">
        <f>'Revenue Variables'!E23*'Revenue Variables'!E24*12</f>
        <v>360000</v>
      </c>
    </row>
    <row r="47" spans="1:18" ht="15" customHeight="1">
      <c r="B47" s="239" t="s">
        <v>161</v>
      </c>
      <c r="C47" s="243">
        <v>0</v>
      </c>
      <c r="D47" s="243">
        <v>0</v>
      </c>
      <c r="E47" s="243">
        <v>0</v>
      </c>
      <c r="F47" s="243">
        <v>0</v>
      </c>
      <c r="G47" s="243">
        <v>0</v>
      </c>
      <c r="H47" s="243">
        <v>0</v>
      </c>
      <c r="I47" s="243">
        <v>0</v>
      </c>
      <c r="J47" s="243">
        <v>0</v>
      </c>
      <c r="K47" s="243">
        <v>0</v>
      </c>
      <c r="L47" s="243">
        <v>0</v>
      </c>
      <c r="M47" s="243">
        <v>0</v>
      </c>
      <c r="N47" s="243">
        <v>0</v>
      </c>
      <c r="O47" s="245">
        <v>0</v>
      </c>
    </row>
    <row r="48" spans="1:18" ht="15" customHeight="1" thickBot="1">
      <c r="B48" s="238" t="s">
        <v>86</v>
      </c>
      <c r="C48" s="241">
        <f>SUM(C39:C47)</f>
        <v>3511411.25</v>
      </c>
      <c r="D48" s="241">
        <f t="shared" ref="D48" si="26">SUM(D39:D47)</f>
        <v>47441822.5</v>
      </c>
      <c r="E48" s="241">
        <f t="shared" ref="E48" si="27">SUM(E39:E47)</f>
        <v>10534233.75</v>
      </c>
      <c r="F48" s="241">
        <f t="shared" ref="F48" si="28">SUM(F39:F47)</f>
        <v>14045645</v>
      </c>
      <c r="G48" s="241">
        <f t="shared" ref="G48" si="29">SUM(G39:G47)</f>
        <v>17557056.25</v>
      </c>
      <c r="H48" s="241">
        <f t="shared" ref="H48" si="30">SUM(H39:H47)</f>
        <v>21068467.5</v>
      </c>
      <c r="I48" s="241">
        <f t="shared" ref="I48" si="31">SUM(I39:I47)</f>
        <v>23409408.333333332</v>
      </c>
      <c r="J48" s="241">
        <f t="shared" ref="J48" si="32">SUM(J39:J47)</f>
        <v>23409408.333333332</v>
      </c>
      <c r="K48" s="241">
        <f t="shared" ref="K48" si="33">SUM(K39:K47)</f>
        <v>23409408.333333332</v>
      </c>
      <c r="L48" s="241">
        <f t="shared" ref="L48" si="34">SUM(L39:L47)</f>
        <v>23409408.333333332</v>
      </c>
      <c r="M48" s="241">
        <f t="shared" ref="M48" si="35">SUM(M39:M47)</f>
        <v>23409408.333333332</v>
      </c>
      <c r="N48" s="241">
        <f t="shared" ref="N48" si="36">SUM(N39:N47)</f>
        <v>23409408.333333332</v>
      </c>
      <c r="O48" s="242">
        <f>SUM(O39:O47)</f>
        <v>280912900</v>
      </c>
    </row>
    <row r="53" spans="14:14" ht="15" customHeight="1">
      <c r="N53" s="365"/>
    </row>
  </sheetData>
  <mergeCells count="4">
    <mergeCell ref="B1:O5"/>
    <mergeCell ref="B7:O7"/>
    <mergeCell ref="B21:O21"/>
    <mergeCell ref="B37:O37"/>
  </mergeCells>
  <pageMargins left="0.7" right="0.7" top="0.75" bottom="0.75" header="0.3" footer="0.3"/>
  <ignoredErrors>
    <ignoredError sqref="O17 F24:H24 C24:D2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34998626667073579"/>
  </sheetPr>
  <dimension ref="A1:AC1002"/>
  <sheetViews>
    <sheetView workbookViewId="0">
      <selection activeCell="N53" sqref="N53"/>
    </sheetView>
  </sheetViews>
  <sheetFormatPr defaultColWidth="14.42578125" defaultRowHeight="15" customHeight="1"/>
  <cols>
    <col min="1" max="1" width="65.85546875" customWidth="1"/>
    <col min="2" max="2" width="69.5703125" bestFit="1" customWidth="1"/>
    <col min="3" max="3" width="15.85546875" customWidth="1"/>
    <col min="4" max="5" width="15.28515625" bestFit="1" customWidth="1"/>
    <col min="6" max="6" width="14.7109375" customWidth="1"/>
    <col min="7" max="7" width="16.140625" customWidth="1"/>
    <col min="8" max="8" width="18.7109375" customWidth="1"/>
    <col min="9" max="9" width="10.85546875" customWidth="1"/>
    <col min="10" max="29" width="10.7109375" customWidth="1"/>
  </cols>
  <sheetData>
    <row r="1" spans="1:29" ht="84" customHeight="1">
      <c r="A1" s="1"/>
      <c r="B1" s="1"/>
      <c r="C1" s="1"/>
      <c r="D1" s="92"/>
      <c r="E1" s="92"/>
      <c r="F1" s="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customHeight="1">
      <c r="A2" s="1"/>
      <c r="B2" s="342" t="s">
        <v>31</v>
      </c>
      <c r="C2" s="342"/>
      <c r="D2" s="342"/>
      <c r="E2" s="342"/>
      <c r="F2" s="118"/>
      <c r="G2" s="153"/>
      <c r="H2" s="15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342"/>
      <c r="C3" s="342"/>
      <c r="D3" s="342"/>
      <c r="E3" s="342"/>
      <c r="H3" s="15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342"/>
      <c r="C4" s="342"/>
      <c r="D4" s="342"/>
      <c r="E4" s="342"/>
      <c r="H4" s="15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9" customHeight="1" thickBot="1">
      <c r="A5" s="1"/>
      <c r="B5" s="343"/>
      <c r="C5" s="343"/>
      <c r="D5" s="343"/>
      <c r="E5" s="343"/>
      <c r="F5" s="118"/>
      <c r="G5" s="156"/>
      <c r="H5" s="15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6.5" thickBot="1">
      <c r="A6" s="1"/>
      <c r="B6" s="339" t="s">
        <v>31</v>
      </c>
      <c r="C6" s="340"/>
      <c r="D6" s="340"/>
      <c r="E6" s="341"/>
      <c r="F6" s="152"/>
      <c r="G6" s="152"/>
      <c r="H6" s="15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thickBot="1">
      <c r="A7" s="1"/>
      <c r="B7" s="257"/>
      <c r="C7" s="258">
        <v>2023</v>
      </c>
      <c r="D7" s="258">
        <v>2024</v>
      </c>
      <c r="E7" s="259">
        <v>2025</v>
      </c>
      <c r="F7" s="92"/>
      <c r="G7" s="92"/>
      <c r="H7" s="9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9">
      <c r="A8" s="1"/>
      <c r="B8" s="260" t="s">
        <v>135</v>
      </c>
      <c r="C8" s="261">
        <v>1</v>
      </c>
      <c r="D8" s="261">
        <v>4</v>
      </c>
      <c r="E8" s="262">
        <v>20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>
      <c r="A9" s="92"/>
      <c r="B9" s="263" t="s">
        <v>136</v>
      </c>
      <c r="C9" s="247">
        <v>150000</v>
      </c>
      <c r="D9" s="247">
        <f>C9*D8</f>
        <v>600000</v>
      </c>
      <c r="E9" s="264">
        <f>C9*E8</f>
        <v>3000000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9">
      <c r="A10" s="92"/>
      <c r="B10" s="263" t="s">
        <v>142</v>
      </c>
      <c r="C10" s="246">
        <v>4.99</v>
      </c>
      <c r="D10" s="246">
        <v>4.99</v>
      </c>
      <c r="E10" s="265">
        <v>4.99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9">
      <c r="A11" s="92"/>
      <c r="B11" s="263" t="s">
        <v>137</v>
      </c>
      <c r="C11" s="247">
        <v>20000</v>
      </c>
      <c r="D11" s="247">
        <f>C11*D8</f>
        <v>80000</v>
      </c>
      <c r="E11" s="264">
        <f>C11*E8</f>
        <v>400000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9">
      <c r="A12" s="92"/>
      <c r="B12" s="263" t="s">
        <v>140</v>
      </c>
      <c r="C12" s="246">
        <v>49.99</v>
      </c>
      <c r="D12" s="246">
        <v>49.99</v>
      </c>
      <c r="E12" s="265">
        <v>49.99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9">
      <c r="A13" s="92"/>
      <c r="B13" s="263" t="s">
        <v>138</v>
      </c>
      <c r="C13" s="247">
        <v>5000</v>
      </c>
      <c r="D13" s="247">
        <v>30000</v>
      </c>
      <c r="E13" s="264">
        <v>150000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9">
      <c r="A14" s="92"/>
      <c r="B14" s="263" t="s">
        <v>139</v>
      </c>
      <c r="C14" s="246">
        <v>17.989999999999998</v>
      </c>
      <c r="D14" s="246">
        <v>17.989999999999998</v>
      </c>
      <c r="E14" s="265">
        <v>17.989999999999998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9" s="106" customFormat="1">
      <c r="A15" s="105"/>
      <c r="B15" s="266" t="s">
        <v>148</v>
      </c>
      <c r="C15" s="223">
        <f>SUM(C9*0.2)</f>
        <v>30000</v>
      </c>
      <c r="D15" s="223">
        <f t="shared" ref="D15:E15" si="0">SUM(D9*0.2)</f>
        <v>120000</v>
      </c>
      <c r="E15" s="267">
        <f t="shared" si="0"/>
        <v>600000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9">
      <c r="A16" s="92"/>
      <c r="B16" s="263" t="s">
        <v>166</v>
      </c>
      <c r="C16" s="246">
        <v>4.99</v>
      </c>
      <c r="D16" s="246">
        <v>9.99</v>
      </c>
      <c r="E16" s="265">
        <v>9.99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 s="106" customFormat="1">
      <c r="A17" s="105"/>
      <c r="B17" s="266" t="s">
        <v>149</v>
      </c>
      <c r="C17" s="223">
        <f>SUM(C9*0.17)</f>
        <v>25500.000000000004</v>
      </c>
      <c r="D17" s="223">
        <f t="shared" ref="D17:E17" si="1">SUM(D9*0.17)</f>
        <v>102000.00000000001</v>
      </c>
      <c r="E17" s="267">
        <f t="shared" si="1"/>
        <v>510000.00000000006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>
      <c r="A18" s="92"/>
      <c r="B18" s="263" t="s">
        <v>141</v>
      </c>
      <c r="C18" s="246">
        <v>9.99</v>
      </c>
      <c r="D18" s="246">
        <v>9.99</v>
      </c>
      <c r="E18" s="265">
        <v>9.99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 s="106" customFormat="1">
      <c r="A19" s="105"/>
      <c r="B19" s="266" t="s">
        <v>167</v>
      </c>
      <c r="C19" s="223">
        <f>SUM(C9*0.05)</f>
        <v>7500</v>
      </c>
      <c r="D19" s="223">
        <f t="shared" ref="D19:E19" si="2">SUM(D9*0.1)</f>
        <v>60000</v>
      </c>
      <c r="E19" s="267">
        <f t="shared" si="2"/>
        <v>300000</v>
      </c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s="106" customFormat="1">
      <c r="A20" s="105"/>
      <c r="B20" s="266" t="s">
        <v>168</v>
      </c>
      <c r="C20" s="246">
        <v>2.99</v>
      </c>
      <c r="D20" s="246">
        <v>2.99</v>
      </c>
      <c r="E20" s="265">
        <v>2.99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s="106" customFormat="1">
      <c r="A21" s="105"/>
      <c r="B21" s="266" t="s">
        <v>145</v>
      </c>
      <c r="C21" s="223">
        <f>SUM(C9*0.05)</f>
        <v>7500</v>
      </c>
      <c r="D21" s="223">
        <f t="shared" ref="D21:E21" si="3">SUM(D9*0.05)</f>
        <v>30000</v>
      </c>
      <c r="E21" s="267">
        <f t="shared" si="3"/>
        <v>150000</v>
      </c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>
      <c r="A22" s="92"/>
      <c r="B22" s="263" t="s">
        <v>146</v>
      </c>
      <c r="C22" s="246">
        <v>1.99</v>
      </c>
      <c r="D22" s="246">
        <v>1.99</v>
      </c>
      <c r="E22" s="265">
        <v>1.99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>
      <c r="A23" s="92"/>
      <c r="B23" s="263" t="s">
        <v>147</v>
      </c>
      <c r="C23" s="247">
        <v>10</v>
      </c>
      <c r="D23" s="247">
        <v>20</v>
      </c>
      <c r="E23" s="264">
        <v>30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>
      <c r="A24" s="92"/>
      <c r="B24" s="263" t="s">
        <v>151</v>
      </c>
      <c r="C24" s="248">
        <v>1000</v>
      </c>
      <c r="D24" s="248">
        <v>1000</v>
      </c>
      <c r="E24" s="268">
        <v>1000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>
      <c r="A25" s="92"/>
      <c r="B25" s="263" t="s">
        <v>144</v>
      </c>
      <c r="C25" s="247"/>
      <c r="D25" s="247"/>
      <c r="E25" s="264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>
      <c r="A26" s="92"/>
      <c r="B26" s="263" t="s">
        <v>143</v>
      </c>
      <c r="C26" s="247"/>
      <c r="D26" s="247"/>
      <c r="E26" s="264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5.75" thickBot="1">
      <c r="A27" s="1"/>
      <c r="B27" s="278"/>
      <c r="C27" s="279"/>
      <c r="D27" s="279"/>
      <c r="E27" s="28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>
      <c r="A28" s="1"/>
      <c r="B28" s="275" t="s">
        <v>80</v>
      </c>
      <c r="C28" s="276">
        <v>4</v>
      </c>
      <c r="D28" s="276">
        <v>4</v>
      </c>
      <c r="E28" s="277">
        <v>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idden="1">
      <c r="A29" s="1"/>
      <c r="B29" s="269" t="s">
        <v>32</v>
      </c>
      <c r="C29" s="122">
        <v>1</v>
      </c>
      <c r="D29" s="122">
        <v>1</v>
      </c>
      <c r="E29" s="270">
        <v>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hidden="1" customHeight="1">
      <c r="A30" s="1"/>
      <c r="B30" s="269" t="s">
        <v>85</v>
      </c>
      <c r="C30" s="108">
        <v>6000</v>
      </c>
      <c r="D30" s="108">
        <v>6000</v>
      </c>
      <c r="E30" s="271">
        <v>6000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hidden="1" customHeight="1" thickBot="1">
      <c r="A31" s="1"/>
      <c r="B31" s="269" t="s">
        <v>92</v>
      </c>
      <c r="C31" s="108">
        <v>1000</v>
      </c>
      <c r="D31" s="108">
        <v>1000</v>
      </c>
      <c r="E31" s="271">
        <v>1000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272" t="s">
        <v>150</v>
      </c>
      <c r="C32" s="273">
        <f>SUM(C10*C9*12)+(C11*C12)+(C13*C14)+(C15*C16*12)+(C17*C18)+(C19*C20)+(C21*C22)+(C23*C24*12)</f>
        <v>12280245</v>
      </c>
      <c r="D32" s="273">
        <f t="shared" ref="D32:E32" si="4">SUM(D10*D9*12)+(D11*D12)+(D13*D14)+(D15*D16*12)+(D17*D18)+(D19*D20)+(D21*D22)+(D23*D24*12)</f>
        <v>56350580</v>
      </c>
      <c r="E32" s="274">
        <f t="shared" si="4"/>
        <v>280912900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9">
      <c r="A33" s="1"/>
      <c r="B33" s="1"/>
      <c r="C33" s="1"/>
      <c r="D33" s="92"/>
      <c r="E33" s="92"/>
      <c r="F33" s="9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92"/>
      <c r="E34" s="92"/>
      <c r="F34" s="9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24"/>
      <c r="D35" s="149"/>
      <c r="E35" s="149"/>
      <c r="F35" s="14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24"/>
      <c r="D36" s="149"/>
      <c r="E36" s="149"/>
      <c r="F36" s="14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92"/>
      <c r="E37" s="92"/>
      <c r="F37" s="9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92"/>
      <c r="E38" s="92"/>
      <c r="F38" s="9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92"/>
      <c r="E39" s="92"/>
      <c r="F39" s="9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92"/>
      <c r="E40" s="92"/>
      <c r="F40" s="9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92"/>
      <c r="E41" s="92"/>
      <c r="F41" s="9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92"/>
      <c r="E42" s="92"/>
      <c r="F42" s="9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92"/>
      <c r="E43" s="92"/>
      <c r="F43" s="9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92"/>
      <c r="E44" s="92"/>
      <c r="F44" s="9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92"/>
      <c r="E45" s="92"/>
      <c r="F45" s="9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92"/>
      <c r="E46" s="92"/>
      <c r="F46" s="9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92"/>
      <c r="E47" s="92"/>
      <c r="F47" s="9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92"/>
      <c r="E48" s="92"/>
      <c r="F48" s="9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92"/>
      <c r="E49" s="92"/>
      <c r="F49" s="9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92"/>
      <c r="E50" s="92"/>
      <c r="F50" s="9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92"/>
      <c r="E51" s="92"/>
      <c r="F51" s="9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92"/>
      <c r="E52" s="92"/>
      <c r="F52" s="9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92"/>
      <c r="E53" s="92"/>
      <c r="F53" s="92"/>
      <c r="G53" s="1"/>
      <c r="H53" s="1"/>
      <c r="I53" s="1"/>
      <c r="J53" s="1"/>
      <c r="K53" s="1"/>
      <c r="L53" s="1"/>
      <c r="M53" s="1"/>
      <c r="N53" s="36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92"/>
      <c r="E54" s="92"/>
      <c r="F54" s="9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92"/>
      <c r="E55" s="92"/>
      <c r="F55" s="9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92"/>
      <c r="E56" s="92"/>
      <c r="F56" s="9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92"/>
      <c r="E57" s="92"/>
      <c r="F57" s="9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92"/>
      <c r="E58" s="92"/>
      <c r="F58" s="9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92"/>
      <c r="E59" s="92"/>
      <c r="F59" s="9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92"/>
      <c r="E60" s="92"/>
      <c r="F60" s="9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92"/>
      <c r="E61" s="92"/>
      <c r="F61" s="9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92"/>
      <c r="E62" s="92"/>
      <c r="F62" s="9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92"/>
      <c r="E63" s="92"/>
      <c r="F63" s="9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92"/>
      <c r="E64" s="92"/>
      <c r="F64" s="9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92"/>
      <c r="E65" s="92"/>
      <c r="F65" s="9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92"/>
      <c r="E66" s="92"/>
      <c r="F66" s="9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92"/>
      <c r="E67" s="92"/>
      <c r="F67" s="9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92"/>
      <c r="E68" s="92"/>
      <c r="F68" s="9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92"/>
      <c r="E69" s="92"/>
      <c r="F69" s="9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92"/>
      <c r="E70" s="92"/>
      <c r="F70" s="9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92"/>
      <c r="E71" s="92"/>
      <c r="F71" s="9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92"/>
      <c r="E72" s="92"/>
      <c r="F72" s="9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92"/>
      <c r="E73" s="92"/>
      <c r="F73" s="9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92"/>
      <c r="E74" s="92"/>
      <c r="F74" s="9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92"/>
      <c r="E75" s="92"/>
      <c r="F75" s="9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92"/>
      <c r="E76" s="92"/>
      <c r="F76" s="9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92"/>
      <c r="E77" s="92"/>
      <c r="F77" s="9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92"/>
      <c r="E78" s="92"/>
      <c r="F78" s="9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92"/>
      <c r="E79" s="92"/>
      <c r="F79" s="9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92"/>
      <c r="E80" s="92"/>
      <c r="F80" s="9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92"/>
      <c r="E81" s="92"/>
      <c r="F81" s="9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92"/>
      <c r="E82" s="92"/>
      <c r="F82" s="9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92"/>
      <c r="E83" s="92"/>
      <c r="F83" s="9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92"/>
      <c r="E84" s="92"/>
      <c r="F84" s="9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92"/>
      <c r="E85" s="92"/>
      <c r="F85" s="9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92"/>
      <c r="E86" s="92"/>
      <c r="F86" s="9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92"/>
      <c r="E87" s="92"/>
      <c r="F87" s="9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92"/>
      <c r="E88" s="92"/>
      <c r="F88" s="9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92"/>
      <c r="E89" s="92"/>
      <c r="F89" s="9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92"/>
      <c r="E90" s="92"/>
      <c r="F90" s="9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92"/>
      <c r="E91" s="92"/>
      <c r="F91" s="9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92"/>
      <c r="E92" s="92"/>
      <c r="F92" s="9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92"/>
      <c r="E93" s="92"/>
      <c r="F93" s="9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92"/>
      <c r="E94" s="92"/>
      <c r="F94" s="9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92"/>
      <c r="E95" s="92"/>
      <c r="F95" s="9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92"/>
      <c r="E96" s="92"/>
      <c r="F96" s="9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92"/>
      <c r="E97" s="92"/>
      <c r="F97" s="9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92"/>
      <c r="E98" s="92"/>
      <c r="F98" s="9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92"/>
      <c r="E99" s="92"/>
      <c r="F99" s="9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92"/>
      <c r="E100" s="92"/>
      <c r="F100" s="9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92"/>
      <c r="E101" s="92"/>
      <c r="F101" s="9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92"/>
      <c r="E102" s="92"/>
      <c r="F102" s="9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92"/>
      <c r="E103" s="92"/>
      <c r="F103" s="9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92"/>
      <c r="E104" s="92"/>
      <c r="F104" s="9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92"/>
      <c r="E105" s="92"/>
      <c r="F105" s="9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92"/>
      <c r="E106" s="92"/>
      <c r="F106" s="9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92"/>
      <c r="E107" s="92"/>
      <c r="F107" s="9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92"/>
      <c r="E108" s="92"/>
      <c r="F108" s="9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92"/>
      <c r="E109" s="92"/>
      <c r="F109" s="9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92"/>
      <c r="E110" s="92"/>
      <c r="F110" s="9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92"/>
      <c r="E111" s="92"/>
      <c r="F111" s="9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92"/>
      <c r="E112" s="92"/>
      <c r="F112" s="9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92"/>
      <c r="E113" s="92"/>
      <c r="F113" s="9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92"/>
      <c r="E114" s="92"/>
      <c r="F114" s="9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92"/>
      <c r="E115" s="92"/>
      <c r="F115" s="9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92"/>
      <c r="E116" s="92"/>
      <c r="F116" s="9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92"/>
      <c r="E117" s="92"/>
      <c r="F117" s="9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92"/>
      <c r="E118" s="92"/>
      <c r="F118" s="9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92"/>
      <c r="E119" s="92"/>
      <c r="F119" s="9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92"/>
      <c r="E120" s="92"/>
      <c r="F120" s="9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92"/>
      <c r="E121" s="92"/>
      <c r="F121" s="9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92"/>
      <c r="E122" s="92"/>
      <c r="F122" s="9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92"/>
      <c r="E123" s="92"/>
      <c r="F123" s="9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92"/>
      <c r="E124" s="92"/>
      <c r="F124" s="9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92"/>
      <c r="E125" s="92"/>
      <c r="F125" s="9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92"/>
      <c r="E126" s="92"/>
      <c r="F126" s="9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92"/>
      <c r="E127" s="92"/>
      <c r="F127" s="9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92"/>
      <c r="E128" s="92"/>
      <c r="F128" s="9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92"/>
      <c r="E129" s="92"/>
      <c r="F129" s="9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92"/>
      <c r="E130" s="92"/>
      <c r="F130" s="9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92"/>
      <c r="E131" s="92"/>
      <c r="F131" s="9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92"/>
      <c r="E132" s="92"/>
      <c r="F132" s="9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92"/>
      <c r="E133" s="92"/>
      <c r="F133" s="9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92"/>
      <c r="E134" s="92"/>
      <c r="F134" s="9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92"/>
      <c r="E135" s="92"/>
      <c r="F135" s="9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92"/>
      <c r="E136" s="92"/>
      <c r="F136" s="9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92"/>
      <c r="E137" s="92"/>
      <c r="F137" s="9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92"/>
      <c r="E138" s="92"/>
      <c r="F138" s="9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92"/>
      <c r="E139" s="92"/>
      <c r="F139" s="9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92"/>
      <c r="E140" s="92"/>
      <c r="F140" s="9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92"/>
      <c r="E141" s="92"/>
      <c r="F141" s="9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92"/>
      <c r="E142" s="92"/>
      <c r="F142" s="9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92"/>
      <c r="E143" s="92"/>
      <c r="F143" s="9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92"/>
      <c r="E144" s="92"/>
      <c r="F144" s="9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92"/>
      <c r="E145" s="92"/>
      <c r="F145" s="9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92"/>
      <c r="E146" s="92"/>
      <c r="F146" s="9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92"/>
      <c r="E147" s="92"/>
      <c r="F147" s="9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92"/>
      <c r="E148" s="92"/>
      <c r="F148" s="9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92"/>
      <c r="E149" s="92"/>
      <c r="F149" s="9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92"/>
      <c r="E150" s="92"/>
      <c r="F150" s="9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92"/>
      <c r="E151" s="92"/>
      <c r="F151" s="9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92"/>
      <c r="E152" s="92"/>
      <c r="F152" s="9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92"/>
      <c r="E153" s="92"/>
      <c r="F153" s="9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92"/>
      <c r="E154" s="92"/>
      <c r="F154" s="9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92"/>
      <c r="E155" s="92"/>
      <c r="F155" s="9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92"/>
      <c r="E156" s="92"/>
      <c r="F156" s="9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92"/>
      <c r="E157" s="92"/>
      <c r="F157" s="9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92"/>
      <c r="E158" s="92"/>
      <c r="F158" s="9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92"/>
      <c r="E159" s="92"/>
      <c r="F159" s="9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92"/>
      <c r="E160" s="92"/>
      <c r="F160" s="9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92"/>
      <c r="E161" s="92"/>
      <c r="F161" s="9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92"/>
      <c r="E162" s="92"/>
      <c r="F162" s="9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92"/>
      <c r="E163" s="92"/>
      <c r="F163" s="9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92"/>
      <c r="E164" s="92"/>
      <c r="F164" s="9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92"/>
      <c r="E165" s="92"/>
      <c r="F165" s="9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92"/>
      <c r="E166" s="92"/>
      <c r="F166" s="9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92"/>
      <c r="E167" s="92"/>
      <c r="F167" s="9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92"/>
      <c r="E168" s="92"/>
      <c r="F168" s="9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92"/>
      <c r="E169" s="92"/>
      <c r="F169" s="9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92"/>
      <c r="E170" s="92"/>
      <c r="F170" s="9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92"/>
      <c r="E171" s="92"/>
      <c r="F171" s="9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92"/>
      <c r="E172" s="92"/>
      <c r="F172" s="9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92"/>
      <c r="E173" s="92"/>
      <c r="F173" s="9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92"/>
      <c r="E174" s="92"/>
      <c r="F174" s="9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92"/>
      <c r="E175" s="92"/>
      <c r="F175" s="9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92"/>
      <c r="E176" s="92"/>
      <c r="F176" s="9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92"/>
      <c r="E177" s="92"/>
      <c r="F177" s="9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92"/>
      <c r="E178" s="92"/>
      <c r="F178" s="9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92"/>
      <c r="E179" s="92"/>
      <c r="F179" s="9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92"/>
      <c r="E180" s="92"/>
      <c r="F180" s="9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92"/>
      <c r="E181" s="92"/>
      <c r="F181" s="9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92"/>
      <c r="E182" s="92"/>
      <c r="F182" s="9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92"/>
      <c r="E183" s="92"/>
      <c r="F183" s="9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92"/>
      <c r="E184" s="92"/>
      <c r="F184" s="9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92"/>
      <c r="E185" s="92"/>
      <c r="F185" s="9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92"/>
      <c r="E186" s="92"/>
      <c r="F186" s="9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92"/>
      <c r="E187" s="92"/>
      <c r="F187" s="9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92"/>
      <c r="E188" s="92"/>
      <c r="F188" s="9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92"/>
      <c r="E189" s="92"/>
      <c r="F189" s="9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92"/>
      <c r="E190" s="92"/>
      <c r="F190" s="9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92"/>
      <c r="E191" s="92"/>
      <c r="F191" s="9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92"/>
      <c r="E192" s="92"/>
      <c r="F192" s="9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92"/>
      <c r="E193" s="92"/>
      <c r="F193" s="9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92"/>
      <c r="E194" s="92"/>
      <c r="F194" s="9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92"/>
      <c r="E195" s="92"/>
      <c r="F195" s="9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92"/>
      <c r="E196" s="92"/>
      <c r="F196" s="9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92"/>
      <c r="E197" s="92"/>
      <c r="F197" s="9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92"/>
      <c r="E198" s="92"/>
      <c r="F198" s="9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92"/>
      <c r="E199" s="92"/>
      <c r="F199" s="9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92"/>
      <c r="E200" s="92"/>
      <c r="F200" s="9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92"/>
      <c r="E201" s="92"/>
      <c r="F201" s="9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92"/>
      <c r="E202" s="92"/>
      <c r="F202" s="9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92"/>
      <c r="E203" s="92"/>
      <c r="F203" s="9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92"/>
      <c r="E204" s="92"/>
      <c r="F204" s="9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92"/>
      <c r="E205" s="92"/>
      <c r="F205" s="9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92"/>
      <c r="E206" s="92"/>
      <c r="F206" s="9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92"/>
      <c r="E207" s="92"/>
      <c r="F207" s="9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92"/>
      <c r="E208" s="92"/>
      <c r="F208" s="9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92"/>
      <c r="E209" s="92"/>
      <c r="F209" s="9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92"/>
      <c r="E210" s="92"/>
      <c r="F210" s="9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92"/>
      <c r="E211" s="92"/>
      <c r="F211" s="9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92"/>
      <c r="E212" s="92"/>
      <c r="F212" s="9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92"/>
      <c r="E213" s="92"/>
      <c r="F213" s="9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92"/>
      <c r="E214" s="92"/>
      <c r="F214" s="9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92"/>
      <c r="E215" s="92"/>
      <c r="F215" s="9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92"/>
      <c r="E216" s="92"/>
      <c r="F216" s="9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92"/>
      <c r="E217" s="92"/>
      <c r="F217" s="9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92"/>
      <c r="E218" s="92"/>
      <c r="F218" s="9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92"/>
      <c r="E219" s="92"/>
      <c r="F219" s="9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92"/>
      <c r="E220" s="92"/>
      <c r="F220" s="9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92"/>
      <c r="E221" s="92"/>
      <c r="F221" s="9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92"/>
      <c r="E222" s="92"/>
      <c r="F222" s="9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92"/>
      <c r="E223" s="92"/>
      <c r="F223" s="9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92"/>
      <c r="E224" s="92"/>
      <c r="F224" s="9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92"/>
      <c r="E225" s="92"/>
      <c r="F225" s="9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92"/>
      <c r="E226" s="92"/>
      <c r="F226" s="9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92"/>
      <c r="E227" s="92"/>
      <c r="F227" s="9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92"/>
      <c r="E228" s="92"/>
      <c r="F228" s="9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92"/>
      <c r="E229" s="92"/>
      <c r="F229" s="9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92"/>
      <c r="E230" s="92"/>
      <c r="F230" s="9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92"/>
      <c r="E231" s="92"/>
      <c r="F231" s="9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92"/>
      <c r="E232" s="92"/>
      <c r="F232" s="9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92"/>
      <c r="E233" s="92"/>
      <c r="F233" s="9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92"/>
      <c r="E234" s="92"/>
      <c r="F234" s="9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92"/>
      <c r="E235" s="92"/>
      <c r="F235" s="9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92"/>
      <c r="E236" s="92"/>
      <c r="F236" s="9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92"/>
      <c r="E237" s="92"/>
      <c r="F237" s="9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92"/>
      <c r="E238" s="92"/>
      <c r="F238" s="9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92"/>
      <c r="E239" s="92"/>
      <c r="F239" s="9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92"/>
      <c r="E240" s="92"/>
      <c r="F240" s="9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92"/>
      <c r="E241" s="92"/>
      <c r="F241" s="9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92"/>
      <c r="E242" s="92"/>
      <c r="F242" s="9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92"/>
      <c r="E243" s="92"/>
      <c r="F243" s="9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92"/>
      <c r="E244" s="92"/>
      <c r="F244" s="9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92"/>
      <c r="E245" s="92"/>
      <c r="F245" s="9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92"/>
      <c r="E246" s="92"/>
      <c r="F246" s="9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92"/>
      <c r="E247" s="92"/>
      <c r="F247" s="9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92"/>
      <c r="E248" s="92"/>
      <c r="F248" s="9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92"/>
      <c r="E249" s="92"/>
      <c r="F249" s="9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92"/>
      <c r="E250" s="92"/>
      <c r="F250" s="9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92"/>
      <c r="E251" s="92"/>
      <c r="F251" s="9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92"/>
      <c r="E252" s="92"/>
      <c r="F252" s="9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92"/>
      <c r="E253" s="92"/>
      <c r="F253" s="9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92"/>
      <c r="E254" s="92"/>
      <c r="F254" s="9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92"/>
      <c r="E255" s="92"/>
      <c r="F255" s="9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92"/>
      <c r="E256" s="92"/>
      <c r="F256" s="9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92"/>
      <c r="E257" s="92"/>
      <c r="F257" s="9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92"/>
      <c r="E258" s="92"/>
      <c r="F258" s="9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92"/>
      <c r="E259" s="92"/>
      <c r="F259" s="9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92"/>
      <c r="E260" s="92"/>
      <c r="F260" s="9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92"/>
      <c r="E261" s="92"/>
      <c r="F261" s="9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92"/>
      <c r="E262" s="92"/>
      <c r="F262" s="9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92"/>
      <c r="E263" s="92"/>
      <c r="F263" s="9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92"/>
      <c r="E264" s="92"/>
      <c r="F264" s="9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92"/>
      <c r="E265" s="92"/>
      <c r="F265" s="9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92"/>
      <c r="E266" s="92"/>
      <c r="F266" s="9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92"/>
      <c r="E267" s="92"/>
      <c r="F267" s="9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92"/>
      <c r="E268" s="92"/>
      <c r="F268" s="9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92"/>
      <c r="E269" s="92"/>
      <c r="F269" s="9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92"/>
      <c r="E270" s="92"/>
      <c r="F270" s="9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92"/>
      <c r="E271" s="92"/>
      <c r="F271" s="9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92"/>
      <c r="E272" s="92"/>
      <c r="F272" s="9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92"/>
      <c r="E273" s="92"/>
      <c r="F273" s="9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92"/>
      <c r="E274" s="92"/>
      <c r="F274" s="9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92"/>
      <c r="E275" s="92"/>
      <c r="F275" s="9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92"/>
      <c r="E276" s="92"/>
      <c r="F276" s="9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92"/>
      <c r="E277" s="92"/>
      <c r="F277" s="9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92"/>
      <c r="E278" s="92"/>
      <c r="F278" s="9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92"/>
      <c r="E279" s="92"/>
      <c r="F279" s="9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92"/>
      <c r="E280" s="92"/>
      <c r="F280" s="9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92"/>
      <c r="E281" s="92"/>
      <c r="F281" s="9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92"/>
      <c r="E282" s="92"/>
      <c r="F282" s="9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92"/>
      <c r="E283" s="92"/>
      <c r="F283" s="9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92"/>
      <c r="E284" s="92"/>
      <c r="F284" s="9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92"/>
      <c r="E285" s="92"/>
      <c r="F285" s="9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A286" s="1"/>
      <c r="B286" s="1"/>
      <c r="C286" s="1"/>
      <c r="D286" s="92"/>
      <c r="E286" s="92"/>
      <c r="F286" s="9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A287" s="1"/>
      <c r="B287" s="1"/>
      <c r="C287" s="1"/>
      <c r="D287" s="92"/>
      <c r="E287" s="92"/>
      <c r="F287" s="9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A288" s="1"/>
      <c r="B288" s="1"/>
      <c r="C288" s="1"/>
      <c r="D288" s="92"/>
      <c r="E288" s="92"/>
      <c r="F288" s="9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>
      <c r="A289" s="1"/>
      <c r="B289" s="1"/>
      <c r="C289" s="1"/>
      <c r="D289" s="92"/>
      <c r="E289" s="92"/>
      <c r="F289" s="9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>
      <c r="A290" s="1"/>
      <c r="B290" s="1"/>
      <c r="C290" s="1"/>
      <c r="D290" s="92"/>
      <c r="E290" s="92"/>
      <c r="F290" s="9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>
      <c r="A291" s="1"/>
      <c r="B291" s="1"/>
      <c r="C291" s="1"/>
      <c r="D291" s="92"/>
      <c r="E291" s="92"/>
      <c r="F291" s="9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>
      <c r="A292" s="1"/>
      <c r="B292" s="1"/>
      <c r="C292" s="1"/>
      <c r="D292" s="92"/>
      <c r="E292" s="92"/>
      <c r="F292" s="9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>
      <c r="A293" s="1"/>
      <c r="B293" s="1"/>
      <c r="C293" s="1"/>
      <c r="D293" s="92"/>
      <c r="E293" s="92"/>
      <c r="F293" s="9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>
      <c r="A294" s="1"/>
      <c r="B294" s="1"/>
      <c r="C294" s="1"/>
      <c r="D294" s="92"/>
      <c r="E294" s="92"/>
      <c r="F294" s="9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>
      <c r="A295" s="1"/>
      <c r="B295" s="1"/>
      <c r="C295" s="1"/>
      <c r="D295" s="92"/>
      <c r="E295" s="92"/>
      <c r="F295" s="9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>
      <c r="A296" s="1"/>
      <c r="B296" s="1"/>
      <c r="C296" s="1"/>
      <c r="D296" s="92"/>
      <c r="E296" s="92"/>
      <c r="F296" s="9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>
      <c r="A297" s="1"/>
      <c r="B297" s="1"/>
      <c r="C297" s="1"/>
      <c r="D297" s="92"/>
      <c r="E297" s="92"/>
      <c r="F297" s="9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>
      <c r="A298" s="1"/>
      <c r="B298" s="1"/>
      <c r="C298" s="1"/>
      <c r="D298" s="92"/>
      <c r="E298" s="92"/>
      <c r="F298" s="9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>
      <c r="A299" s="1"/>
      <c r="B299" s="1"/>
      <c r="C299" s="1"/>
      <c r="D299" s="92"/>
      <c r="E299" s="92"/>
      <c r="F299" s="9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>
      <c r="A300" s="1"/>
      <c r="B300" s="1"/>
      <c r="C300" s="1"/>
      <c r="D300" s="92"/>
      <c r="E300" s="92"/>
      <c r="F300" s="9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>
      <c r="A301" s="1"/>
      <c r="B301" s="1"/>
      <c r="C301" s="1"/>
      <c r="D301" s="92"/>
      <c r="E301" s="92"/>
      <c r="F301" s="9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>
      <c r="A302" s="1"/>
      <c r="B302" s="1"/>
      <c r="C302" s="1"/>
      <c r="D302" s="92"/>
      <c r="E302" s="92"/>
      <c r="F302" s="9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>
      <c r="A303" s="1"/>
      <c r="B303" s="1"/>
      <c r="C303" s="1"/>
      <c r="D303" s="92"/>
      <c r="E303" s="92"/>
      <c r="F303" s="9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>
      <c r="A304" s="1"/>
      <c r="B304" s="1"/>
      <c r="C304" s="1"/>
      <c r="D304" s="92"/>
      <c r="E304" s="92"/>
      <c r="F304" s="9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>
      <c r="A305" s="1"/>
      <c r="B305" s="1"/>
      <c r="C305" s="1"/>
      <c r="D305" s="92"/>
      <c r="E305" s="92"/>
      <c r="F305" s="9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>
      <c r="A306" s="1"/>
      <c r="B306" s="1"/>
      <c r="C306" s="1"/>
      <c r="D306" s="92"/>
      <c r="E306" s="92"/>
      <c r="F306" s="9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>
      <c r="A307" s="1"/>
      <c r="B307" s="1"/>
      <c r="C307" s="1"/>
      <c r="D307" s="92"/>
      <c r="E307" s="92"/>
      <c r="F307" s="9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>
      <c r="A308" s="1"/>
      <c r="B308" s="1"/>
      <c r="C308" s="1"/>
      <c r="D308" s="92"/>
      <c r="E308" s="92"/>
      <c r="F308" s="9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>
      <c r="A309" s="1"/>
      <c r="B309" s="1"/>
      <c r="C309" s="1"/>
      <c r="D309" s="92"/>
      <c r="E309" s="92"/>
      <c r="F309" s="9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>
      <c r="A310" s="1"/>
      <c r="B310" s="1"/>
      <c r="C310" s="1"/>
      <c r="D310" s="92"/>
      <c r="E310" s="92"/>
      <c r="F310" s="9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>
      <c r="A311" s="1"/>
      <c r="B311" s="1"/>
      <c r="C311" s="1"/>
      <c r="D311" s="92"/>
      <c r="E311" s="92"/>
      <c r="F311" s="9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>
      <c r="A312" s="1"/>
      <c r="B312" s="1"/>
      <c r="C312" s="1"/>
      <c r="D312" s="92"/>
      <c r="E312" s="92"/>
      <c r="F312" s="9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>
      <c r="A313" s="1"/>
      <c r="B313" s="1"/>
      <c r="C313" s="1"/>
      <c r="D313" s="92"/>
      <c r="E313" s="92"/>
      <c r="F313" s="9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>
      <c r="A314" s="1"/>
      <c r="B314" s="1"/>
      <c r="C314" s="1"/>
      <c r="D314" s="92"/>
      <c r="E314" s="92"/>
      <c r="F314" s="9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>
      <c r="A315" s="1"/>
      <c r="B315" s="1"/>
      <c r="C315" s="1"/>
      <c r="D315" s="92"/>
      <c r="E315" s="92"/>
      <c r="F315" s="9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>
      <c r="A316" s="1"/>
      <c r="B316" s="1"/>
      <c r="C316" s="1"/>
      <c r="D316" s="92"/>
      <c r="E316" s="92"/>
      <c r="F316" s="9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>
      <c r="A317" s="1"/>
      <c r="B317" s="1"/>
      <c r="C317" s="1"/>
      <c r="D317" s="92"/>
      <c r="E317" s="92"/>
      <c r="F317" s="9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>
      <c r="A318" s="1"/>
      <c r="B318" s="1"/>
      <c r="C318" s="1"/>
      <c r="D318" s="92"/>
      <c r="E318" s="92"/>
      <c r="F318" s="9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>
      <c r="A319" s="1"/>
      <c r="B319" s="1"/>
      <c r="C319" s="1"/>
      <c r="D319" s="92"/>
      <c r="E319" s="92"/>
      <c r="F319" s="9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>
      <c r="A320" s="1"/>
      <c r="B320" s="1"/>
      <c r="C320" s="1"/>
      <c r="D320" s="92"/>
      <c r="E320" s="92"/>
      <c r="F320" s="9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>
      <c r="A321" s="1"/>
      <c r="B321" s="1"/>
      <c r="C321" s="1"/>
      <c r="D321" s="92"/>
      <c r="E321" s="92"/>
      <c r="F321" s="9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>
      <c r="A322" s="1"/>
      <c r="B322" s="1"/>
      <c r="C322" s="1"/>
      <c r="D322" s="92"/>
      <c r="E322" s="92"/>
      <c r="F322" s="9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>
      <c r="A323" s="1"/>
      <c r="B323" s="1"/>
      <c r="C323" s="1"/>
      <c r="D323" s="92"/>
      <c r="E323" s="92"/>
      <c r="F323" s="9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>
      <c r="A324" s="1"/>
      <c r="B324" s="1"/>
      <c r="C324" s="1"/>
      <c r="D324" s="92"/>
      <c r="E324" s="92"/>
      <c r="F324" s="9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>
      <c r="A325" s="1"/>
      <c r="B325" s="1"/>
      <c r="C325" s="1"/>
      <c r="D325" s="92"/>
      <c r="E325" s="92"/>
      <c r="F325" s="9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>
      <c r="A326" s="1"/>
      <c r="B326" s="1"/>
      <c r="C326" s="1"/>
      <c r="D326" s="92"/>
      <c r="E326" s="92"/>
      <c r="F326" s="9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>
      <c r="A327" s="1"/>
      <c r="B327" s="1"/>
      <c r="C327" s="1"/>
      <c r="D327" s="92"/>
      <c r="E327" s="92"/>
      <c r="F327" s="9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>
      <c r="A328" s="1"/>
      <c r="B328" s="1"/>
      <c r="C328" s="1"/>
      <c r="D328" s="92"/>
      <c r="E328" s="92"/>
      <c r="F328" s="9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>
      <c r="A329" s="1"/>
      <c r="B329" s="1"/>
      <c r="C329" s="1"/>
      <c r="D329" s="92"/>
      <c r="E329" s="92"/>
      <c r="F329" s="9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>
      <c r="A330" s="1"/>
      <c r="B330" s="1"/>
      <c r="C330" s="1"/>
      <c r="D330" s="92"/>
      <c r="E330" s="92"/>
      <c r="F330" s="9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>
      <c r="A331" s="1"/>
      <c r="B331" s="1"/>
      <c r="C331" s="1"/>
      <c r="D331" s="92"/>
      <c r="E331" s="92"/>
      <c r="F331" s="9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>
      <c r="A332" s="1"/>
      <c r="B332" s="1"/>
      <c r="C332" s="1"/>
      <c r="D332" s="92"/>
      <c r="E332" s="92"/>
      <c r="F332" s="9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>
      <c r="A333" s="1"/>
      <c r="B333" s="1"/>
      <c r="C333" s="1"/>
      <c r="D333" s="92"/>
      <c r="E333" s="92"/>
      <c r="F333" s="9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>
      <c r="A334" s="1"/>
      <c r="B334" s="1"/>
      <c r="C334" s="1"/>
      <c r="D334" s="92"/>
      <c r="E334" s="92"/>
      <c r="F334" s="9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>
      <c r="A335" s="1"/>
      <c r="B335" s="1"/>
      <c r="C335" s="1"/>
      <c r="D335" s="92"/>
      <c r="E335" s="92"/>
      <c r="F335" s="9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>
      <c r="A336" s="1"/>
      <c r="B336" s="1"/>
      <c r="C336" s="1"/>
      <c r="D336" s="92"/>
      <c r="E336" s="92"/>
      <c r="F336" s="9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>
      <c r="A337" s="1"/>
      <c r="B337" s="1"/>
      <c r="C337" s="1"/>
      <c r="D337" s="92"/>
      <c r="E337" s="92"/>
      <c r="F337" s="9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>
      <c r="A338" s="1"/>
      <c r="B338" s="1"/>
      <c r="C338" s="1"/>
      <c r="D338" s="92"/>
      <c r="E338" s="92"/>
      <c r="F338" s="9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>
      <c r="A339" s="1"/>
      <c r="B339" s="1"/>
      <c r="C339" s="1"/>
      <c r="D339" s="92"/>
      <c r="E339" s="92"/>
      <c r="F339" s="9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>
      <c r="A340" s="1"/>
      <c r="B340" s="1"/>
      <c r="C340" s="1"/>
      <c r="D340" s="92"/>
      <c r="E340" s="92"/>
      <c r="F340" s="9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>
      <c r="A341" s="1"/>
      <c r="B341" s="1"/>
      <c r="C341" s="1"/>
      <c r="D341" s="92"/>
      <c r="E341" s="92"/>
      <c r="F341" s="9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>
      <c r="A342" s="1"/>
      <c r="B342" s="1"/>
      <c r="C342" s="1"/>
      <c r="D342" s="92"/>
      <c r="E342" s="92"/>
      <c r="F342" s="9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>
      <c r="A343" s="1"/>
      <c r="B343" s="1"/>
      <c r="C343" s="1"/>
      <c r="D343" s="92"/>
      <c r="E343" s="92"/>
      <c r="F343" s="9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>
      <c r="A344" s="1"/>
      <c r="B344" s="1"/>
      <c r="C344" s="1"/>
      <c r="D344" s="92"/>
      <c r="E344" s="92"/>
      <c r="F344" s="9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>
      <c r="A345" s="1"/>
      <c r="B345" s="1"/>
      <c r="C345" s="1"/>
      <c r="D345" s="92"/>
      <c r="E345" s="92"/>
      <c r="F345" s="9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>
      <c r="A346" s="1"/>
      <c r="B346" s="1"/>
      <c r="C346" s="1"/>
      <c r="D346" s="92"/>
      <c r="E346" s="92"/>
      <c r="F346" s="9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>
      <c r="A347" s="1"/>
      <c r="B347" s="1"/>
      <c r="C347" s="1"/>
      <c r="D347" s="92"/>
      <c r="E347" s="92"/>
      <c r="F347" s="9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>
      <c r="A348" s="1"/>
      <c r="B348" s="1"/>
      <c r="C348" s="1"/>
      <c r="D348" s="92"/>
      <c r="E348" s="92"/>
      <c r="F348" s="9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>
      <c r="A349" s="1"/>
      <c r="B349" s="1"/>
      <c r="C349" s="1"/>
      <c r="D349" s="92"/>
      <c r="E349" s="92"/>
      <c r="F349" s="9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>
      <c r="A350" s="1"/>
      <c r="B350" s="1"/>
      <c r="C350" s="1"/>
      <c r="D350" s="92"/>
      <c r="E350" s="92"/>
      <c r="F350" s="9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>
      <c r="A351" s="1"/>
      <c r="B351" s="1"/>
      <c r="C351" s="1"/>
      <c r="D351" s="92"/>
      <c r="E351" s="92"/>
      <c r="F351" s="9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>
      <c r="A352" s="1"/>
      <c r="B352" s="1"/>
      <c r="C352" s="1"/>
      <c r="D352" s="92"/>
      <c r="E352" s="92"/>
      <c r="F352" s="9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>
      <c r="A353" s="1"/>
      <c r="B353" s="1"/>
      <c r="C353" s="1"/>
      <c r="D353" s="92"/>
      <c r="E353" s="92"/>
      <c r="F353" s="9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>
      <c r="A354" s="1"/>
      <c r="B354" s="1"/>
      <c r="C354" s="1"/>
      <c r="D354" s="92"/>
      <c r="E354" s="92"/>
      <c r="F354" s="9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>
      <c r="A355" s="1"/>
      <c r="B355" s="1"/>
      <c r="C355" s="1"/>
      <c r="D355" s="92"/>
      <c r="E355" s="92"/>
      <c r="F355" s="9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>
      <c r="A356" s="1"/>
      <c r="B356" s="1"/>
      <c r="C356" s="1"/>
      <c r="D356" s="92"/>
      <c r="E356" s="92"/>
      <c r="F356" s="9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>
      <c r="A357" s="1"/>
      <c r="B357" s="1"/>
      <c r="C357" s="1"/>
      <c r="D357" s="92"/>
      <c r="E357" s="92"/>
      <c r="F357" s="9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>
      <c r="A358" s="1"/>
      <c r="B358" s="1"/>
      <c r="C358" s="1"/>
      <c r="D358" s="92"/>
      <c r="E358" s="92"/>
      <c r="F358" s="9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>
      <c r="A359" s="1"/>
      <c r="B359" s="1"/>
      <c r="C359" s="1"/>
      <c r="D359" s="92"/>
      <c r="E359" s="92"/>
      <c r="F359" s="9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>
      <c r="A360" s="1"/>
      <c r="B360" s="1"/>
      <c r="C360" s="1"/>
      <c r="D360" s="92"/>
      <c r="E360" s="92"/>
      <c r="F360" s="9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>
      <c r="A361" s="1"/>
      <c r="B361" s="1"/>
      <c r="C361" s="1"/>
      <c r="D361" s="92"/>
      <c r="E361" s="92"/>
      <c r="F361" s="9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>
      <c r="A362" s="1"/>
      <c r="B362" s="1"/>
      <c r="C362" s="1"/>
      <c r="D362" s="92"/>
      <c r="E362" s="92"/>
      <c r="F362" s="9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>
      <c r="A363" s="1"/>
      <c r="B363" s="1"/>
      <c r="C363" s="1"/>
      <c r="D363" s="92"/>
      <c r="E363" s="92"/>
      <c r="F363" s="9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>
      <c r="A364" s="1"/>
      <c r="B364" s="1"/>
      <c r="C364" s="1"/>
      <c r="D364" s="92"/>
      <c r="E364" s="92"/>
      <c r="F364" s="9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>
      <c r="A365" s="1"/>
      <c r="B365" s="1"/>
      <c r="C365" s="1"/>
      <c r="D365" s="92"/>
      <c r="E365" s="92"/>
      <c r="F365" s="9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>
      <c r="A366" s="1"/>
      <c r="B366" s="1"/>
      <c r="C366" s="1"/>
      <c r="D366" s="92"/>
      <c r="E366" s="92"/>
      <c r="F366" s="9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>
      <c r="A367" s="1"/>
      <c r="B367" s="1"/>
      <c r="C367" s="1"/>
      <c r="D367" s="92"/>
      <c r="E367" s="92"/>
      <c r="F367" s="9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>
      <c r="A368" s="1"/>
      <c r="B368" s="1"/>
      <c r="C368" s="1"/>
      <c r="D368" s="92"/>
      <c r="E368" s="92"/>
      <c r="F368" s="9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>
      <c r="A369" s="1"/>
      <c r="B369" s="1"/>
      <c r="C369" s="1"/>
      <c r="D369" s="92"/>
      <c r="E369" s="92"/>
      <c r="F369" s="9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>
      <c r="A370" s="1"/>
      <c r="B370" s="1"/>
      <c r="C370" s="1"/>
      <c r="D370" s="92"/>
      <c r="E370" s="92"/>
      <c r="F370" s="9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>
      <c r="A371" s="1"/>
      <c r="B371" s="1"/>
      <c r="C371" s="1"/>
      <c r="D371" s="92"/>
      <c r="E371" s="92"/>
      <c r="F371" s="9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>
      <c r="A372" s="1"/>
      <c r="B372" s="1"/>
      <c r="C372" s="1"/>
      <c r="D372" s="92"/>
      <c r="E372" s="92"/>
      <c r="F372" s="9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>
      <c r="A373" s="1"/>
      <c r="B373" s="1"/>
      <c r="C373" s="1"/>
      <c r="D373" s="92"/>
      <c r="E373" s="92"/>
      <c r="F373" s="9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>
      <c r="A374" s="1"/>
      <c r="B374" s="1"/>
      <c r="C374" s="1"/>
      <c r="D374" s="92"/>
      <c r="E374" s="92"/>
      <c r="F374" s="9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>
      <c r="A375" s="1"/>
      <c r="B375" s="1"/>
      <c r="C375" s="1"/>
      <c r="D375" s="92"/>
      <c r="E375" s="92"/>
      <c r="F375" s="9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>
      <c r="A376" s="1"/>
      <c r="B376" s="1"/>
      <c r="C376" s="1"/>
      <c r="D376" s="92"/>
      <c r="E376" s="92"/>
      <c r="F376" s="9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>
      <c r="A377" s="1"/>
      <c r="B377" s="1"/>
      <c r="C377" s="1"/>
      <c r="D377" s="92"/>
      <c r="E377" s="92"/>
      <c r="F377" s="9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>
      <c r="A378" s="1"/>
      <c r="B378" s="1"/>
      <c r="C378" s="1"/>
      <c r="D378" s="92"/>
      <c r="E378" s="92"/>
      <c r="F378" s="9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>
      <c r="A379" s="1"/>
      <c r="B379" s="1"/>
      <c r="C379" s="1"/>
      <c r="D379" s="92"/>
      <c r="E379" s="92"/>
      <c r="F379" s="9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>
      <c r="A380" s="1"/>
      <c r="B380" s="1"/>
      <c r="C380" s="1"/>
      <c r="D380" s="92"/>
      <c r="E380" s="92"/>
      <c r="F380" s="9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>
      <c r="A381" s="1"/>
      <c r="B381" s="1"/>
      <c r="C381" s="1"/>
      <c r="D381" s="92"/>
      <c r="E381" s="92"/>
      <c r="F381" s="9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>
      <c r="A382" s="1"/>
      <c r="B382" s="1"/>
      <c r="C382" s="1"/>
      <c r="D382" s="92"/>
      <c r="E382" s="92"/>
      <c r="F382" s="9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>
      <c r="A383" s="1"/>
      <c r="B383" s="1"/>
      <c r="C383" s="1"/>
      <c r="D383" s="92"/>
      <c r="E383" s="92"/>
      <c r="F383" s="9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>
      <c r="A384" s="1"/>
      <c r="B384" s="1"/>
      <c r="C384" s="1"/>
      <c r="D384" s="92"/>
      <c r="E384" s="92"/>
      <c r="F384" s="9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>
      <c r="A385" s="1"/>
      <c r="B385" s="1"/>
      <c r="C385" s="1"/>
      <c r="D385" s="92"/>
      <c r="E385" s="92"/>
      <c r="F385" s="9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>
      <c r="A386" s="1"/>
      <c r="B386" s="1"/>
      <c r="C386" s="1"/>
      <c r="D386" s="92"/>
      <c r="E386" s="92"/>
      <c r="F386" s="9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>
      <c r="A387" s="1"/>
      <c r="B387" s="1"/>
      <c r="C387" s="1"/>
      <c r="D387" s="92"/>
      <c r="E387" s="92"/>
      <c r="F387" s="9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>
      <c r="A388" s="1"/>
      <c r="B388" s="1"/>
      <c r="C388" s="1"/>
      <c r="D388" s="92"/>
      <c r="E388" s="92"/>
      <c r="F388" s="9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>
      <c r="A389" s="1"/>
      <c r="B389" s="1"/>
      <c r="C389" s="1"/>
      <c r="D389" s="92"/>
      <c r="E389" s="92"/>
      <c r="F389" s="9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>
      <c r="A390" s="1"/>
      <c r="B390" s="1"/>
      <c r="C390" s="1"/>
      <c r="D390" s="92"/>
      <c r="E390" s="92"/>
      <c r="F390" s="9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>
      <c r="A391" s="1"/>
      <c r="B391" s="1"/>
      <c r="C391" s="1"/>
      <c r="D391" s="92"/>
      <c r="E391" s="92"/>
      <c r="F391" s="9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>
      <c r="A392" s="1"/>
      <c r="B392" s="1"/>
      <c r="C392" s="1"/>
      <c r="D392" s="92"/>
      <c r="E392" s="92"/>
      <c r="F392" s="9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>
      <c r="A393" s="1"/>
      <c r="B393" s="1"/>
      <c r="C393" s="1"/>
      <c r="D393" s="92"/>
      <c r="E393" s="92"/>
      <c r="F393" s="9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>
      <c r="A394" s="1"/>
      <c r="B394" s="1"/>
      <c r="C394" s="1"/>
      <c r="D394" s="92"/>
      <c r="E394" s="92"/>
      <c r="F394" s="9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>
      <c r="A395" s="1"/>
      <c r="B395" s="1"/>
      <c r="C395" s="1"/>
      <c r="D395" s="92"/>
      <c r="E395" s="92"/>
      <c r="F395" s="9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>
      <c r="A396" s="1"/>
      <c r="B396" s="1"/>
      <c r="C396" s="1"/>
      <c r="D396" s="92"/>
      <c r="E396" s="92"/>
      <c r="F396" s="9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>
      <c r="A397" s="1"/>
      <c r="B397" s="1"/>
      <c r="C397" s="1"/>
      <c r="D397" s="92"/>
      <c r="E397" s="92"/>
      <c r="F397" s="9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>
      <c r="A398" s="1"/>
      <c r="B398" s="1"/>
      <c r="C398" s="1"/>
      <c r="D398" s="92"/>
      <c r="E398" s="92"/>
      <c r="F398" s="9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>
      <c r="A399" s="1"/>
      <c r="B399" s="1"/>
      <c r="C399" s="1"/>
      <c r="D399" s="92"/>
      <c r="E399" s="92"/>
      <c r="F399" s="9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>
      <c r="A400" s="1"/>
      <c r="B400" s="1"/>
      <c r="C400" s="1"/>
      <c r="D400" s="92"/>
      <c r="E400" s="92"/>
      <c r="F400" s="9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>
      <c r="A401" s="1"/>
      <c r="B401" s="1"/>
      <c r="C401" s="1"/>
      <c r="D401" s="92"/>
      <c r="E401" s="92"/>
      <c r="F401" s="9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>
      <c r="A402" s="1"/>
      <c r="B402" s="1"/>
      <c r="C402" s="1"/>
      <c r="D402" s="92"/>
      <c r="E402" s="92"/>
      <c r="F402" s="9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>
      <c r="A403" s="1"/>
      <c r="B403" s="1"/>
      <c r="C403" s="1"/>
      <c r="D403" s="92"/>
      <c r="E403" s="92"/>
      <c r="F403" s="9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>
      <c r="A404" s="1"/>
      <c r="B404" s="1"/>
      <c r="C404" s="1"/>
      <c r="D404" s="92"/>
      <c r="E404" s="92"/>
      <c r="F404" s="9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>
      <c r="A405" s="1"/>
      <c r="B405" s="1"/>
      <c r="C405" s="1"/>
      <c r="D405" s="92"/>
      <c r="E405" s="92"/>
      <c r="F405" s="9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>
      <c r="A406" s="1"/>
      <c r="B406" s="1"/>
      <c r="C406" s="1"/>
      <c r="D406" s="92"/>
      <c r="E406" s="92"/>
      <c r="F406" s="9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>
      <c r="A407" s="1"/>
      <c r="B407" s="1"/>
      <c r="C407" s="1"/>
      <c r="D407" s="92"/>
      <c r="E407" s="92"/>
      <c r="F407" s="9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>
      <c r="A408" s="1"/>
      <c r="B408" s="1"/>
      <c r="C408" s="1"/>
      <c r="D408" s="92"/>
      <c r="E408" s="92"/>
      <c r="F408" s="9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>
      <c r="A409" s="1"/>
      <c r="B409" s="1"/>
      <c r="C409" s="1"/>
      <c r="D409" s="92"/>
      <c r="E409" s="92"/>
      <c r="F409" s="9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>
      <c r="A410" s="1"/>
      <c r="B410" s="1"/>
      <c r="C410" s="1"/>
      <c r="D410" s="92"/>
      <c r="E410" s="92"/>
      <c r="F410" s="9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>
      <c r="A411" s="1"/>
      <c r="B411" s="1"/>
      <c r="C411" s="1"/>
      <c r="D411" s="92"/>
      <c r="E411" s="92"/>
      <c r="F411" s="9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>
      <c r="A412" s="1"/>
      <c r="B412" s="1"/>
      <c r="C412" s="1"/>
      <c r="D412" s="92"/>
      <c r="E412" s="92"/>
      <c r="F412" s="9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>
      <c r="A413" s="1"/>
      <c r="B413" s="1"/>
      <c r="C413" s="1"/>
      <c r="D413" s="92"/>
      <c r="E413" s="92"/>
      <c r="F413" s="9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>
      <c r="A414" s="1"/>
      <c r="B414" s="1"/>
      <c r="C414" s="1"/>
      <c r="D414" s="92"/>
      <c r="E414" s="92"/>
      <c r="F414" s="9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>
      <c r="A415" s="1"/>
      <c r="B415" s="1"/>
      <c r="C415" s="1"/>
      <c r="D415" s="92"/>
      <c r="E415" s="92"/>
      <c r="F415" s="9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>
      <c r="A416" s="1"/>
      <c r="B416" s="1"/>
      <c r="C416" s="1"/>
      <c r="D416" s="92"/>
      <c r="E416" s="92"/>
      <c r="F416" s="9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>
      <c r="A417" s="1"/>
      <c r="B417" s="1"/>
      <c r="C417" s="1"/>
      <c r="D417" s="92"/>
      <c r="E417" s="92"/>
      <c r="F417" s="9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>
      <c r="A418" s="1"/>
      <c r="B418" s="1"/>
      <c r="C418" s="1"/>
      <c r="D418" s="92"/>
      <c r="E418" s="92"/>
      <c r="F418" s="9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>
      <c r="A419" s="1"/>
      <c r="B419" s="1"/>
      <c r="C419" s="1"/>
      <c r="D419" s="92"/>
      <c r="E419" s="92"/>
      <c r="F419" s="9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>
      <c r="A420" s="1"/>
      <c r="B420" s="1"/>
      <c r="C420" s="1"/>
      <c r="D420" s="92"/>
      <c r="E420" s="92"/>
      <c r="F420" s="9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>
      <c r="A421" s="1"/>
      <c r="B421" s="1"/>
      <c r="C421" s="1"/>
      <c r="D421" s="92"/>
      <c r="E421" s="92"/>
      <c r="F421" s="9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>
      <c r="A422" s="1"/>
      <c r="B422" s="1"/>
      <c r="C422" s="1"/>
      <c r="D422" s="92"/>
      <c r="E422" s="92"/>
      <c r="F422" s="9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>
      <c r="A423" s="1"/>
      <c r="B423" s="1"/>
      <c r="C423" s="1"/>
      <c r="D423" s="92"/>
      <c r="E423" s="92"/>
      <c r="F423" s="9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>
      <c r="A424" s="1"/>
      <c r="B424" s="1"/>
      <c r="C424" s="1"/>
      <c r="D424" s="92"/>
      <c r="E424" s="92"/>
      <c r="F424" s="9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>
      <c r="A425" s="1"/>
      <c r="B425" s="1"/>
      <c r="C425" s="1"/>
      <c r="D425" s="92"/>
      <c r="E425" s="92"/>
      <c r="F425" s="9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>
      <c r="A426" s="1"/>
      <c r="B426" s="1"/>
      <c r="C426" s="1"/>
      <c r="D426" s="92"/>
      <c r="E426" s="92"/>
      <c r="F426" s="9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>
      <c r="A427" s="1"/>
      <c r="B427" s="1"/>
      <c r="C427" s="1"/>
      <c r="D427" s="92"/>
      <c r="E427" s="92"/>
      <c r="F427" s="9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>
      <c r="A428" s="1"/>
      <c r="B428" s="1"/>
      <c r="C428" s="1"/>
      <c r="D428" s="92"/>
      <c r="E428" s="92"/>
      <c r="F428" s="9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>
      <c r="A429" s="1"/>
      <c r="B429" s="1"/>
      <c r="C429" s="1"/>
      <c r="D429" s="92"/>
      <c r="E429" s="92"/>
      <c r="F429" s="9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>
      <c r="A430" s="1"/>
      <c r="B430" s="1"/>
      <c r="C430" s="1"/>
      <c r="D430" s="92"/>
      <c r="E430" s="92"/>
      <c r="F430" s="9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>
      <c r="A431" s="1"/>
      <c r="B431" s="1"/>
      <c r="C431" s="1"/>
      <c r="D431" s="92"/>
      <c r="E431" s="92"/>
      <c r="F431" s="9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>
      <c r="A432" s="1"/>
      <c r="B432" s="1"/>
      <c r="C432" s="1"/>
      <c r="D432" s="92"/>
      <c r="E432" s="92"/>
      <c r="F432" s="9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>
      <c r="A433" s="1"/>
      <c r="B433" s="1"/>
      <c r="C433" s="1"/>
      <c r="D433" s="92"/>
      <c r="E433" s="92"/>
      <c r="F433" s="9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>
      <c r="A434" s="1"/>
      <c r="B434" s="1"/>
      <c r="C434" s="1"/>
      <c r="D434" s="92"/>
      <c r="E434" s="92"/>
      <c r="F434" s="9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>
      <c r="A435" s="1"/>
      <c r="B435" s="1"/>
      <c r="C435" s="1"/>
      <c r="D435" s="92"/>
      <c r="E435" s="92"/>
      <c r="F435" s="9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>
      <c r="A436" s="1"/>
      <c r="B436" s="1"/>
      <c r="C436" s="1"/>
      <c r="D436" s="92"/>
      <c r="E436" s="92"/>
      <c r="F436" s="9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>
      <c r="A437" s="1"/>
      <c r="B437" s="1"/>
      <c r="C437" s="1"/>
      <c r="D437" s="92"/>
      <c r="E437" s="92"/>
      <c r="F437" s="9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>
      <c r="A438" s="1"/>
      <c r="B438" s="1"/>
      <c r="C438" s="1"/>
      <c r="D438" s="92"/>
      <c r="E438" s="92"/>
      <c r="F438" s="9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>
      <c r="A439" s="1"/>
      <c r="B439" s="1"/>
      <c r="C439" s="1"/>
      <c r="D439" s="92"/>
      <c r="E439" s="92"/>
      <c r="F439" s="9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>
      <c r="A440" s="1"/>
      <c r="B440" s="1"/>
      <c r="C440" s="1"/>
      <c r="D440" s="92"/>
      <c r="E440" s="92"/>
      <c r="F440" s="9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>
      <c r="A441" s="1"/>
      <c r="B441" s="1"/>
      <c r="C441" s="1"/>
      <c r="D441" s="92"/>
      <c r="E441" s="92"/>
      <c r="F441" s="9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>
      <c r="A442" s="1"/>
      <c r="B442" s="1"/>
      <c r="C442" s="1"/>
      <c r="D442" s="92"/>
      <c r="E442" s="92"/>
      <c r="F442" s="9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>
      <c r="A443" s="1"/>
      <c r="B443" s="1"/>
      <c r="C443" s="1"/>
      <c r="D443" s="92"/>
      <c r="E443" s="92"/>
      <c r="F443" s="9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>
      <c r="A444" s="1"/>
      <c r="B444" s="1"/>
      <c r="C444" s="1"/>
      <c r="D444" s="92"/>
      <c r="E444" s="92"/>
      <c r="F444" s="9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>
      <c r="A445" s="1"/>
      <c r="B445" s="1"/>
      <c r="C445" s="1"/>
      <c r="D445" s="92"/>
      <c r="E445" s="92"/>
      <c r="F445" s="9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>
      <c r="A446" s="1"/>
      <c r="B446" s="1"/>
      <c r="C446" s="1"/>
      <c r="D446" s="92"/>
      <c r="E446" s="92"/>
      <c r="F446" s="9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>
      <c r="A447" s="1"/>
      <c r="B447" s="1"/>
      <c r="C447" s="1"/>
      <c r="D447" s="92"/>
      <c r="E447" s="92"/>
      <c r="F447" s="9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>
      <c r="A448" s="1"/>
      <c r="B448" s="1"/>
      <c r="C448" s="1"/>
      <c r="D448" s="92"/>
      <c r="E448" s="92"/>
      <c r="F448" s="9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>
      <c r="A449" s="1"/>
      <c r="B449" s="1"/>
      <c r="C449" s="1"/>
      <c r="D449" s="92"/>
      <c r="E449" s="92"/>
      <c r="F449" s="9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>
      <c r="A450" s="1"/>
      <c r="B450" s="1"/>
      <c r="C450" s="1"/>
      <c r="D450" s="92"/>
      <c r="E450" s="92"/>
      <c r="F450" s="9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>
      <c r="A451" s="1"/>
      <c r="B451" s="1"/>
      <c r="C451" s="1"/>
      <c r="D451" s="92"/>
      <c r="E451" s="92"/>
      <c r="F451" s="9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>
      <c r="A452" s="1"/>
      <c r="B452" s="1"/>
      <c r="C452" s="1"/>
      <c r="D452" s="92"/>
      <c r="E452" s="92"/>
      <c r="F452" s="9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>
      <c r="A453" s="1"/>
      <c r="B453" s="1"/>
      <c r="C453" s="1"/>
      <c r="D453" s="92"/>
      <c r="E453" s="92"/>
      <c r="F453" s="9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>
      <c r="A454" s="1"/>
      <c r="B454" s="1"/>
      <c r="C454" s="1"/>
      <c r="D454" s="92"/>
      <c r="E454" s="92"/>
      <c r="F454" s="9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>
      <c r="A455" s="1"/>
      <c r="B455" s="1"/>
      <c r="C455" s="1"/>
      <c r="D455" s="92"/>
      <c r="E455" s="92"/>
      <c r="F455" s="9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>
      <c r="A456" s="1"/>
      <c r="B456" s="1"/>
      <c r="C456" s="1"/>
      <c r="D456" s="92"/>
      <c r="E456" s="92"/>
      <c r="F456" s="9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>
      <c r="A457" s="1"/>
      <c r="B457" s="1"/>
      <c r="C457" s="1"/>
      <c r="D457" s="92"/>
      <c r="E457" s="92"/>
      <c r="F457" s="9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>
      <c r="A458" s="1"/>
      <c r="B458" s="1"/>
      <c r="C458" s="1"/>
      <c r="D458" s="92"/>
      <c r="E458" s="92"/>
      <c r="F458" s="9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>
      <c r="A459" s="1"/>
      <c r="B459" s="1"/>
      <c r="C459" s="1"/>
      <c r="D459" s="92"/>
      <c r="E459" s="92"/>
      <c r="F459" s="9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>
      <c r="A460" s="1"/>
      <c r="B460" s="1"/>
      <c r="C460" s="1"/>
      <c r="D460" s="92"/>
      <c r="E460" s="92"/>
      <c r="F460" s="9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>
      <c r="A461" s="1"/>
      <c r="B461" s="1"/>
      <c r="C461" s="1"/>
      <c r="D461" s="92"/>
      <c r="E461" s="92"/>
      <c r="F461" s="9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>
      <c r="A462" s="1"/>
      <c r="B462" s="1"/>
      <c r="C462" s="1"/>
      <c r="D462" s="92"/>
      <c r="E462" s="92"/>
      <c r="F462" s="9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>
      <c r="A463" s="1"/>
      <c r="B463" s="1"/>
      <c r="C463" s="1"/>
      <c r="D463" s="92"/>
      <c r="E463" s="92"/>
      <c r="F463" s="9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>
      <c r="A464" s="1"/>
      <c r="B464" s="1"/>
      <c r="C464" s="1"/>
      <c r="D464" s="92"/>
      <c r="E464" s="92"/>
      <c r="F464" s="9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>
      <c r="A465" s="1"/>
      <c r="B465" s="1"/>
      <c r="C465" s="1"/>
      <c r="D465" s="92"/>
      <c r="E465" s="92"/>
      <c r="F465" s="9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>
      <c r="A466" s="1"/>
      <c r="B466" s="1"/>
      <c r="C466" s="1"/>
      <c r="D466" s="92"/>
      <c r="E466" s="92"/>
      <c r="F466" s="9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>
      <c r="A467" s="1"/>
      <c r="B467" s="1"/>
      <c r="C467" s="1"/>
      <c r="D467" s="92"/>
      <c r="E467" s="92"/>
      <c r="F467" s="9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>
      <c r="A468" s="1"/>
      <c r="B468" s="1"/>
      <c r="C468" s="1"/>
      <c r="D468" s="92"/>
      <c r="E468" s="92"/>
      <c r="F468" s="9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>
      <c r="A469" s="1"/>
      <c r="B469" s="1"/>
      <c r="C469" s="1"/>
      <c r="D469" s="92"/>
      <c r="E469" s="92"/>
      <c r="F469" s="9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>
      <c r="A470" s="1"/>
      <c r="B470" s="1"/>
      <c r="C470" s="1"/>
      <c r="D470" s="92"/>
      <c r="E470" s="92"/>
      <c r="F470" s="9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>
      <c r="A471" s="1"/>
      <c r="B471" s="1"/>
      <c r="C471" s="1"/>
      <c r="D471" s="92"/>
      <c r="E471" s="92"/>
      <c r="F471" s="9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>
      <c r="A472" s="1"/>
      <c r="B472" s="1"/>
      <c r="C472" s="1"/>
      <c r="D472" s="92"/>
      <c r="E472" s="92"/>
      <c r="F472" s="9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>
      <c r="A473" s="1"/>
      <c r="B473" s="1"/>
      <c r="C473" s="1"/>
      <c r="D473" s="92"/>
      <c r="E473" s="92"/>
      <c r="F473" s="9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>
      <c r="A474" s="1"/>
      <c r="B474" s="1"/>
      <c r="C474" s="1"/>
      <c r="D474" s="92"/>
      <c r="E474" s="92"/>
      <c r="F474" s="9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>
      <c r="A475" s="1"/>
      <c r="B475" s="1"/>
      <c r="C475" s="1"/>
      <c r="D475" s="92"/>
      <c r="E475" s="92"/>
      <c r="F475" s="9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>
      <c r="A476" s="1"/>
      <c r="B476" s="1"/>
      <c r="C476" s="1"/>
      <c r="D476" s="92"/>
      <c r="E476" s="92"/>
      <c r="F476" s="9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>
      <c r="A477" s="1"/>
      <c r="B477" s="1"/>
      <c r="C477" s="1"/>
      <c r="D477" s="92"/>
      <c r="E477" s="92"/>
      <c r="F477" s="9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>
      <c r="A478" s="1"/>
      <c r="B478" s="1"/>
      <c r="C478" s="1"/>
      <c r="D478" s="92"/>
      <c r="E478" s="92"/>
      <c r="F478" s="9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>
      <c r="A479" s="1"/>
      <c r="B479" s="1"/>
      <c r="C479" s="1"/>
      <c r="D479" s="92"/>
      <c r="E479" s="92"/>
      <c r="F479" s="9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>
      <c r="A480" s="1"/>
      <c r="B480" s="1"/>
      <c r="C480" s="1"/>
      <c r="D480" s="92"/>
      <c r="E480" s="92"/>
      <c r="F480" s="9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>
      <c r="A481" s="1"/>
      <c r="B481" s="1"/>
      <c r="C481" s="1"/>
      <c r="D481" s="92"/>
      <c r="E481" s="92"/>
      <c r="F481" s="9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>
      <c r="A482" s="1"/>
      <c r="B482" s="1"/>
      <c r="C482" s="1"/>
      <c r="D482" s="92"/>
      <c r="E482" s="92"/>
      <c r="F482" s="9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>
      <c r="A483" s="1"/>
      <c r="B483" s="1"/>
      <c r="C483" s="1"/>
      <c r="D483" s="92"/>
      <c r="E483" s="92"/>
      <c r="F483" s="9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>
      <c r="A484" s="1"/>
      <c r="B484" s="1"/>
      <c r="C484" s="1"/>
      <c r="D484" s="92"/>
      <c r="E484" s="92"/>
      <c r="F484" s="9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>
      <c r="A485" s="1"/>
      <c r="B485" s="1"/>
      <c r="C485" s="1"/>
      <c r="D485" s="92"/>
      <c r="E485" s="92"/>
      <c r="F485" s="9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>
      <c r="A486" s="1"/>
      <c r="B486" s="1"/>
      <c r="C486" s="1"/>
      <c r="D486" s="92"/>
      <c r="E486" s="92"/>
      <c r="F486" s="9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>
      <c r="A487" s="1"/>
      <c r="B487" s="1"/>
      <c r="C487" s="1"/>
      <c r="D487" s="92"/>
      <c r="E487" s="92"/>
      <c r="F487" s="9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>
      <c r="A488" s="1"/>
      <c r="B488" s="1"/>
      <c r="C488" s="1"/>
      <c r="D488" s="92"/>
      <c r="E488" s="92"/>
      <c r="F488" s="9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>
      <c r="A489" s="1"/>
      <c r="B489" s="1"/>
      <c r="C489" s="1"/>
      <c r="D489" s="92"/>
      <c r="E489" s="92"/>
      <c r="F489" s="9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>
      <c r="A490" s="1"/>
      <c r="B490" s="1"/>
      <c r="C490" s="1"/>
      <c r="D490" s="92"/>
      <c r="E490" s="92"/>
      <c r="F490" s="9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>
      <c r="A491" s="1"/>
      <c r="B491" s="1"/>
      <c r="C491" s="1"/>
      <c r="D491" s="92"/>
      <c r="E491" s="92"/>
      <c r="F491" s="9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>
      <c r="A492" s="1"/>
      <c r="B492" s="1"/>
      <c r="C492" s="1"/>
      <c r="D492" s="92"/>
      <c r="E492" s="92"/>
      <c r="F492" s="9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>
      <c r="A493" s="1"/>
      <c r="B493" s="1"/>
      <c r="C493" s="1"/>
      <c r="D493" s="92"/>
      <c r="E493" s="92"/>
      <c r="F493" s="9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>
      <c r="A494" s="1"/>
      <c r="B494" s="1"/>
      <c r="C494" s="1"/>
      <c r="D494" s="92"/>
      <c r="E494" s="92"/>
      <c r="F494" s="9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>
      <c r="A495" s="1"/>
      <c r="B495" s="1"/>
      <c r="C495" s="1"/>
      <c r="D495" s="92"/>
      <c r="E495" s="92"/>
      <c r="F495" s="9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>
      <c r="A496" s="1"/>
      <c r="B496" s="1"/>
      <c r="C496" s="1"/>
      <c r="D496" s="92"/>
      <c r="E496" s="92"/>
      <c r="F496" s="9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>
      <c r="A497" s="1"/>
      <c r="B497" s="1"/>
      <c r="C497" s="1"/>
      <c r="D497" s="92"/>
      <c r="E497" s="92"/>
      <c r="F497" s="9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>
      <c r="A498" s="1"/>
      <c r="B498" s="1"/>
      <c r="C498" s="1"/>
      <c r="D498" s="92"/>
      <c r="E498" s="92"/>
      <c r="F498" s="9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>
      <c r="A499" s="1"/>
      <c r="B499" s="1"/>
      <c r="C499" s="1"/>
      <c r="D499" s="92"/>
      <c r="E499" s="92"/>
      <c r="F499" s="9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>
      <c r="A500" s="1"/>
      <c r="B500" s="1"/>
      <c r="C500" s="1"/>
      <c r="D500" s="92"/>
      <c r="E500" s="92"/>
      <c r="F500" s="9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>
      <c r="A501" s="1"/>
      <c r="B501" s="1"/>
      <c r="C501" s="1"/>
      <c r="D501" s="92"/>
      <c r="E501" s="92"/>
      <c r="F501" s="9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>
      <c r="A502" s="1"/>
      <c r="B502" s="1"/>
      <c r="C502" s="1"/>
      <c r="D502" s="92"/>
      <c r="E502" s="92"/>
      <c r="F502" s="9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>
      <c r="A503" s="1"/>
      <c r="B503" s="1"/>
      <c r="C503" s="1"/>
      <c r="D503" s="92"/>
      <c r="E503" s="92"/>
      <c r="F503" s="9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>
      <c r="A504" s="1"/>
      <c r="B504" s="1"/>
      <c r="C504" s="1"/>
      <c r="D504" s="92"/>
      <c r="E504" s="92"/>
      <c r="F504" s="9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>
      <c r="A505" s="1"/>
      <c r="B505" s="1"/>
      <c r="C505" s="1"/>
      <c r="D505" s="92"/>
      <c r="E505" s="92"/>
      <c r="F505" s="9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>
      <c r="A506" s="1"/>
      <c r="B506" s="1"/>
      <c r="C506" s="1"/>
      <c r="D506" s="92"/>
      <c r="E506" s="92"/>
      <c r="F506" s="9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>
      <c r="A507" s="1"/>
      <c r="B507" s="1"/>
      <c r="C507" s="1"/>
      <c r="D507" s="92"/>
      <c r="E507" s="92"/>
      <c r="F507" s="9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>
      <c r="A508" s="1"/>
      <c r="B508" s="1"/>
      <c r="C508" s="1"/>
      <c r="D508" s="92"/>
      <c r="E508" s="92"/>
      <c r="F508" s="9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>
      <c r="A509" s="1"/>
      <c r="B509" s="1"/>
      <c r="C509" s="1"/>
      <c r="D509" s="92"/>
      <c r="E509" s="92"/>
      <c r="F509" s="9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>
      <c r="A510" s="1"/>
      <c r="B510" s="1"/>
      <c r="C510" s="1"/>
      <c r="D510" s="92"/>
      <c r="E510" s="92"/>
      <c r="F510" s="9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>
      <c r="A511" s="1"/>
      <c r="B511" s="1"/>
      <c r="C511" s="1"/>
      <c r="D511" s="92"/>
      <c r="E511" s="92"/>
      <c r="F511" s="9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>
      <c r="A512" s="1"/>
      <c r="B512" s="1"/>
      <c r="C512" s="1"/>
      <c r="D512" s="92"/>
      <c r="E512" s="92"/>
      <c r="F512" s="9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>
      <c r="A513" s="1"/>
      <c r="B513" s="1"/>
      <c r="C513" s="1"/>
      <c r="D513" s="92"/>
      <c r="E513" s="92"/>
      <c r="F513" s="9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>
      <c r="A514" s="1"/>
      <c r="B514" s="1"/>
      <c r="C514" s="1"/>
      <c r="D514" s="92"/>
      <c r="E514" s="92"/>
      <c r="F514" s="9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>
      <c r="A515" s="1"/>
      <c r="B515" s="1"/>
      <c r="C515" s="1"/>
      <c r="D515" s="92"/>
      <c r="E515" s="92"/>
      <c r="F515" s="9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>
      <c r="A516" s="1"/>
      <c r="B516" s="1"/>
      <c r="C516" s="1"/>
      <c r="D516" s="92"/>
      <c r="E516" s="92"/>
      <c r="F516" s="9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>
      <c r="A517" s="1"/>
      <c r="B517" s="1"/>
      <c r="C517" s="1"/>
      <c r="D517" s="92"/>
      <c r="E517" s="92"/>
      <c r="F517" s="9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>
      <c r="A518" s="1"/>
      <c r="B518" s="1"/>
      <c r="C518" s="1"/>
      <c r="D518" s="92"/>
      <c r="E518" s="92"/>
      <c r="F518" s="9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>
      <c r="A519" s="1"/>
      <c r="B519" s="1"/>
      <c r="C519" s="1"/>
      <c r="D519" s="92"/>
      <c r="E519" s="92"/>
      <c r="F519" s="9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>
      <c r="A520" s="1"/>
      <c r="B520" s="1"/>
      <c r="C520" s="1"/>
      <c r="D520" s="92"/>
      <c r="E520" s="92"/>
      <c r="F520" s="9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>
      <c r="A521" s="1"/>
      <c r="B521" s="1"/>
      <c r="C521" s="1"/>
      <c r="D521" s="92"/>
      <c r="E521" s="92"/>
      <c r="F521" s="9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>
      <c r="A522" s="1"/>
      <c r="B522" s="1"/>
      <c r="C522" s="1"/>
      <c r="D522" s="92"/>
      <c r="E522" s="92"/>
      <c r="F522" s="9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>
      <c r="A523" s="1"/>
      <c r="B523" s="1"/>
      <c r="C523" s="1"/>
      <c r="D523" s="92"/>
      <c r="E523" s="92"/>
      <c r="F523" s="9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>
      <c r="A524" s="1"/>
      <c r="B524" s="1"/>
      <c r="C524" s="1"/>
      <c r="D524" s="92"/>
      <c r="E524" s="92"/>
      <c r="F524" s="9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>
      <c r="A525" s="1"/>
      <c r="B525" s="1"/>
      <c r="C525" s="1"/>
      <c r="D525" s="92"/>
      <c r="E525" s="92"/>
      <c r="F525" s="9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>
      <c r="A526" s="1"/>
      <c r="B526" s="1"/>
      <c r="C526" s="1"/>
      <c r="D526" s="92"/>
      <c r="E526" s="92"/>
      <c r="F526" s="9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>
      <c r="A527" s="1"/>
      <c r="B527" s="1"/>
      <c r="C527" s="1"/>
      <c r="D527" s="92"/>
      <c r="E527" s="92"/>
      <c r="F527" s="9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>
      <c r="A528" s="1"/>
      <c r="B528" s="1"/>
      <c r="C528" s="1"/>
      <c r="D528" s="92"/>
      <c r="E528" s="92"/>
      <c r="F528" s="9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>
      <c r="A529" s="1"/>
      <c r="B529" s="1"/>
      <c r="C529" s="1"/>
      <c r="D529" s="92"/>
      <c r="E529" s="92"/>
      <c r="F529" s="9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>
      <c r="A530" s="1"/>
      <c r="B530" s="1"/>
      <c r="C530" s="1"/>
      <c r="D530" s="92"/>
      <c r="E530" s="92"/>
      <c r="F530" s="9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>
      <c r="A531" s="1"/>
      <c r="B531" s="1"/>
      <c r="C531" s="1"/>
      <c r="D531" s="92"/>
      <c r="E531" s="92"/>
      <c r="F531" s="9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>
      <c r="A532" s="1"/>
      <c r="B532" s="1"/>
      <c r="C532" s="1"/>
      <c r="D532" s="92"/>
      <c r="E532" s="92"/>
      <c r="F532" s="9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>
      <c r="A533" s="1"/>
      <c r="B533" s="1"/>
      <c r="C533" s="1"/>
      <c r="D533" s="92"/>
      <c r="E533" s="92"/>
      <c r="F533" s="9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>
      <c r="A534" s="1"/>
      <c r="B534" s="1"/>
      <c r="C534" s="1"/>
      <c r="D534" s="92"/>
      <c r="E534" s="92"/>
      <c r="F534" s="9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>
      <c r="A535" s="1"/>
      <c r="B535" s="1"/>
      <c r="C535" s="1"/>
      <c r="D535" s="92"/>
      <c r="E535" s="92"/>
      <c r="F535" s="9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>
      <c r="A536" s="1"/>
      <c r="B536" s="1"/>
      <c r="C536" s="1"/>
      <c r="D536" s="92"/>
      <c r="E536" s="92"/>
      <c r="F536" s="9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>
      <c r="A537" s="1"/>
      <c r="B537" s="1"/>
      <c r="C537" s="1"/>
      <c r="D537" s="92"/>
      <c r="E537" s="92"/>
      <c r="F537" s="9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>
      <c r="A538" s="1"/>
      <c r="B538" s="1"/>
      <c r="C538" s="1"/>
      <c r="D538" s="92"/>
      <c r="E538" s="92"/>
      <c r="F538" s="9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>
      <c r="A539" s="1"/>
      <c r="B539" s="1"/>
      <c r="C539" s="1"/>
      <c r="D539" s="92"/>
      <c r="E539" s="92"/>
      <c r="F539" s="9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>
      <c r="A540" s="1"/>
      <c r="B540" s="1"/>
      <c r="C540" s="1"/>
      <c r="D540" s="92"/>
      <c r="E540" s="92"/>
      <c r="F540" s="9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>
      <c r="A541" s="1"/>
      <c r="B541" s="1"/>
      <c r="C541" s="1"/>
      <c r="D541" s="92"/>
      <c r="E541" s="92"/>
      <c r="F541" s="9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>
      <c r="A542" s="1"/>
      <c r="B542" s="1"/>
      <c r="C542" s="1"/>
      <c r="D542" s="92"/>
      <c r="E542" s="92"/>
      <c r="F542" s="9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>
      <c r="A543" s="1"/>
      <c r="B543" s="1"/>
      <c r="C543" s="1"/>
      <c r="D543" s="92"/>
      <c r="E543" s="92"/>
      <c r="F543" s="9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>
      <c r="A544" s="1"/>
      <c r="B544" s="1"/>
      <c r="C544" s="1"/>
      <c r="D544" s="92"/>
      <c r="E544" s="92"/>
      <c r="F544" s="9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>
      <c r="A545" s="1"/>
      <c r="B545" s="1"/>
      <c r="C545" s="1"/>
      <c r="D545" s="92"/>
      <c r="E545" s="92"/>
      <c r="F545" s="9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>
      <c r="A546" s="1"/>
      <c r="B546" s="1"/>
      <c r="C546" s="1"/>
      <c r="D546" s="92"/>
      <c r="E546" s="92"/>
      <c r="F546" s="9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>
      <c r="A547" s="1"/>
      <c r="B547" s="1"/>
      <c r="C547" s="1"/>
      <c r="D547" s="92"/>
      <c r="E547" s="92"/>
      <c r="F547" s="9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>
      <c r="A548" s="1"/>
      <c r="B548" s="1"/>
      <c r="C548" s="1"/>
      <c r="D548" s="92"/>
      <c r="E548" s="92"/>
      <c r="F548" s="9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>
      <c r="A549" s="1"/>
      <c r="B549" s="1"/>
      <c r="C549" s="1"/>
      <c r="D549" s="92"/>
      <c r="E549" s="92"/>
      <c r="F549" s="9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>
      <c r="A550" s="1"/>
      <c r="B550" s="1"/>
      <c r="C550" s="1"/>
      <c r="D550" s="92"/>
      <c r="E550" s="92"/>
      <c r="F550" s="9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>
      <c r="A551" s="1"/>
      <c r="B551" s="1"/>
      <c r="C551" s="1"/>
      <c r="D551" s="92"/>
      <c r="E551" s="92"/>
      <c r="F551" s="9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>
      <c r="A552" s="1"/>
      <c r="B552" s="1"/>
      <c r="C552" s="1"/>
      <c r="D552" s="92"/>
      <c r="E552" s="92"/>
      <c r="F552" s="9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>
      <c r="A553" s="1"/>
      <c r="B553" s="1"/>
      <c r="C553" s="1"/>
      <c r="D553" s="92"/>
      <c r="E553" s="92"/>
      <c r="F553" s="9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>
      <c r="A554" s="1"/>
      <c r="B554" s="1"/>
      <c r="C554" s="1"/>
      <c r="D554" s="92"/>
      <c r="E554" s="92"/>
      <c r="F554" s="9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>
      <c r="A555" s="1"/>
      <c r="B555" s="1"/>
      <c r="C555" s="1"/>
      <c r="D555" s="92"/>
      <c r="E555" s="92"/>
      <c r="F555" s="9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>
      <c r="A556" s="1"/>
      <c r="B556" s="1"/>
      <c r="C556" s="1"/>
      <c r="D556" s="92"/>
      <c r="E556" s="92"/>
      <c r="F556" s="9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>
      <c r="A557" s="1"/>
      <c r="B557" s="1"/>
      <c r="C557" s="1"/>
      <c r="D557" s="92"/>
      <c r="E557" s="92"/>
      <c r="F557" s="9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>
      <c r="A558" s="1"/>
      <c r="B558" s="1"/>
      <c r="C558" s="1"/>
      <c r="D558" s="92"/>
      <c r="E558" s="92"/>
      <c r="F558" s="9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>
      <c r="A559" s="1"/>
      <c r="B559" s="1"/>
      <c r="C559" s="1"/>
      <c r="D559" s="92"/>
      <c r="E559" s="92"/>
      <c r="F559" s="9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>
      <c r="A560" s="1"/>
      <c r="B560" s="1"/>
      <c r="C560" s="1"/>
      <c r="D560" s="92"/>
      <c r="E560" s="92"/>
      <c r="F560" s="9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>
      <c r="A561" s="1"/>
      <c r="B561" s="1"/>
      <c r="C561" s="1"/>
      <c r="D561" s="92"/>
      <c r="E561" s="92"/>
      <c r="F561" s="9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>
      <c r="A562" s="1"/>
      <c r="B562" s="1"/>
      <c r="C562" s="1"/>
      <c r="D562" s="92"/>
      <c r="E562" s="92"/>
      <c r="F562" s="9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>
      <c r="A563" s="1"/>
      <c r="B563" s="1"/>
      <c r="C563" s="1"/>
      <c r="D563" s="92"/>
      <c r="E563" s="92"/>
      <c r="F563" s="9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>
      <c r="A564" s="1"/>
      <c r="B564" s="1"/>
      <c r="C564" s="1"/>
      <c r="D564" s="92"/>
      <c r="E564" s="92"/>
      <c r="F564" s="9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>
      <c r="A565" s="1"/>
      <c r="B565" s="1"/>
      <c r="C565" s="1"/>
      <c r="D565" s="92"/>
      <c r="E565" s="92"/>
      <c r="F565" s="9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>
      <c r="A566" s="1"/>
      <c r="B566" s="1"/>
      <c r="C566" s="1"/>
      <c r="D566" s="92"/>
      <c r="E566" s="92"/>
      <c r="F566" s="9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>
      <c r="A567" s="1"/>
      <c r="B567" s="1"/>
      <c r="C567" s="1"/>
      <c r="D567" s="92"/>
      <c r="E567" s="92"/>
      <c r="F567" s="9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>
      <c r="A568" s="1"/>
      <c r="B568" s="1"/>
      <c r="C568" s="1"/>
      <c r="D568" s="92"/>
      <c r="E568" s="92"/>
      <c r="F568" s="9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>
      <c r="A569" s="1"/>
      <c r="B569" s="1"/>
      <c r="C569" s="1"/>
      <c r="D569" s="92"/>
      <c r="E569" s="92"/>
      <c r="F569" s="9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>
      <c r="A570" s="1"/>
      <c r="B570" s="1"/>
      <c r="C570" s="1"/>
      <c r="D570" s="92"/>
      <c r="E570" s="92"/>
      <c r="F570" s="9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>
      <c r="A571" s="1"/>
      <c r="B571" s="1"/>
      <c r="C571" s="1"/>
      <c r="D571" s="92"/>
      <c r="E571" s="92"/>
      <c r="F571" s="9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>
      <c r="A572" s="1"/>
      <c r="B572" s="1"/>
      <c r="C572" s="1"/>
      <c r="D572" s="92"/>
      <c r="E572" s="92"/>
      <c r="F572" s="9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>
      <c r="A573" s="1"/>
      <c r="B573" s="1"/>
      <c r="C573" s="1"/>
      <c r="D573" s="92"/>
      <c r="E573" s="92"/>
      <c r="F573" s="9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>
      <c r="A574" s="1"/>
      <c r="B574" s="1"/>
      <c r="C574" s="1"/>
      <c r="D574" s="92"/>
      <c r="E574" s="92"/>
      <c r="F574" s="9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>
      <c r="A575" s="1"/>
      <c r="B575" s="1"/>
      <c r="C575" s="1"/>
      <c r="D575" s="92"/>
      <c r="E575" s="92"/>
      <c r="F575" s="9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>
      <c r="A576" s="1"/>
      <c r="B576" s="1"/>
      <c r="C576" s="1"/>
      <c r="D576" s="92"/>
      <c r="E576" s="92"/>
      <c r="F576" s="9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>
      <c r="A577" s="1"/>
      <c r="B577" s="1"/>
      <c r="C577" s="1"/>
      <c r="D577" s="92"/>
      <c r="E577" s="92"/>
      <c r="F577" s="9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>
      <c r="A578" s="1"/>
      <c r="B578" s="1"/>
      <c r="C578" s="1"/>
      <c r="D578" s="92"/>
      <c r="E578" s="92"/>
      <c r="F578" s="9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>
      <c r="A579" s="1"/>
      <c r="B579" s="1"/>
      <c r="C579" s="1"/>
      <c r="D579" s="92"/>
      <c r="E579" s="92"/>
      <c r="F579" s="9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>
      <c r="A580" s="1"/>
      <c r="B580" s="1"/>
      <c r="C580" s="1"/>
      <c r="D580" s="92"/>
      <c r="E580" s="92"/>
      <c r="F580" s="9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>
      <c r="A581" s="1"/>
      <c r="B581" s="1"/>
      <c r="C581" s="1"/>
      <c r="D581" s="92"/>
      <c r="E581" s="92"/>
      <c r="F581" s="9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>
      <c r="A582" s="1"/>
      <c r="B582" s="1"/>
      <c r="C582" s="1"/>
      <c r="D582" s="92"/>
      <c r="E582" s="92"/>
      <c r="F582" s="9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>
      <c r="A583" s="1"/>
      <c r="B583" s="1"/>
      <c r="C583" s="1"/>
      <c r="D583" s="92"/>
      <c r="E583" s="92"/>
      <c r="F583" s="9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>
      <c r="A584" s="1"/>
      <c r="B584" s="1"/>
      <c r="C584" s="1"/>
      <c r="D584" s="92"/>
      <c r="E584" s="92"/>
      <c r="F584" s="9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>
      <c r="A585" s="1"/>
      <c r="B585" s="1"/>
      <c r="C585" s="1"/>
      <c r="D585" s="92"/>
      <c r="E585" s="92"/>
      <c r="F585" s="9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>
      <c r="A586" s="1"/>
      <c r="B586" s="1"/>
      <c r="C586" s="1"/>
      <c r="D586" s="92"/>
      <c r="E586" s="92"/>
      <c r="F586" s="9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>
      <c r="A587" s="1"/>
      <c r="B587" s="1"/>
      <c r="C587" s="1"/>
      <c r="D587" s="92"/>
      <c r="E587" s="92"/>
      <c r="F587" s="9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>
      <c r="A588" s="1"/>
      <c r="B588" s="1"/>
      <c r="C588" s="1"/>
      <c r="D588" s="92"/>
      <c r="E588" s="92"/>
      <c r="F588" s="9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>
      <c r="A589" s="1"/>
      <c r="B589" s="1"/>
      <c r="C589" s="1"/>
      <c r="D589" s="92"/>
      <c r="E589" s="92"/>
      <c r="F589" s="9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>
      <c r="A590" s="1"/>
      <c r="B590" s="1"/>
      <c r="C590" s="1"/>
      <c r="D590" s="92"/>
      <c r="E590" s="92"/>
      <c r="F590" s="9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>
      <c r="A591" s="1"/>
      <c r="B591" s="1"/>
      <c r="C591" s="1"/>
      <c r="D591" s="92"/>
      <c r="E591" s="92"/>
      <c r="F591" s="9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>
      <c r="A592" s="1"/>
      <c r="B592" s="1"/>
      <c r="C592" s="1"/>
      <c r="D592" s="92"/>
      <c r="E592" s="92"/>
      <c r="F592" s="9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>
      <c r="A593" s="1"/>
      <c r="B593" s="1"/>
      <c r="C593" s="1"/>
      <c r="D593" s="92"/>
      <c r="E593" s="92"/>
      <c r="F593" s="9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>
      <c r="A594" s="1"/>
      <c r="B594" s="1"/>
      <c r="C594" s="1"/>
      <c r="D594" s="92"/>
      <c r="E594" s="92"/>
      <c r="F594" s="9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>
      <c r="A595" s="1"/>
      <c r="B595" s="1"/>
      <c r="C595" s="1"/>
      <c r="D595" s="92"/>
      <c r="E595" s="92"/>
      <c r="F595" s="9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>
      <c r="A596" s="1"/>
      <c r="B596" s="1"/>
      <c r="C596" s="1"/>
      <c r="D596" s="92"/>
      <c r="E596" s="92"/>
      <c r="F596" s="9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>
      <c r="A597" s="1"/>
      <c r="B597" s="1"/>
      <c r="C597" s="1"/>
      <c r="D597" s="92"/>
      <c r="E597" s="92"/>
      <c r="F597" s="9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>
      <c r="A598" s="1"/>
      <c r="B598" s="1"/>
      <c r="C598" s="1"/>
      <c r="D598" s="92"/>
      <c r="E598" s="92"/>
      <c r="F598" s="9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>
      <c r="A599" s="1"/>
      <c r="B599" s="1"/>
      <c r="C599" s="1"/>
      <c r="D599" s="92"/>
      <c r="E599" s="92"/>
      <c r="F599" s="9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>
      <c r="A600" s="1"/>
      <c r="B600" s="1"/>
      <c r="C600" s="1"/>
      <c r="D600" s="92"/>
      <c r="E600" s="92"/>
      <c r="F600" s="9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>
      <c r="A601" s="1"/>
      <c r="B601" s="1"/>
      <c r="C601" s="1"/>
      <c r="D601" s="92"/>
      <c r="E601" s="92"/>
      <c r="F601" s="9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>
      <c r="A602" s="1"/>
      <c r="B602" s="1"/>
      <c r="C602" s="1"/>
      <c r="D602" s="92"/>
      <c r="E602" s="92"/>
      <c r="F602" s="9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>
      <c r="A603" s="1"/>
      <c r="B603" s="1"/>
      <c r="C603" s="1"/>
      <c r="D603" s="92"/>
      <c r="E603" s="92"/>
      <c r="F603" s="9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>
      <c r="A604" s="1"/>
      <c r="B604" s="1"/>
      <c r="C604" s="1"/>
      <c r="D604" s="92"/>
      <c r="E604" s="92"/>
      <c r="F604" s="9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>
      <c r="A605" s="1"/>
      <c r="B605" s="1"/>
      <c r="C605" s="1"/>
      <c r="D605" s="92"/>
      <c r="E605" s="92"/>
      <c r="F605" s="9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>
      <c r="A606" s="1"/>
      <c r="B606" s="1"/>
      <c r="C606" s="1"/>
      <c r="D606" s="92"/>
      <c r="E606" s="92"/>
      <c r="F606" s="9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>
      <c r="A607" s="1"/>
      <c r="B607" s="1"/>
      <c r="C607" s="1"/>
      <c r="D607" s="92"/>
      <c r="E607" s="92"/>
      <c r="F607" s="9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>
      <c r="A608" s="1"/>
      <c r="B608" s="1"/>
      <c r="C608" s="1"/>
      <c r="D608" s="92"/>
      <c r="E608" s="92"/>
      <c r="F608" s="9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>
      <c r="A609" s="1"/>
      <c r="B609" s="1"/>
      <c r="C609" s="1"/>
      <c r="D609" s="92"/>
      <c r="E609" s="92"/>
      <c r="F609" s="9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>
      <c r="A610" s="1"/>
      <c r="B610" s="1"/>
      <c r="C610" s="1"/>
      <c r="D610" s="92"/>
      <c r="E610" s="92"/>
      <c r="F610" s="9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>
      <c r="A611" s="1"/>
      <c r="B611" s="1"/>
      <c r="C611" s="1"/>
      <c r="D611" s="92"/>
      <c r="E611" s="92"/>
      <c r="F611" s="9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>
      <c r="A612" s="1"/>
      <c r="B612" s="1"/>
      <c r="C612" s="1"/>
      <c r="D612" s="92"/>
      <c r="E612" s="92"/>
      <c r="F612" s="9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>
      <c r="A613" s="1"/>
      <c r="B613" s="1"/>
      <c r="C613" s="1"/>
      <c r="D613" s="92"/>
      <c r="E613" s="92"/>
      <c r="F613" s="9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>
      <c r="A614" s="1"/>
      <c r="B614" s="1"/>
      <c r="C614" s="1"/>
      <c r="D614" s="92"/>
      <c r="E614" s="92"/>
      <c r="F614" s="9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>
      <c r="A615" s="1"/>
      <c r="B615" s="1"/>
      <c r="C615" s="1"/>
      <c r="D615" s="92"/>
      <c r="E615" s="92"/>
      <c r="F615" s="9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>
      <c r="A616" s="1"/>
      <c r="B616" s="1"/>
      <c r="C616" s="1"/>
      <c r="D616" s="92"/>
      <c r="E616" s="92"/>
      <c r="F616" s="9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>
      <c r="A617" s="1"/>
      <c r="B617" s="1"/>
      <c r="C617" s="1"/>
      <c r="D617" s="92"/>
      <c r="E617" s="92"/>
      <c r="F617" s="9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>
      <c r="A618" s="1"/>
      <c r="B618" s="1"/>
      <c r="C618" s="1"/>
      <c r="D618" s="92"/>
      <c r="E618" s="92"/>
      <c r="F618" s="9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>
      <c r="A619" s="1"/>
      <c r="B619" s="1"/>
      <c r="C619" s="1"/>
      <c r="D619" s="92"/>
      <c r="E619" s="92"/>
      <c r="F619" s="9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>
      <c r="A620" s="1"/>
      <c r="B620" s="1"/>
      <c r="C620" s="1"/>
      <c r="D620" s="92"/>
      <c r="E620" s="92"/>
      <c r="F620" s="9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>
      <c r="A621" s="1"/>
      <c r="B621" s="1"/>
      <c r="C621" s="1"/>
      <c r="D621" s="92"/>
      <c r="E621" s="92"/>
      <c r="F621" s="9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>
      <c r="A622" s="1"/>
      <c r="B622" s="1"/>
      <c r="C622" s="1"/>
      <c r="D622" s="92"/>
      <c r="E622" s="92"/>
      <c r="F622" s="9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>
      <c r="A623" s="1"/>
      <c r="B623" s="1"/>
      <c r="C623" s="1"/>
      <c r="D623" s="92"/>
      <c r="E623" s="92"/>
      <c r="F623" s="9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>
      <c r="A624" s="1"/>
      <c r="B624" s="1"/>
      <c r="C624" s="1"/>
      <c r="D624" s="92"/>
      <c r="E624" s="92"/>
      <c r="F624" s="9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>
      <c r="A625" s="1"/>
      <c r="B625" s="1"/>
      <c r="C625" s="1"/>
      <c r="D625" s="92"/>
      <c r="E625" s="92"/>
      <c r="F625" s="9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>
      <c r="A626" s="1"/>
      <c r="B626" s="1"/>
      <c r="C626" s="1"/>
      <c r="D626" s="92"/>
      <c r="E626" s="92"/>
      <c r="F626" s="9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>
      <c r="A627" s="1"/>
      <c r="B627" s="1"/>
      <c r="C627" s="1"/>
      <c r="D627" s="92"/>
      <c r="E627" s="92"/>
      <c r="F627" s="9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>
      <c r="A628" s="1"/>
      <c r="B628" s="1"/>
      <c r="C628" s="1"/>
      <c r="D628" s="92"/>
      <c r="E628" s="92"/>
      <c r="F628" s="9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>
      <c r="A629" s="1"/>
      <c r="B629" s="1"/>
      <c r="C629" s="1"/>
      <c r="D629" s="92"/>
      <c r="E629" s="92"/>
      <c r="F629" s="9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>
      <c r="A630" s="1"/>
      <c r="B630" s="1"/>
      <c r="C630" s="1"/>
      <c r="D630" s="92"/>
      <c r="E630" s="92"/>
      <c r="F630" s="9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>
      <c r="A631" s="1"/>
      <c r="B631" s="1"/>
      <c r="C631" s="1"/>
      <c r="D631" s="92"/>
      <c r="E631" s="92"/>
      <c r="F631" s="9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>
      <c r="A632" s="1"/>
      <c r="B632" s="1"/>
      <c r="C632" s="1"/>
      <c r="D632" s="92"/>
      <c r="E632" s="92"/>
      <c r="F632" s="9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>
      <c r="A633" s="1"/>
      <c r="B633" s="1"/>
      <c r="C633" s="1"/>
      <c r="D633" s="92"/>
      <c r="E633" s="92"/>
      <c r="F633" s="9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>
      <c r="A634" s="1"/>
      <c r="B634" s="1"/>
      <c r="C634" s="1"/>
      <c r="D634" s="92"/>
      <c r="E634" s="92"/>
      <c r="F634" s="9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>
      <c r="A635" s="1"/>
      <c r="B635" s="1"/>
      <c r="C635" s="1"/>
      <c r="D635" s="92"/>
      <c r="E635" s="92"/>
      <c r="F635" s="9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>
      <c r="A636" s="1"/>
      <c r="B636" s="1"/>
      <c r="C636" s="1"/>
      <c r="D636" s="92"/>
      <c r="E636" s="92"/>
      <c r="F636" s="9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>
      <c r="A637" s="1"/>
      <c r="B637" s="1"/>
      <c r="C637" s="1"/>
      <c r="D637" s="92"/>
      <c r="E637" s="92"/>
      <c r="F637" s="9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>
      <c r="A638" s="1"/>
      <c r="B638" s="1"/>
      <c r="C638" s="1"/>
      <c r="D638" s="92"/>
      <c r="E638" s="92"/>
      <c r="F638" s="9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>
      <c r="A639" s="1"/>
      <c r="B639" s="1"/>
      <c r="C639" s="1"/>
      <c r="D639" s="92"/>
      <c r="E639" s="92"/>
      <c r="F639" s="9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>
      <c r="A640" s="1"/>
      <c r="B640" s="1"/>
      <c r="C640" s="1"/>
      <c r="D640" s="92"/>
      <c r="E640" s="92"/>
      <c r="F640" s="9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>
      <c r="A641" s="1"/>
      <c r="B641" s="1"/>
      <c r="C641" s="1"/>
      <c r="D641" s="92"/>
      <c r="E641" s="92"/>
      <c r="F641" s="9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>
      <c r="A642" s="1"/>
      <c r="B642" s="1"/>
      <c r="C642" s="1"/>
      <c r="D642" s="92"/>
      <c r="E642" s="92"/>
      <c r="F642" s="9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>
      <c r="A643" s="1"/>
      <c r="B643" s="1"/>
      <c r="C643" s="1"/>
      <c r="D643" s="92"/>
      <c r="E643" s="92"/>
      <c r="F643" s="9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>
      <c r="A644" s="1"/>
      <c r="B644" s="1"/>
      <c r="C644" s="1"/>
      <c r="D644" s="92"/>
      <c r="E644" s="92"/>
      <c r="F644" s="9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>
      <c r="A645" s="1"/>
      <c r="B645" s="1"/>
      <c r="C645" s="1"/>
      <c r="D645" s="92"/>
      <c r="E645" s="92"/>
      <c r="F645" s="9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>
      <c r="A646" s="1"/>
      <c r="B646" s="1"/>
      <c r="C646" s="1"/>
      <c r="D646" s="92"/>
      <c r="E646" s="92"/>
      <c r="F646" s="9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>
      <c r="A647" s="1"/>
      <c r="B647" s="1"/>
      <c r="C647" s="1"/>
      <c r="D647" s="92"/>
      <c r="E647" s="92"/>
      <c r="F647" s="9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>
      <c r="A648" s="1"/>
      <c r="B648" s="1"/>
      <c r="C648" s="1"/>
      <c r="D648" s="92"/>
      <c r="E648" s="92"/>
      <c r="F648" s="9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>
      <c r="A649" s="1"/>
      <c r="B649" s="1"/>
      <c r="C649" s="1"/>
      <c r="D649" s="92"/>
      <c r="E649" s="92"/>
      <c r="F649" s="9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>
      <c r="A650" s="1"/>
      <c r="B650" s="1"/>
      <c r="C650" s="1"/>
      <c r="D650" s="92"/>
      <c r="E650" s="92"/>
      <c r="F650" s="9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>
      <c r="A651" s="1"/>
      <c r="B651" s="1"/>
      <c r="C651" s="1"/>
      <c r="D651" s="92"/>
      <c r="E651" s="92"/>
      <c r="F651" s="9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>
      <c r="A652" s="1"/>
      <c r="B652" s="1"/>
      <c r="C652" s="1"/>
      <c r="D652" s="92"/>
      <c r="E652" s="92"/>
      <c r="F652" s="9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>
      <c r="A653" s="1"/>
      <c r="B653" s="1"/>
      <c r="C653" s="1"/>
      <c r="D653" s="92"/>
      <c r="E653" s="92"/>
      <c r="F653" s="9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>
      <c r="A654" s="1"/>
      <c r="B654" s="1"/>
      <c r="C654" s="1"/>
      <c r="D654" s="92"/>
      <c r="E654" s="92"/>
      <c r="F654" s="9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>
      <c r="A655" s="1"/>
      <c r="B655" s="1"/>
      <c r="C655" s="1"/>
      <c r="D655" s="92"/>
      <c r="E655" s="92"/>
      <c r="F655" s="9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>
      <c r="A656" s="1"/>
      <c r="B656" s="1"/>
      <c r="C656" s="1"/>
      <c r="D656" s="92"/>
      <c r="E656" s="92"/>
      <c r="F656" s="9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>
      <c r="A657" s="1"/>
      <c r="B657" s="1"/>
      <c r="C657" s="1"/>
      <c r="D657" s="92"/>
      <c r="E657" s="92"/>
      <c r="F657" s="9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>
      <c r="A658" s="1"/>
      <c r="B658" s="1"/>
      <c r="C658" s="1"/>
      <c r="D658" s="92"/>
      <c r="E658" s="92"/>
      <c r="F658" s="9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>
      <c r="A659" s="1"/>
      <c r="B659" s="1"/>
      <c r="C659" s="1"/>
      <c r="D659" s="92"/>
      <c r="E659" s="92"/>
      <c r="F659" s="9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>
      <c r="A660" s="1"/>
      <c r="B660" s="1"/>
      <c r="C660" s="1"/>
      <c r="D660" s="92"/>
      <c r="E660" s="92"/>
      <c r="F660" s="9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>
      <c r="A661" s="1"/>
      <c r="B661" s="1"/>
      <c r="C661" s="1"/>
      <c r="D661" s="92"/>
      <c r="E661" s="92"/>
      <c r="F661" s="9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>
      <c r="A662" s="1"/>
      <c r="B662" s="1"/>
      <c r="C662" s="1"/>
      <c r="D662" s="92"/>
      <c r="E662" s="92"/>
      <c r="F662" s="9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>
      <c r="A663" s="1"/>
      <c r="B663" s="1"/>
      <c r="C663" s="1"/>
      <c r="D663" s="92"/>
      <c r="E663" s="92"/>
      <c r="F663" s="9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>
      <c r="A664" s="1"/>
      <c r="B664" s="1"/>
      <c r="C664" s="1"/>
      <c r="D664" s="92"/>
      <c r="E664" s="92"/>
      <c r="F664" s="9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>
      <c r="A665" s="1"/>
      <c r="B665" s="1"/>
      <c r="C665" s="1"/>
      <c r="D665" s="92"/>
      <c r="E665" s="92"/>
      <c r="F665" s="9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>
      <c r="A666" s="1"/>
      <c r="B666" s="1"/>
      <c r="C666" s="1"/>
      <c r="D666" s="92"/>
      <c r="E666" s="92"/>
      <c r="F666" s="9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>
      <c r="A667" s="1"/>
      <c r="B667" s="1"/>
      <c r="C667" s="1"/>
      <c r="D667" s="92"/>
      <c r="E667" s="92"/>
      <c r="F667" s="9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>
      <c r="A668" s="1"/>
      <c r="B668" s="1"/>
      <c r="C668" s="1"/>
      <c r="D668" s="92"/>
      <c r="E668" s="92"/>
      <c r="F668" s="9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>
      <c r="A669" s="1"/>
      <c r="B669" s="1"/>
      <c r="C669" s="1"/>
      <c r="D669" s="92"/>
      <c r="E669" s="92"/>
      <c r="F669" s="9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>
      <c r="A670" s="1"/>
      <c r="B670" s="1"/>
      <c r="C670" s="1"/>
      <c r="D670" s="92"/>
      <c r="E670" s="92"/>
      <c r="F670" s="9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>
      <c r="A671" s="1"/>
      <c r="B671" s="1"/>
      <c r="C671" s="1"/>
      <c r="D671" s="92"/>
      <c r="E671" s="92"/>
      <c r="F671" s="9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>
      <c r="A672" s="1"/>
      <c r="B672" s="1"/>
      <c r="C672" s="1"/>
      <c r="D672" s="92"/>
      <c r="E672" s="92"/>
      <c r="F672" s="9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>
      <c r="A673" s="1"/>
      <c r="B673" s="1"/>
      <c r="C673" s="1"/>
      <c r="D673" s="92"/>
      <c r="E673" s="92"/>
      <c r="F673" s="9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>
      <c r="A674" s="1"/>
      <c r="B674" s="1"/>
      <c r="C674" s="1"/>
      <c r="D674" s="92"/>
      <c r="E674" s="92"/>
      <c r="F674" s="9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>
      <c r="A675" s="1"/>
      <c r="B675" s="1"/>
      <c r="C675" s="1"/>
      <c r="D675" s="92"/>
      <c r="E675" s="92"/>
      <c r="F675" s="9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>
      <c r="A676" s="1"/>
      <c r="B676" s="1"/>
      <c r="C676" s="1"/>
      <c r="D676" s="92"/>
      <c r="E676" s="92"/>
      <c r="F676" s="9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>
      <c r="A677" s="1"/>
      <c r="B677" s="1"/>
      <c r="C677" s="1"/>
      <c r="D677" s="92"/>
      <c r="E677" s="92"/>
      <c r="F677" s="9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>
      <c r="A678" s="1"/>
      <c r="B678" s="1"/>
      <c r="C678" s="1"/>
      <c r="D678" s="92"/>
      <c r="E678" s="92"/>
      <c r="F678" s="9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>
      <c r="A679" s="1"/>
      <c r="B679" s="1"/>
      <c r="C679" s="1"/>
      <c r="D679" s="92"/>
      <c r="E679" s="92"/>
      <c r="F679" s="9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>
      <c r="A680" s="1"/>
      <c r="B680" s="1"/>
      <c r="C680" s="1"/>
      <c r="D680" s="92"/>
      <c r="E680" s="92"/>
      <c r="F680" s="9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>
      <c r="A681" s="1"/>
      <c r="B681" s="1"/>
      <c r="C681" s="1"/>
      <c r="D681" s="92"/>
      <c r="E681" s="92"/>
      <c r="F681" s="9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>
      <c r="A682" s="1"/>
      <c r="B682" s="1"/>
      <c r="C682" s="1"/>
      <c r="D682" s="92"/>
      <c r="E682" s="92"/>
      <c r="F682" s="9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>
      <c r="A683" s="1"/>
      <c r="B683" s="1"/>
      <c r="C683" s="1"/>
      <c r="D683" s="92"/>
      <c r="E683" s="92"/>
      <c r="F683" s="9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>
      <c r="A684" s="1"/>
      <c r="B684" s="1"/>
      <c r="C684" s="1"/>
      <c r="D684" s="92"/>
      <c r="E684" s="92"/>
      <c r="F684" s="9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>
      <c r="A685" s="1"/>
      <c r="B685" s="1"/>
      <c r="C685" s="1"/>
      <c r="D685" s="92"/>
      <c r="E685" s="92"/>
      <c r="F685" s="9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>
      <c r="A686" s="1"/>
      <c r="B686" s="1"/>
      <c r="C686" s="1"/>
      <c r="D686" s="92"/>
      <c r="E686" s="92"/>
      <c r="F686" s="9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>
      <c r="A687" s="1"/>
      <c r="B687" s="1"/>
      <c r="C687" s="1"/>
      <c r="D687" s="92"/>
      <c r="E687" s="92"/>
      <c r="F687" s="9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>
      <c r="A688" s="1"/>
      <c r="B688" s="1"/>
      <c r="C688" s="1"/>
      <c r="D688" s="92"/>
      <c r="E688" s="92"/>
      <c r="F688" s="9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>
      <c r="A689" s="1"/>
      <c r="B689" s="1"/>
      <c r="C689" s="1"/>
      <c r="D689" s="92"/>
      <c r="E689" s="92"/>
      <c r="F689" s="9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>
      <c r="A690" s="1"/>
      <c r="B690" s="1"/>
      <c r="C690" s="1"/>
      <c r="D690" s="92"/>
      <c r="E690" s="92"/>
      <c r="F690" s="9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>
      <c r="A691" s="1"/>
      <c r="B691" s="1"/>
      <c r="C691" s="1"/>
      <c r="D691" s="92"/>
      <c r="E691" s="92"/>
      <c r="F691" s="9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>
      <c r="A692" s="1"/>
      <c r="B692" s="1"/>
      <c r="C692" s="1"/>
      <c r="D692" s="92"/>
      <c r="E692" s="92"/>
      <c r="F692" s="9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>
      <c r="A693" s="1"/>
      <c r="B693" s="1"/>
      <c r="C693" s="1"/>
      <c r="D693" s="92"/>
      <c r="E693" s="92"/>
      <c r="F693" s="9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>
      <c r="A694" s="1"/>
      <c r="B694" s="1"/>
      <c r="C694" s="1"/>
      <c r="D694" s="92"/>
      <c r="E694" s="92"/>
      <c r="F694" s="9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>
      <c r="A695" s="1"/>
      <c r="B695" s="1"/>
      <c r="C695" s="1"/>
      <c r="D695" s="92"/>
      <c r="E695" s="92"/>
      <c r="F695" s="9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>
      <c r="A696" s="1"/>
      <c r="B696" s="1"/>
      <c r="C696" s="1"/>
      <c r="D696" s="92"/>
      <c r="E696" s="92"/>
      <c r="F696" s="9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>
      <c r="A697" s="1"/>
      <c r="B697" s="1"/>
      <c r="C697" s="1"/>
      <c r="D697" s="92"/>
      <c r="E697" s="92"/>
      <c r="F697" s="9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>
      <c r="A698" s="1"/>
      <c r="B698" s="1"/>
      <c r="C698" s="1"/>
      <c r="D698" s="92"/>
      <c r="E698" s="92"/>
      <c r="F698" s="9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>
      <c r="A699" s="1"/>
      <c r="B699" s="1"/>
      <c r="C699" s="1"/>
      <c r="D699" s="92"/>
      <c r="E699" s="92"/>
      <c r="F699" s="9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>
      <c r="A700" s="1"/>
      <c r="B700" s="1"/>
      <c r="C700" s="1"/>
      <c r="D700" s="92"/>
      <c r="E700" s="92"/>
      <c r="F700" s="9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>
      <c r="A701" s="1"/>
      <c r="B701" s="1"/>
      <c r="C701" s="1"/>
      <c r="D701" s="92"/>
      <c r="E701" s="92"/>
      <c r="F701" s="9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>
      <c r="A702" s="1"/>
      <c r="B702" s="1"/>
      <c r="C702" s="1"/>
      <c r="D702" s="92"/>
      <c r="E702" s="92"/>
      <c r="F702" s="9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>
      <c r="A703" s="1"/>
      <c r="B703" s="1"/>
      <c r="C703" s="1"/>
      <c r="D703" s="92"/>
      <c r="E703" s="92"/>
      <c r="F703" s="9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>
      <c r="A704" s="1"/>
      <c r="B704" s="1"/>
      <c r="C704" s="1"/>
      <c r="D704" s="92"/>
      <c r="E704" s="92"/>
      <c r="F704" s="9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>
      <c r="A705" s="1"/>
      <c r="B705" s="1"/>
      <c r="C705" s="1"/>
      <c r="D705" s="92"/>
      <c r="E705" s="92"/>
      <c r="F705" s="9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>
      <c r="A706" s="1"/>
      <c r="B706" s="1"/>
      <c r="C706" s="1"/>
      <c r="D706" s="92"/>
      <c r="E706" s="92"/>
      <c r="F706" s="9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>
      <c r="A707" s="1"/>
      <c r="B707" s="1"/>
      <c r="C707" s="1"/>
      <c r="D707" s="92"/>
      <c r="E707" s="92"/>
      <c r="F707" s="9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>
      <c r="A708" s="1"/>
      <c r="B708" s="1"/>
      <c r="C708" s="1"/>
      <c r="D708" s="92"/>
      <c r="E708" s="92"/>
      <c r="F708" s="9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>
      <c r="A709" s="1"/>
      <c r="B709" s="1"/>
      <c r="C709" s="1"/>
      <c r="D709" s="92"/>
      <c r="E709" s="92"/>
      <c r="F709" s="9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>
      <c r="A710" s="1"/>
      <c r="B710" s="1"/>
      <c r="C710" s="1"/>
      <c r="D710" s="92"/>
      <c r="E710" s="92"/>
      <c r="F710" s="9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>
      <c r="A711" s="1"/>
      <c r="B711" s="1"/>
      <c r="C711" s="1"/>
      <c r="D711" s="92"/>
      <c r="E711" s="92"/>
      <c r="F711" s="9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>
      <c r="A712" s="1"/>
      <c r="B712" s="1"/>
      <c r="C712" s="1"/>
      <c r="D712" s="92"/>
      <c r="E712" s="92"/>
      <c r="F712" s="9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>
      <c r="A713" s="1"/>
      <c r="B713" s="1"/>
      <c r="C713" s="1"/>
      <c r="D713" s="92"/>
      <c r="E713" s="92"/>
      <c r="F713" s="9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>
      <c r="A714" s="1"/>
      <c r="B714" s="1"/>
      <c r="C714" s="1"/>
      <c r="D714" s="92"/>
      <c r="E714" s="92"/>
      <c r="F714" s="9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>
      <c r="A715" s="1"/>
      <c r="B715" s="1"/>
      <c r="C715" s="1"/>
      <c r="D715" s="92"/>
      <c r="E715" s="92"/>
      <c r="F715" s="9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>
      <c r="A716" s="1"/>
      <c r="B716" s="1"/>
      <c r="C716" s="1"/>
      <c r="D716" s="92"/>
      <c r="E716" s="92"/>
      <c r="F716" s="9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>
      <c r="A717" s="1"/>
      <c r="B717" s="1"/>
      <c r="C717" s="1"/>
      <c r="D717" s="92"/>
      <c r="E717" s="92"/>
      <c r="F717" s="9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>
      <c r="A718" s="1"/>
      <c r="B718" s="1"/>
      <c r="C718" s="1"/>
      <c r="D718" s="92"/>
      <c r="E718" s="92"/>
      <c r="F718" s="9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>
      <c r="A719" s="1"/>
      <c r="B719" s="1"/>
      <c r="C719" s="1"/>
      <c r="D719" s="92"/>
      <c r="E719" s="92"/>
      <c r="F719" s="9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>
      <c r="A720" s="1"/>
      <c r="B720" s="1"/>
      <c r="C720" s="1"/>
      <c r="D720" s="92"/>
      <c r="E720" s="92"/>
      <c r="F720" s="9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>
      <c r="A721" s="1"/>
      <c r="B721" s="1"/>
      <c r="C721" s="1"/>
      <c r="D721" s="92"/>
      <c r="E721" s="92"/>
      <c r="F721" s="9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>
      <c r="A722" s="1"/>
      <c r="B722" s="1"/>
      <c r="C722" s="1"/>
      <c r="D722" s="92"/>
      <c r="E722" s="92"/>
      <c r="F722" s="9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>
      <c r="A723" s="1"/>
      <c r="B723" s="1"/>
      <c r="C723" s="1"/>
      <c r="D723" s="92"/>
      <c r="E723" s="92"/>
      <c r="F723" s="9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>
      <c r="A724" s="1"/>
      <c r="B724" s="1"/>
      <c r="C724" s="1"/>
      <c r="D724" s="92"/>
      <c r="E724" s="92"/>
      <c r="F724" s="9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>
      <c r="A725" s="1"/>
      <c r="B725" s="1"/>
      <c r="C725" s="1"/>
      <c r="D725" s="92"/>
      <c r="E725" s="92"/>
      <c r="F725" s="9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>
      <c r="A726" s="1"/>
      <c r="B726" s="1"/>
      <c r="C726" s="1"/>
      <c r="D726" s="92"/>
      <c r="E726" s="92"/>
      <c r="F726" s="9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>
      <c r="A727" s="1"/>
      <c r="B727" s="1"/>
      <c r="C727" s="1"/>
      <c r="D727" s="92"/>
      <c r="E727" s="92"/>
      <c r="F727" s="9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>
      <c r="A728" s="1"/>
      <c r="B728" s="1"/>
      <c r="C728" s="1"/>
      <c r="D728" s="92"/>
      <c r="E728" s="92"/>
      <c r="F728" s="9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>
      <c r="A729" s="1"/>
      <c r="B729" s="1"/>
      <c r="C729" s="1"/>
      <c r="D729" s="92"/>
      <c r="E729" s="92"/>
      <c r="F729" s="9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>
      <c r="A730" s="1"/>
      <c r="B730" s="1"/>
      <c r="C730" s="1"/>
      <c r="D730" s="92"/>
      <c r="E730" s="92"/>
      <c r="F730" s="9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>
      <c r="A731" s="1"/>
      <c r="B731" s="1"/>
      <c r="C731" s="1"/>
      <c r="D731" s="92"/>
      <c r="E731" s="92"/>
      <c r="F731" s="9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>
      <c r="A732" s="1"/>
      <c r="B732" s="1"/>
      <c r="C732" s="1"/>
      <c r="D732" s="92"/>
      <c r="E732" s="92"/>
      <c r="F732" s="9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>
      <c r="A733" s="1"/>
      <c r="B733" s="1"/>
      <c r="C733" s="1"/>
      <c r="D733" s="92"/>
      <c r="E733" s="92"/>
      <c r="F733" s="9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>
      <c r="A734" s="1"/>
      <c r="B734" s="1"/>
      <c r="C734" s="1"/>
      <c r="D734" s="92"/>
      <c r="E734" s="92"/>
      <c r="F734" s="9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>
      <c r="A735" s="1"/>
      <c r="B735" s="1"/>
      <c r="C735" s="1"/>
      <c r="D735" s="92"/>
      <c r="E735" s="92"/>
      <c r="F735" s="9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>
      <c r="A736" s="1"/>
      <c r="B736" s="1"/>
      <c r="C736" s="1"/>
      <c r="D736" s="92"/>
      <c r="E736" s="92"/>
      <c r="F736" s="9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>
      <c r="A737" s="1"/>
      <c r="B737" s="1"/>
      <c r="C737" s="1"/>
      <c r="D737" s="92"/>
      <c r="E737" s="92"/>
      <c r="F737" s="9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>
      <c r="A738" s="1"/>
      <c r="B738" s="1"/>
      <c r="C738" s="1"/>
      <c r="D738" s="92"/>
      <c r="E738" s="92"/>
      <c r="F738" s="9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>
      <c r="A739" s="1"/>
      <c r="B739" s="1"/>
      <c r="C739" s="1"/>
      <c r="D739" s="92"/>
      <c r="E739" s="92"/>
      <c r="F739" s="9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>
      <c r="A740" s="1"/>
      <c r="B740" s="1"/>
      <c r="C740" s="1"/>
      <c r="D740" s="92"/>
      <c r="E740" s="92"/>
      <c r="F740" s="9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>
      <c r="A741" s="1"/>
      <c r="B741" s="1"/>
      <c r="C741" s="1"/>
      <c r="D741" s="92"/>
      <c r="E741" s="92"/>
      <c r="F741" s="9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>
      <c r="A742" s="1"/>
      <c r="B742" s="1"/>
      <c r="C742" s="1"/>
      <c r="D742" s="92"/>
      <c r="E742" s="92"/>
      <c r="F742" s="9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>
      <c r="A743" s="1"/>
      <c r="B743" s="1"/>
      <c r="C743" s="1"/>
      <c r="D743" s="92"/>
      <c r="E743" s="92"/>
      <c r="F743" s="9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>
      <c r="A744" s="1"/>
      <c r="B744" s="1"/>
      <c r="C744" s="1"/>
      <c r="D744" s="92"/>
      <c r="E744" s="92"/>
      <c r="F744" s="9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>
      <c r="A745" s="1"/>
      <c r="B745" s="1"/>
      <c r="C745" s="1"/>
      <c r="D745" s="92"/>
      <c r="E745" s="92"/>
      <c r="F745" s="9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>
      <c r="A746" s="1"/>
      <c r="B746" s="1"/>
      <c r="C746" s="1"/>
      <c r="D746" s="92"/>
      <c r="E746" s="92"/>
      <c r="F746" s="9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>
      <c r="A747" s="1"/>
      <c r="B747" s="1"/>
      <c r="C747" s="1"/>
      <c r="D747" s="92"/>
      <c r="E747" s="92"/>
      <c r="F747" s="9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>
      <c r="A748" s="1"/>
      <c r="B748" s="1"/>
      <c r="C748" s="1"/>
      <c r="D748" s="92"/>
      <c r="E748" s="92"/>
      <c r="F748" s="9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>
      <c r="A749" s="1"/>
      <c r="B749" s="1"/>
      <c r="C749" s="1"/>
      <c r="D749" s="92"/>
      <c r="E749" s="92"/>
      <c r="F749" s="9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>
      <c r="A750" s="1"/>
      <c r="B750" s="1"/>
      <c r="C750" s="1"/>
      <c r="D750" s="92"/>
      <c r="E750" s="92"/>
      <c r="F750" s="9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>
      <c r="A751" s="1"/>
      <c r="B751" s="1"/>
      <c r="C751" s="1"/>
      <c r="D751" s="92"/>
      <c r="E751" s="92"/>
      <c r="F751" s="9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>
      <c r="A752" s="1"/>
      <c r="B752" s="1"/>
      <c r="C752" s="1"/>
      <c r="D752" s="92"/>
      <c r="E752" s="92"/>
      <c r="F752" s="9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>
      <c r="A753" s="1"/>
      <c r="B753" s="1"/>
      <c r="C753" s="1"/>
      <c r="D753" s="92"/>
      <c r="E753" s="92"/>
      <c r="F753" s="9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>
      <c r="A754" s="1"/>
      <c r="B754" s="1"/>
      <c r="C754" s="1"/>
      <c r="D754" s="92"/>
      <c r="E754" s="92"/>
      <c r="F754" s="9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>
      <c r="A755" s="1"/>
      <c r="B755" s="1"/>
      <c r="C755" s="1"/>
      <c r="D755" s="92"/>
      <c r="E755" s="92"/>
      <c r="F755" s="9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>
      <c r="A756" s="1"/>
      <c r="B756" s="1"/>
      <c r="C756" s="1"/>
      <c r="D756" s="92"/>
      <c r="E756" s="92"/>
      <c r="F756" s="9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>
      <c r="A757" s="1"/>
      <c r="B757" s="1"/>
      <c r="C757" s="1"/>
      <c r="D757" s="92"/>
      <c r="E757" s="92"/>
      <c r="F757" s="9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>
      <c r="A758" s="1"/>
      <c r="B758" s="1"/>
      <c r="C758" s="1"/>
      <c r="D758" s="92"/>
      <c r="E758" s="92"/>
      <c r="F758" s="9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>
      <c r="A759" s="1"/>
      <c r="B759" s="1"/>
      <c r="C759" s="1"/>
      <c r="D759" s="92"/>
      <c r="E759" s="92"/>
      <c r="F759" s="9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>
      <c r="A760" s="1"/>
      <c r="B760" s="1"/>
      <c r="C760" s="1"/>
      <c r="D760" s="92"/>
      <c r="E760" s="92"/>
      <c r="F760" s="9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>
      <c r="A761" s="1"/>
      <c r="B761" s="1"/>
      <c r="C761" s="1"/>
      <c r="D761" s="92"/>
      <c r="E761" s="92"/>
      <c r="F761" s="9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>
      <c r="A762" s="1"/>
      <c r="B762" s="1"/>
      <c r="C762" s="1"/>
      <c r="D762" s="92"/>
      <c r="E762" s="92"/>
      <c r="F762" s="9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>
      <c r="A763" s="1"/>
      <c r="B763" s="1"/>
      <c r="C763" s="1"/>
      <c r="D763" s="92"/>
      <c r="E763" s="92"/>
      <c r="F763" s="9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>
      <c r="A764" s="1"/>
      <c r="B764" s="1"/>
      <c r="C764" s="1"/>
      <c r="D764" s="92"/>
      <c r="E764" s="92"/>
      <c r="F764" s="9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>
      <c r="A765" s="1"/>
      <c r="B765" s="1"/>
      <c r="C765" s="1"/>
      <c r="D765" s="92"/>
      <c r="E765" s="92"/>
      <c r="F765" s="9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>
      <c r="A766" s="1"/>
      <c r="B766" s="1"/>
      <c r="C766" s="1"/>
      <c r="D766" s="92"/>
      <c r="E766" s="92"/>
      <c r="F766" s="9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>
      <c r="A767" s="1"/>
      <c r="B767" s="1"/>
      <c r="C767" s="1"/>
      <c r="D767" s="92"/>
      <c r="E767" s="92"/>
      <c r="F767" s="9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>
      <c r="A768" s="1"/>
      <c r="B768" s="1"/>
      <c r="C768" s="1"/>
      <c r="D768" s="92"/>
      <c r="E768" s="92"/>
      <c r="F768" s="9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>
      <c r="A769" s="1"/>
      <c r="B769" s="1"/>
      <c r="C769" s="1"/>
      <c r="D769" s="92"/>
      <c r="E769" s="92"/>
      <c r="F769" s="9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>
      <c r="A770" s="1"/>
      <c r="B770" s="1"/>
      <c r="C770" s="1"/>
      <c r="D770" s="92"/>
      <c r="E770" s="92"/>
      <c r="F770" s="9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>
      <c r="A771" s="1"/>
      <c r="B771" s="1"/>
      <c r="C771" s="1"/>
      <c r="D771" s="92"/>
      <c r="E771" s="92"/>
      <c r="F771" s="9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>
      <c r="A772" s="1"/>
      <c r="B772" s="1"/>
      <c r="C772" s="1"/>
      <c r="D772" s="92"/>
      <c r="E772" s="92"/>
      <c r="F772" s="9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>
      <c r="A773" s="1"/>
      <c r="B773" s="1"/>
      <c r="C773" s="1"/>
      <c r="D773" s="92"/>
      <c r="E773" s="92"/>
      <c r="F773" s="9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>
      <c r="A774" s="1"/>
      <c r="B774" s="1"/>
      <c r="C774" s="1"/>
      <c r="D774" s="92"/>
      <c r="E774" s="92"/>
      <c r="F774" s="9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>
      <c r="A775" s="1"/>
      <c r="B775" s="1"/>
      <c r="C775" s="1"/>
      <c r="D775" s="92"/>
      <c r="E775" s="92"/>
      <c r="F775" s="9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>
      <c r="A776" s="1"/>
      <c r="B776" s="1"/>
      <c r="C776" s="1"/>
      <c r="D776" s="92"/>
      <c r="E776" s="92"/>
      <c r="F776" s="9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>
      <c r="A777" s="1"/>
      <c r="B777" s="1"/>
      <c r="C777" s="1"/>
      <c r="D777" s="92"/>
      <c r="E777" s="92"/>
      <c r="F777" s="9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>
      <c r="A778" s="1"/>
      <c r="B778" s="1"/>
      <c r="C778" s="1"/>
      <c r="D778" s="92"/>
      <c r="E778" s="92"/>
      <c r="F778" s="9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>
      <c r="A779" s="1"/>
      <c r="B779" s="1"/>
      <c r="C779" s="1"/>
      <c r="D779" s="92"/>
      <c r="E779" s="92"/>
      <c r="F779" s="9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>
      <c r="A780" s="1"/>
      <c r="B780" s="1"/>
      <c r="C780" s="1"/>
      <c r="D780" s="92"/>
      <c r="E780" s="92"/>
      <c r="F780" s="9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>
      <c r="A781" s="1"/>
      <c r="B781" s="1"/>
      <c r="C781" s="1"/>
      <c r="D781" s="92"/>
      <c r="E781" s="92"/>
      <c r="F781" s="9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>
      <c r="A782" s="1"/>
      <c r="B782" s="1"/>
      <c r="C782" s="1"/>
      <c r="D782" s="92"/>
      <c r="E782" s="92"/>
      <c r="F782" s="9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>
      <c r="A783" s="1"/>
      <c r="B783" s="1"/>
      <c r="C783" s="1"/>
      <c r="D783" s="92"/>
      <c r="E783" s="92"/>
      <c r="F783" s="9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>
      <c r="A784" s="1"/>
      <c r="B784" s="1"/>
      <c r="C784" s="1"/>
      <c r="D784" s="92"/>
      <c r="E784" s="92"/>
      <c r="F784" s="9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>
      <c r="A785" s="1"/>
      <c r="B785" s="1"/>
      <c r="C785" s="1"/>
      <c r="D785" s="92"/>
      <c r="E785" s="92"/>
      <c r="F785" s="9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>
      <c r="A786" s="1"/>
      <c r="B786" s="1"/>
      <c r="C786" s="1"/>
      <c r="D786" s="92"/>
      <c r="E786" s="92"/>
      <c r="F786" s="9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>
      <c r="A787" s="1"/>
      <c r="B787" s="1"/>
      <c r="C787" s="1"/>
      <c r="D787" s="92"/>
      <c r="E787" s="92"/>
      <c r="F787" s="9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>
      <c r="A788" s="1"/>
      <c r="B788" s="1"/>
      <c r="C788" s="1"/>
      <c r="D788" s="92"/>
      <c r="E788" s="92"/>
      <c r="F788" s="9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>
      <c r="A789" s="1"/>
      <c r="B789" s="1"/>
      <c r="C789" s="1"/>
      <c r="D789" s="92"/>
      <c r="E789" s="92"/>
      <c r="F789" s="9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>
      <c r="A790" s="1"/>
      <c r="B790" s="1"/>
      <c r="C790" s="1"/>
      <c r="D790" s="92"/>
      <c r="E790" s="92"/>
      <c r="F790" s="9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>
      <c r="A791" s="1"/>
      <c r="B791" s="1"/>
      <c r="C791" s="1"/>
      <c r="D791" s="92"/>
      <c r="E791" s="92"/>
      <c r="F791" s="9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>
      <c r="A792" s="1"/>
      <c r="B792" s="1"/>
      <c r="C792" s="1"/>
      <c r="D792" s="92"/>
      <c r="E792" s="92"/>
      <c r="F792" s="9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>
      <c r="A793" s="1"/>
      <c r="B793" s="1"/>
      <c r="C793" s="1"/>
      <c r="D793" s="92"/>
      <c r="E793" s="92"/>
      <c r="F793" s="9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>
      <c r="A794" s="1"/>
      <c r="B794" s="1"/>
      <c r="C794" s="1"/>
      <c r="D794" s="92"/>
      <c r="E794" s="92"/>
      <c r="F794" s="9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>
      <c r="A795" s="1"/>
      <c r="B795" s="1"/>
      <c r="C795" s="1"/>
      <c r="D795" s="92"/>
      <c r="E795" s="92"/>
      <c r="F795" s="9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>
      <c r="A796" s="1"/>
      <c r="B796" s="1"/>
      <c r="C796" s="1"/>
      <c r="D796" s="92"/>
      <c r="E796" s="92"/>
      <c r="F796" s="9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>
      <c r="A797" s="1"/>
      <c r="B797" s="1"/>
      <c r="C797" s="1"/>
      <c r="D797" s="92"/>
      <c r="E797" s="92"/>
      <c r="F797" s="9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>
      <c r="A798" s="1"/>
      <c r="B798" s="1"/>
      <c r="C798" s="1"/>
      <c r="D798" s="92"/>
      <c r="E798" s="92"/>
      <c r="F798" s="9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>
      <c r="A799" s="1"/>
      <c r="B799" s="1"/>
      <c r="C799" s="1"/>
      <c r="D799" s="92"/>
      <c r="E799" s="92"/>
      <c r="F799" s="9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>
      <c r="A800" s="1"/>
      <c r="B800" s="1"/>
      <c r="C800" s="1"/>
      <c r="D800" s="92"/>
      <c r="E800" s="92"/>
      <c r="F800" s="9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>
      <c r="A801" s="1"/>
      <c r="B801" s="1"/>
      <c r="C801" s="1"/>
      <c r="D801" s="92"/>
      <c r="E801" s="92"/>
      <c r="F801" s="9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>
      <c r="A802" s="1"/>
      <c r="B802" s="1"/>
      <c r="C802" s="1"/>
      <c r="D802" s="92"/>
      <c r="E802" s="92"/>
      <c r="F802" s="9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>
      <c r="A803" s="1"/>
      <c r="B803" s="1"/>
      <c r="C803" s="1"/>
      <c r="D803" s="92"/>
      <c r="E803" s="92"/>
      <c r="F803" s="9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>
      <c r="A804" s="1"/>
      <c r="B804" s="1"/>
      <c r="C804" s="1"/>
      <c r="D804" s="92"/>
      <c r="E804" s="92"/>
      <c r="F804" s="9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>
      <c r="A805" s="1"/>
      <c r="B805" s="1"/>
      <c r="C805" s="1"/>
      <c r="D805" s="92"/>
      <c r="E805" s="92"/>
      <c r="F805" s="9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>
      <c r="A806" s="1"/>
      <c r="B806" s="1"/>
      <c r="C806" s="1"/>
      <c r="D806" s="92"/>
      <c r="E806" s="92"/>
      <c r="F806" s="9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>
      <c r="A807" s="1"/>
      <c r="B807" s="1"/>
      <c r="C807" s="1"/>
      <c r="D807" s="92"/>
      <c r="E807" s="92"/>
      <c r="F807" s="9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>
      <c r="A808" s="1"/>
      <c r="B808" s="1"/>
      <c r="C808" s="1"/>
      <c r="D808" s="92"/>
      <c r="E808" s="92"/>
      <c r="F808" s="9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>
      <c r="A809" s="1"/>
      <c r="B809" s="1"/>
      <c r="C809" s="1"/>
      <c r="D809" s="92"/>
      <c r="E809" s="92"/>
      <c r="F809" s="9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>
      <c r="A810" s="1"/>
      <c r="B810" s="1"/>
      <c r="C810" s="1"/>
      <c r="D810" s="92"/>
      <c r="E810" s="92"/>
      <c r="F810" s="9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>
      <c r="A811" s="1"/>
      <c r="B811" s="1"/>
      <c r="C811" s="1"/>
      <c r="D811" s="92"/>
      <c r="E811" s="92"/>
      <c r="F811" s="9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>
      <c r="A812" s="1"/>
      <c r="B812" s="1"/>
      <c r="C812" s="1"/>
      <c r="D812" s="92"/>
      <c r="E812" s="92"/>
      <c r="F812" s="9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>
      <c r="A813" s="1"/>
      <c r="B813" s="1"/>
      <c r="C813" s="1"/>
      <c r="D813" s="92"/>
      <c r="E813" s="92"/>
      <c r="F813" s="9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>
      <c r="A814" s="1"/>
      <c r="B814" s="1"/>
      <c r="C814" s="1"/>
      <c r="D814" s="92"/>
      <c r="E814" s="92"/>
      <c r="F814" s="9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>
      <c r="A815" s="1"/>
      <c r="B815" s="1"/>
      <c r="C815" s="1"/>
      <c r="D815" s="92"/>
      <c r="E815" s="92"/>
      <c r="F815" s="9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>
      <c r="A816" s="1"/>
      <c r="B816" s="1"/>
      <c r="C816" s="1"/>
      <c r="D816" s="92"/>
      <c r="E816" s="92"/>
      <c r="F816" s="9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>
      <c r="A817" s="1"/>
      <c r="B817" s="1"/>
      <c r="C817" s="1"/>
      <c r="D817" s="92"/>
      <c r="E817" s="92"/>
      <c r="F817" s="9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>
      <c r="A818" s="1"/>
      <c r="B818" s="1"/>
      <c r="C818" s="1"/>
      <c r="D818" s="92"/>
      <c r="E818" s="92"/>
      <c r="F818" s="9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>
      <c r="A819" s="1"/>
      <c r="B819" s="1"/>
      <c r="C819" s="1"/>
      <c r="D819" s="92"/>
      <c r="E819" s="92"/>
      <c r="F819" s="9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>
      <c r="A820" s="1"/>
      <c r="B820" s="1"/>
      <c r="C820" s="1"/>
      <c r="D820" s="92"/>
      <c r="E820" s="92"/>
      <c r="F820" s="9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>
      <c r="A821" s="1"/>
      <c r="B821" s="1"/>
      <c r="C821" s="1"/>
      <c r="D821" s="92"/>
      <c r="E821" s="92"/>
      <c r="F821" s="9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>
      <c r="A822" s="1"/>
      <c r="B822" s="1"/>
      <c r="C822" s="1"/>
      <c r="D822" s="92"/>
      <c r="E822" s="92"/>
      <c r="F822" s="9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>
      <c r="A823" s="1"/>
      <c r="B823" s="1"/>
      <c r="C823" s="1"/>
      <c r="D823" s="92"/>
      <c r="E823" s="92"/>
      <c r="F823" s="9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>
      <c r="A824" s="1"/>
      <c r="B824" s="1"/>
      <c r="C824" s="1"/>
      <c r="D824" s="92"/>
      <c r="E824" s="92"/>
      <c r="F824" s="9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>
      <c r="A825" s="1"/>
      <c r="B825" s="1"/>
      <c r="C825" s="1"/>
      <c r="D825" s="92"/>
      <c r="E825" s="92"/>
      <c r="F825" s="9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>
      <c r="A826" s="1"/>
      <c r="B826" s="1"/>
      <c r="C826" s="1"/>
      <c r="D826" s="92"/>
      <c r="E826" s="92"/>
      <c r="F826" s="9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>
      <c r="A827" s="1"/>
      <c r="B827" s="1"/>
      <c r="C827" s="1"/>
      <c r="D827" s="92"/>
      <c r="E827" s="92"/>
      <c r="F827" s="9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>
      <c r="A828" s="1"/>
      <c r="B828" s="1"/>
      <c r="C828" s="1"/>
      <c r="D828" s="92"/>
      <c r="E828" s="92"/>
      <c r="F828" s="9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>
      <c r="A829" s="1"/>
      <c r="B829" s="1"/>
      <c r="C829" s="1"/>
      <c r="D829" s="92"/>
      <c r="E829" s="92"/>
      <c r="F829" s="9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>
      <c r="A830" s="1"/>
      <c r="B830" s="1"/>
      <c r="C830" s="1"/>
      <c r="D830" s="92"/>
      <c r="E830" s="92"/>
      <c r="F830" s="9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>
      <c r="A831" s="1"/>
      <c r="B831" s="1"/>
      <c r="C831" s="1"/>
      <c r="D831" s="92"/>
      <c r="E831" s="92"/>
      <c r="F831" s="9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>
      <c r="A832" s="1"/>
      <c r="B832" s="1"/>
      <c r="C832" s="1"/>
      <c r="D832" s="92"/>
      <c r="E832" s="92"/>
      <c r="F832" s="9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>
      <c r="A833" s="1"/>
      <c r="B833" s="1"/>
      <c r="C833" s="1"/>
      <c r="D833" s="92"/>
      <c r="E833" s="92"/>
      <c r="F833" s="9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>
      <c r="A834" s="1"/>
      <c r="B834" s="1"/>
      <c r="C834" s="1"/>
      <c r="D834" s="92"/>
      <c r="E834" s="92"/>
      <c r="F834" s="9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>
      <c r="A835" s="1"/>
      <c r="B835" s="1"/>
      <c r="C835" s="1"/>
      <c r="D835" s="92"/>
      <c r="E835" s="92"/>
      <c r="F835" s="9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>
      <c r="A836" s="1"/>
      <c r="B836" s="1"/>
      <c r="C836" s="1"/>
      <c r="D836" s="92"/>
      <c r="E836" s="92"/>
      <c r="F836" s="9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>
      <c r="A837" s="1"/>
      <c r="B837" s="1"/>
      <c r="C837" s="1"/>
      <c r="D837" s="92"/>
      <c r="E837" s="92"/>
      <c r="F837" s="9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>
      <c r="A838" s="1"/>
      <c r="B838" s="1"/>
      <c r="C838" s="1"/>
      <c r="D838" s="92"/>
      <c r="E838" s="92"/>
      <c r="F838" s="9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>
      <c r="A839" s="1"/>
      <c r="B839" s="1"/>
      <c r="C839" s="1"/>
      <c r="D839" s="92"/>
      <c r="E839" s="92"/>
      <c r="F839" s="9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>
      <c r="A840" s="1"/>
      <c r="B840" s="1"/>
      <c r="C840" s="1"/>
      <c r="D840" s="92"/>
      <c r="E840" s="92"/>
      <c r="F840" s="9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>
      <c r="A841" s="1"/>
      <c r="B841" s="1"/>
      <c r="C841" s="1"/>
      <c r="D841" s="92"/>
      <c r="E841" s="92"/>
      <c r="F841" s="9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>
      <c r="A842" s="1"/>
      <c r="B842" s="1"/>
      <c r="C842" s="1"/>
      <c r="D842" s="92"/>
      <c r="E842" s="92"/>
      <c r="F842" s="9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>
      <c r="A843" s="1"/>
      <c r="B843" s="1"/>
      <c r="C843" s="1"/>
      <c r="D843" s="92"/>
      <c r="E843" s="92"/>
      <c r="F843" s="9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>
      <c r="A844" s="1"/>
      <c r="B844" s="1"/>
      <c r="C844" s="1"/>
      <c r="D844" s="92"/>
      <c r="E844" s="92"/>
      <c r="F844" s="9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>
      <c r="A845" s="1"/>
      <c r="B845" s="1"/>
      <c r="C845" s="1"/>
      <c r="D845" s="92"/>
      <c r="E845" s="92"/>
      <c r="F845" s="9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>
      <c r="A846" s="1"/>
      <c r="B846" s="1"/>
      <c r="C846" s="1"/>
      <c r="D846" s="92"/>
      <c r="E846" s="92"/>
      <c r="F846" s="9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>
      <c r="A847" s="1"/>
      <c r="B847" s="1"/>
      <c r="C847" s="1"/>
      <c r="D847" s="92"/>
      <c r="E847" s="92"/>
      <c r="F847" s="9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>
      <c r="A848" s="1"/>
      <c r="B848" s="1"/>
      <c r="C848" s="1"/>
      <c r="D848" s="92"/>
      <c r="E848" s="92"/>
      <c r="F848" s="9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>
      <c r="A849" s="1"/>
      <c r="B849" s="1"/>
      <c r="C849" s="1"/>
      <c r="D849" s="92"/>
      <c r="E849" s="92"/>
      <c r="F849" s="9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>
      <c r="A850" s="1"/>
      <c r="B850" s="1"/>
      <c r="C850" s="1"/>
      <c r="D850" s="92"/>
      <c r="E850" s="92"/>
      <c r="F850" s="9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>
      <c r="A851" s="1"/>
      <c r="B851" s="1"/>
      <c r="C851" s="1"/>
      <c r="D851" s="92"/>
      <c r="E851" s="92"/>
      <c r="F851" s="9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>
      <c r="A852" s="1"/>
      <c r="B852" s="1"/>
      <c r="C852" s="1"/>
      <c r="D852" s="92"/>
      <c r="E852" s="92"/>
      <c r="F852" s="9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>
      <c r="A853" s="1"/>
      <c r="B853" s="1"/>
      <c r="C853" s="1"/>
      <c r="D853" s="92"/>
      <c r="E853" s="92"/>
      <c r="F853" s="9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>
      <c r="A854" s="1"/>
      <c r="B854" s="1"/>
      <c r="C854" s="1"/>
      <c r="D854" s="92"/>
      <c r="E854" s="92"/>
      <c r="F854" s="9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>
      <c r="A855" s="1"/>
      <c r="B855" s="1"/>
      <c r="C855" s="1"/>
      <c r="D855" s="92"/>
      <c r="E855" s="92"/>
      <c r="F855" s="9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>
      <c r="A856" s="1"/>
      <c r="B856" s="1"/>
      <c r="C856" s="1"/>
      <c r="D856" s="92"/>
      <c r="E856" s="92"/>
      <c r="F856" s="9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>
      <c r="A857" s="1"/>
      <c r="B857" s="1"/>
      <c r="C857" s="1"/>
      <c r="D857" s="92"/>
      <c r="E857" s="92"/>
      <c r="F857" s="9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>
      <c r="A858" s="1"/>
      <c r="B858" s="1"/>
      <c r="C858" s="1"/>
      <c r="D858" s="92"/>
      <c r="E858" s="92"/>
      <c r="F858" s="9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>
      <c r="A859" s="1"/>
      <c r="B859" s="1"/>
      <c r="C859" s="1"/>
      <c r="D859" s="92"/>
      <c r="E859" s="92"/>
      <c r="F859" s="9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>
      <c r="A860" s="1"/>
      <c r="B860" s="1"/>
      <c r="C860" s="1"/>
      <c r="D860" s="92"/>
      <c r="E860" s="92"/>
      <c r="F860" s="9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>
      <c r="A861" s="1"/>
      <c r="B861" s="1"/>
      <c r="C861" s="1"/>
      <c r="D861" s="92"/>
      <c r="E861" s="92"/>
      <c r="F861" s="9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>
      <c r="A862" s="1"/>
      <c r="B862" s="1"/>
      <c r="C862" s="1"/>
      <c r="D862" s="92"/>
      <c r="E862" s="92"/>
      <c r="F862" s="9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>
      <c r="A863" s="1"/>
      <c r="B863" s="1"/>
      <c r="C863" s="1"/>
      <c r="D863" s="92"/>
      <c r="E863" s="92"/>
      <c r="F863" s="9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>
      <c r="A864" s="1"/>
      <c r="B864" s="1"/>
      <c r="C864" s="1"/>
      <c r="D864" s="92"/>
      <c r="E864" s="92"/>
      <c r="F864" s="9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>
      <c r="A865" s="1"/>
      <c r="B865" s="1"/>
      <c r="C865" s="1"/>
      <c r="D865" s="92"/>
      <c r="E865" s="92"/>
      <c r="F865" s="9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>
      <c r="A866" s="1"/>
      <c r="B866" s="1"/>
      <c r="C866" s="1"/>
      <c r="D866" s="92"/>
      <c r="E866" s="92"/>
      <c r="F866" s="9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>
      <c r="A867" s="1"/>
      <c r="B867" s="1"/>
      <c r="C867" s="1"/>
      <c r="D867" s="92"/>
      <c r="E867" s="92"/>
      <c r="F867" s="9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>
      <c r="A868" s="1"/>
      <c r="B868" s="1"/>
      <c r="C868" s="1"/>
      <c r="D868" s="92"/>
      <c r="E868" s="92"/>
      <c r="F868" s="9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>
      <c r="A869" s="1"/>
      <c r="B869" s="1"/>
      <c r="C869" s="1"/>
      <c r="D869" s="92"/>
      <c r="E869" s="92"/>
      <c r="F869" s="9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>
      <c r="A870" s="1"/>
      <c r="B870" s="1"/>
      <c r="C870" s="1"/>
      <c r="D870" s="92"/>
      <c r="E870" s="92"/>
      <c r="F870" s="9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>
      <c r="A871" s="1"/>
      <c r="B871" s="1"/>
      <c r="C871" s="1"/>
      <c r="D871" s="92"/>
      <c r="E871" s="92"/>
      <c r="F871" s="9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>
      <c r="A872" s="1"/>
      <c r="B872" s="1"/>
      <c r="C872" s="1"/>
      <c r="D872" s="92"/>
      <c r="E872" s="92"/>
      <c r="F872" s="9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>
      <c r="A873" s="1"/>
      <c r="B873" s="1"/>
      <c r="C873" s="1"/>
      <c r="D873" s="92"/>
      <c r="E873" s="92"/>
      <c r="F873" s="9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>
      <c r="A874" s="1"/>
      <c r="B874" s="1"/>
      <c r="C874" s="1"/>
      <c r="D874" s="92"/>
      <c r="E874" s="92"/>
      <c r="F874" s="9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>
      <c r="A875" s="1"/>
      <c r="B875" s="1"/>
      <c r="C875" s="1"/>
      <c r="D875" s="92"/>
      <c r="E875" s="92"/>
      <c r="F875" s="9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>
      <c r="A876" s="1"/>
      <c r="B876" s="1"/>
      <c r="C876" s="1"/>
      <c r="D876" s="92"/>
      <c r="E876" s="92"/>
      <c r="F876" s="9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>
      <c r="A877" s="1"/>
      <c r="B877" s="1"/>
      <c r="C877" s="1"/>
      <c r="D877" s="92"/>
      <c r="E877" s="92"/>
      <c r="F877" s="9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>
      <c r="A878" s="1"/>
      <c r="B878" s="1"/>
      <c r="C878" s="1"/>
      <c r="D878" s="92"/>
      <c r="E878" s="92"/>
      <c r="F878" s="9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>
      <c r="A879" s="1"/>
      <c r="B879" s="1"/>
      <c r="C879" s="1"/>
      <c r="D879" s="92"/>
      <c r="E879" s="92"/>
      <c r="F879" s="9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>
      <c r="A880" s="1"/>
      <c r="B880" s="1"/>
      <c r="C880" s="1"/>
      <c r="D880" s="92"/>
      <c r="E880" s="92"/>
      <c r="F880" s="9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>
      <c r="A881" s="1"/>
      <c r="B881" s="1"/>
      <c r="C881" s="1"/>
      <c r="D881" s="92"/>
      <c r="E881" s="92"/>
      <c r="F881" s="9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>
      <c r="A882" s="1"/>
      <c r="B882" s="1"/>
      <c r="C882" s="1"/>
      <c r="D882" s="92"/>
      <c r="E882" s="92"/>
      <c r="F882" s="9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>
      <c r="A883" s="1"/>
      <c r="B883" s="1"/>
      <c r="C883" s="1"/>
      <c r="D883" s="92"/>
      <c r="E883" s="92"/>
      <c r="F883" s="9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>
      <c r="A884" s="1"/>
      <c r="B884" s="1"/>
      <c r="C884" s="1"/>
      <c r="D884" s="92"/>
      <c r="E884" s="92"/>
      <c r="F884" s="9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>
      <c r="A885" s="1"/>
      <c r="B885" s="1"/>
      <c r="C885" s="1"/>
      <c r="D885" s="92"/>
      <c r="E885" s="92"/>
      <c r="F885" s="9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>
      <c r="A886" s="1"/>
      <c r="B886" s="1"/>
      <c r="C886" s="1"/>
      <c r="D886" s="92"/>
      <c r="E886" s="92"/>
      <c r="F886" s="9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>
      <c r="A887" s="1"/>
      <c r="B887" s="1"/>
      <c r="C887" s="1"/>
      <c r="D887" s="92"/>
      <c r="E887" s="92"/>
      <c r="F887" s="9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>
      <c r="A888" s="1"/>
      <c r="B888" s="1"/>
      <c r="C888" s="1"/>
      <c r="D888" s="92"/>
      <c r="E888" s="92"/>
      <c r="F888" s="9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>
      <c r="A889" s="1"/>
      <c r="B889" s="1"/>
      <c r="C889" s="1"/>
      <c r="D889" s="92"/>
      <c r="E889" s="92"/>
      <c r="F889" s="9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>
      <c r="A890" s="1"/>
      <c r="B890" s="1"/>
      <c r="C890" s="1"/>
      <c r="D890" s="92"/>
      <c r="E890" s="92"/>
      <c r="F890" s="9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>
      <c r="A891" s="1"/>
      <c r="B891" s="1"/>
      <c r="C891" s="1"/>
      <c r="D891" s="92"/>
      <c r="E891" s="92"/>
      <c r="F891" s="9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>
      <c r="A892" s="1"/>
      <c r="B892" s="1"/>
      <c r="C892" s="1"/>
      <c r="D892" s="92"/>
      <c r="E892" s="92"/>
      <c r="F892" s="9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>
      <c r="A893" s="1"/>
      <c r="B893" s="1"/>
      <c r="C893" s="1"/>
      <c r="D893" s="92"/>
      <c r="E893" s="92"/>
      <c r="F893" s="9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>
      <c r="A894" s="1"/>
      <c r="B894" s="1"/>
      <c r="C894" s="1"/>
      <c r="D894" s="92"/>
      <c r="E894" s="92"/>
      <c r="F894" s="9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>
      <c r="A895" s="1"/>
      <c r="B895" s="1"/>
      <c r="C895" s="1"/>
      <c r="D895" s="92"/>
      <c r="E895" s="92"/>
      <c r="F895" s="9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>
      <c r="A896" s="1"/>
      <c r="B896" s="1"/>
      <c r="C896" s="1"/>
      <c r="D896" s="92"/>
      <c r="E896" s="92"/>
      <c r="F896" s="9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>
      <c r="A897" s="1"/>
      <c r="B897" s="1"/>
      <c r="C897" s="1"/>
      <c r="D897" s="92"/>
      <c r="E897" s="92"/>
      <c r="F897" s="9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>
      <c r="A898" s="1"/>
      <c r="B898" s="1"/>
      <c r="C898" s="1"/>
      <c r="D898" s="92"/>
      <c r="E898" s="92"/>
      <c r="F898" s="9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>
      <c r="A899" s="1"/>
      <c r="B899" s="1"/>
      <c r="C899" s="1"/>
      <c r="D899" s="92"/>
      <c r="E899" s="92"/>
      <c r="F899" s="9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>
      <c r="A900" s="1"/>
      <c r="B900" s="1"/>
      <c r="C900" s="1"/>
      <c r="D900" s="92"/>
      <c r="E900" s="92"/>
      <c r="F900" s="9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>
      <c r="A901" s="1"/>
      <c r="B901" s="1"/>
      <c r="C901" s="1"/>
      <c r="D901" s="92"/>
      <c r="E901" s="92"/>
      <c r="F901" s="9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>
      <c r="A902" s="1"/>
      <c r="B902" s="1"/>
      <c r="C902" s="1"/>
      <c r="D902" s="92"/>
      <c r="E902" s="92"/>
      <c r="F902" s="9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>
      <c r="A903" s="1"/>
      <c r="B903" s="1"/>
      <c r="C903" s="1"/>
      <c r="D903" s="92"/>
      <c r="E903" s="92"/>
      <c r="F903" s="9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>
      <c r="A904" s="1"/>
      <c r="B904" s="1"/>
      <c r="C904" s="1"/>
      <c r="D904" s="92"/>
      <c r="E904" s="92"/>
      <c r="F904" s="9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>
      <c r="A905" s="1"/>
      <c r="B905" s="1"/>
      <c r="C905" s="1"/>
      <c r="D905" s="92"/>
      <c r="E905" s="92"/>
      <c r="F905" s="9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>
      <c r="A906" s="1"/>
      <c r="B906" s="1"/>
      <c r="C906" s="1"/>
      <c r="D906" s="92"/>
      <c r="E906" s="92"/>
      <c r="F906" s="9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>
      <c r="A907" s="1"/>
      <c r="B907" s="1"/>
      <c r="C907" s="1"/>
      <c r="D907" s="92"/>
      <c r="E907" s="92"/>
      <c r="F907" s="9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>
      <c r="A908" s="1"/>
      <c r="B908" s="1"/>
      <c r="C908" s="1"/>
      <c r="D908" s="92"/>
      <c r="E908" s="92"/>
      <c r="F908" s="9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>
      <c r="A909" s="1"/>
      <c r="B909" s="1"/>
      <c r="C909" s="1"/>
      <c r="D909" s="92"/>
      <c r="E909" s="92"/>
      <c r="F909" s="9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>
      <c r="A910" s="1"/>
      <c r="B910" s="1"/>
      <c r="C910" s="1"/>
      <c r="D910" s="92"/>
      <c r="E910" s="92"/>
      <c r="F910" s="9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>
      <c r="A911" s="1"/>
      <c r="B911" s="1"/>
      <c r="C911" s="1"/>
      <c r="D911" s="92"/>
      <c r="E911" s="92"/>
      <c r="F911" s="9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>
      <c r="A912" s="1"/>
      <c r="B912" s="1"/>
      <c r="C912" s="1"/>
      <c r="D912" s="92"/>
      <c r="E912" s="92"/>
      <c r="F912" s="9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>
      <c r="A913" s="1"/>
      <c r="B913" s="1"/>
      <c r="C913" s="1"/>
      <c r="D913" s="92"/>
      <c r="E913" s="92"/>
      <c r="F913" s="9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>
      <c r="A914" s="1"/>
      <c r="B914" s="1"/>
      <c r="C914" s="1"/>
      <c r="D914" s="92"/>
      <c r="E914" s="92"/>
      <c r="F914" s="9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>
      <c r="A915" s="1"/>
      <c r="B915" s="1"/>
      <c r="C915" s="1"/>
      <c r="D915" s="92"/>
      <c r="E915" s="92"/>
      <c r="F915" s="9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>
      <c r="A916" s="1"/>
      <c r="B916" s="1"/>
      <c r="C916" s="1"/>
      <c r="D916" s="92"/>
      <c r="E916" s="92"/>
      <c r="F916" s="9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>
      <c r="A917" s="1"/>
      <c r="B917" s="1"/>
      <c r="C917" s="1"/>
      <c r="D917" s="92"/>
      <c r="E917" s="92"/>
      <c r="F917" s="9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>
      <c r="A918" s="1"/>
      <c r="B918" s="1"/>
      <c r="C918" s="1"/>
      <c r="D918" s="92"/>
      <c r="E918" s="92"/>
      <c r="F918" s="9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>
      <c r="A919" s="1"/>
      <c r="B919" s="1"/>
      <c r="C919" s="1"/>
      <c r="D919" s="92"/>
      <c r="E919" s="92"/>
      <c r="F919" s="9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>
      <c r="A920" s="1"/>
      <c r="B920" s="1"/>
      <c r="C920" s="1"/>
      <c r="D920" s="92"/>
      <c r="E920" s="92"/>
      <c r="F920" s="9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>
      <c r="A921" s="1"/>
      <c r="B921" s="1"/>
      <c r="C921" s="1"/>
      <c r="D921" s="92"/>
      <c r="E921" s="92"/>
      <c r="F921" s="9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>
      <c r="A922" s="1"/>
      <c r="B922" s="1"/>
      <c r="C922" s="1"/>
      <c r="D922" s="92"/>
      <c r="E922" s="92"/>
      <c r="F922" s="9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>
      <c r="A923" s="1"/>
      <c r="B923" s="1"/>
      <c r="C923" s="1"/>
      <c r="D923" s="92"/>
      <c r="E923" s="92"/>
      <c r="F923" s="9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>
      <c r="A924" s="1"/>
      <c r="B924" s="1"/>
      <c r="C924" s="1"/>
      <c r="D924" s="92"/>
      <c r="E924" s="92"/>
      <c r="F924" s="9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>
      <c r="A925" s="1"/>
      <c r="B925" s="1"/>
      <c r="C925" s="1"/>
      <c r="D925" s="92"/>
      <c r="E925" s="92"/>
      <c r="F925" s="9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>
      <c r="A926" s="1"/>
      <c r="B926" s="1"/>
      <c r="C926" s="1"/>
      <c r="D926" s="92"/>
      <c r="E926" s="92"/>
      <c r="F926" s="9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>
      <c r="A927" s="1"/>
      <c r="B927" s="1"/>
      <c r="C927" s="1"/>
      <c r="D927" s="92"/>
      <c r="E927" s="92"/>
      <c r="F927" s="9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>
      <c r="A928" s="1"/>
      <c r="B928" s="1"/>
      <c r="C928" s="1"/>
      <c r="D928" s="92"/>
      <c r="E928" s="92"/>
      <c r="F928" s="9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>
      <c r="A929" s="1"/>
      <c r="B929" s="1"/>
      <c r="C929" s="1"/>
      <c r="D929" s="92"/>
      <c r="E929" s="92"/>
      <c r="F929" s="9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>
      <c r="A930" s="1"/>
      <c r="B930" s="1"/>
      <c r="C930" s="1"/>
      <c r="D930" s="92"/>
      <c r="E930" s="92"/>
      <c r="F930" s="9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>
      <c r="A931" s="1"/>
      <c r="B931" s="1"/>
      <c r="C931" s="1"/>
      <c r="D931" s="92"/>
      <c r="E931" s="92"/>
      <c r="F931" s="9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>
      <c r="A932" s="1"/>
      <c r="B932" s="1"/>
      <c r="C932" s="1"/>
      <c r="D932" s="92"/>
      <c r="E932" s="92"/>
      <c r="F932" s="9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>
      <c r="A933" s="1"/>
      <c r="B933" s="1"/>
      <c r="C933" s="1"/>
      <c r="D933" s="92"/>
      <c r="E933" s="92"/>
      <c r="F933" s="9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>
      <c r="A934" s="1"/>
      <c r="B934" s="1"/>
      <c r="C934" s="1"/>
      <c r="D934" s="92"/>
      <c r="E934" s="92"/>
      <c r="F934" s="9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>
      <c r="A935" s="1"/>
      <c r="B935" s="1"/>
      <c r="C935" s="1"/>
      <c r="D935" s="92"/>
      <c r="E935" s="92"/>
      <c r="F935" s="9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>
      <c r="A936" s="1"/>
      <c r="B936" s="1"/>
      <c r="C936" s="1"/>
      <c r="D936" s="92"/>
      <c r="E936" s="92"/>
      <c r="F936" s="9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>
      <c r="A937" s="1"/>
      <c r="B937" s="1"/>
      <c r="C937" s="1"/>
      <c r="D937" s="92"/>
      <c r="E937" s="92"/>
      <c r="F937" s="9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>
      <c r="A938" s="1"/>
      <c r="B938" s="1"/>
      <c r="C938" s="1"/>
      <c r="D938" s="92"/>
      <c r="E938" s="92"/>
      <c r="F938" s="9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>
      <c r="A939" s="1"/>
      <c r="B939" s="1"/>
      <c r="C939" s="1"/>
      <c r="D939" s="92"/>
      <c r="E939" s="92"/>
      <c r="F939" s="9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>
      <c r="A940" s="1"/>
      <c r="B940" s="1"/>
      <c r="C940" s="1"/>
      <c r="D940" s="92"/>
      <c r="E940" s="92"/>
      <c r="F940" s="9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>
      <c r="A941" s="1"/>
      <c r="B941" s="1"/>
      <c r="C941" s="1"/>
      <c r="D941" s="92"/>
      <c r="E941" s="92"/>
      <c r="F941" s="9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>
      <c r="A942" s="1"/>
      <c r="B942" s="1"/>
      <c r="C942" s="1"/>
      <c r="D942" s="92"/>
      <c r="E942" s="92"/>
      <c r="F942" s="9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>
      <c r="A943" s="1"/>
      <c r="B943" s="1"/>
      <c r="C943" s="1"/>
      <c r="D943" s="92"/>
      <c r="E943" s="92"/>
      <c r="F943" s="9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>
      <c r="A944" s="1"/>
      <c r="B944" s="1"/>
      <c r="C944" s="1"/>
      <c r="D944" s="92"/>
      <c r="E944" s="92"/>
      <c r="F944" s="9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>
      <c r="A945" s="1"/>
      <c r="B945" s="1"/>
      <c r="C945" s="1"/>
      <c r="D945" s="92"/>
      <c r="E945" s="92"/>
      <c r="F945" s="9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>
      <c r="A946" s="1"/>
      <c r="B946" s="1"/>
      <c r="C946" s="1"/>
      <c r="D946" s="92"/>
      <c r="E946" s="92"/>
      <c r="F946" s="9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>
      <c r="A947" s="1"/>
      <c r="B947" s="1"/>
      <c r="C947" s="1"/>
      <c r="D947" s="92"/>
      <c r="E947" s="92"/>
      <c r="F947" s="9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>
      <c r="A948" s="1"/>
      <c r="B948" s="1"/>
      <c r="C948" s="1"/>
      <c r="D948" s="92"/>
      <c r="E948" s="92"/>
      <c r="F948" s="9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>
      <c r="A949" s="1"/>
      <c r="B949" s="1"/>
      <c r="C949" s="1"/>
      <c r="D949" s="92"/>
      <c r="E949" s="92"/>
      <c r="F949" s="9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>
      <c r="A950" s="1"/>
      <c r="B950" s="1"/>
      <c r="C950" s="1"/>
      <c r="D950" s="92"/>
      <c r="E950" s="92"/>
      <c r="F950" s="9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>
      <c r="A951" s="1"/>
      <c r="B951" s="1"/>
      <c r="C951" s="1"/>
      <c r="D951" s="92"/>
      <c r="E951" s="92"/>
      <c r="F951" s="9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>
      <c r="A952" s="1"/>
      <c r="B952" s="1"/>
      <c r="C952" s="1"/>
      <c r="D952" s="92"/>
      <c r="E952" s="92"/>
      <c r="F952" s="9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>
      <c r="A953" s="1"/>
      <c r="B953" s="1"/>
      <c r="C953" s="1"/>
      <c r="D953" s="92"/>
      <c r="E953" s="92"/>
      <c r="F953" s="9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>
      <c r="A954" s="1"/>
      <c r="B954" s="1"/>
      <c r="C954" s="1"/>
      <c r="D954" s="92"/>
      <c r="E954" s="92"/>
      <c r="F954" s="9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>
      <c r="A955" s="1"/>
      <c r="B955" s="1"/>
      <c r="C955" s="1"/>
      <c r="D955" s="92"/>
      <c r="E955" s="92"/>
      <c r="F955" s="9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>
      <c r="A956" s="1"/>
      <c r="B956" s="1"/>
      <c r="C956" s="1"/>
      <c r="D956" s="92"/>
      <c r="E956" s="92"/>
      <c r="F956" s="9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>
      <c r="A957" s="1"/>
      <c r="B957" s="1"/>
      <c r="C957" s="1"/>
      <c r="D957" s="92"/>
      <c r="E957" s="92"/>
      <c r="F957" s="9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>
      <c r="A958" s="1"/>
      <c r="B958" s="1"/>
      <c r="C958" s="1"/>
      <c r="D958" s="92"/>
      <c r="E958" s="92"/>
      <c r="F958" s="9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>
      <c r="A959" s="1"/>
      <c r="B959" s="1"/>
      <c r="C959" s="1"/>
      <c r="D959" s="92"/>
      <c r="E959" s="92"/>
      <c r="F959" s="9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>
      <c r="A960" s="1"/>
      <c r="B960" s="1"/>
      <c r="C960" s="1"/>
      <c r="D960" s="92"/>
      <c r="E960" s="92"/>
      <c r="F960" s="9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>
      <c r="A961" s="1"/>
      <c r="B961" s="1"/>
      <c r="C961" s="1"/>
      <c r="D961" s="92"/>
      <c r="E961" s="92"/>
      <c r="F961" s="9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>
      <c r="A962" s="1"/>
      <c r="B962" s="1"/>
      <c r="C962" s="1"/>
      <c r="D962" s="92"/>
      <c r="E962" s="92"/>
      <c r="F962" s="9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>
      <c r="A963" s="1"/>
      <c r="B963" s="1"/>
      <c r="C963" s="1"/>
      <c r="D963" s="92"/>
      <c r="E963" s="92"/>
      <c r="F963" s="9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>
      <c r="A964" s="1"/>
      <c r="B964" s="1"/>
      <c r="C964" s="1"/>
      <c r="D964" s="92"/>
      <c r="E964" s="92"/>
      <c r="F964" s="9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>
      <c r="A965" s="1"/>
      <c r="B965" s="1"/>
      <c r="C965" s="1"/>
      <c r="D965" s="92"/>
      <c r="E965" s="92"/>
      <c r="F965" s="9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>
      <c r="A966" s="1"/>
      <c r="B966" s="1"/>
      <c r="C966" s="1"/>
      <c r="D966" s="92"/>
      <c r="E966" s="92"/>
      <c r="F966" s="9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>
      <c r="A967" s="1"/>
      <c r="B967" s="1"/>
      <c r="C967" s="1"/>
      <c r="D967" s="92"/>
      <c r="E967" s="92"/>
      <c r="F967" s="9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>
      <c r="A968" s="1"/>
      <c r="B968" s="1"/>
      <c r="C968" s="1"/>
      <c r="D968" s="92"/>
      <c r="E968" s="92"/>
      <c r="F968" s="9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>
      <c r="A969" s="1"/>
      <c r="B969" s="1"/>
      <c r="C969" s="1"/>
      <c r="D969" s="92"/>
      <c r="E969" s="92"/>
      <c r="F969" s="9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>
      <c r="A970" s="1"/>
      <c r="B970" s="1"/>
      <c r="C970" s="1"/>
      <c r="D970" s="92"/>
      <c r="E970" s="92"/>
      <c r="F970" s="9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>
      <c r="A971" s="1"/>
      <c r="B971" s="1"/>
      <c r="C971" s="1"/>
      <c r="D971" s="92"/>
      <c r="E971" s="92"/>
      <c r="F971" s="9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>
      <c r="A972" s="1"/>
      <c r="B972" s="1"/>
      <c r="C972" s="1"/>
      <c r="D972" s="92"/>
      <c r="E972" s="92"/>
      <c r="F972" s="9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>
      <c r="A973" s="1"/>
      <c r="B973" s="1"/>
      <c r="C973" s="1"/>
      <c r="D973" s="92"/>
      <c r="E973" s="92"/>
      <c r="F973" s="9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>
      <c r="A974" s="1"/>
      <c r="B974" s="1"/>
      <c r="C974" s="1"/>
      <c r="D974" s="92"/>
      <c r="E974" s="92"/>
      <c r="F974" s="9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>
      <c r="A975" s="1"/>
      <c r="B975" s="1"/>
      <c r="C975" s="1"/>
      <c r="D975" s="92"/>
      <c r="E975" s="92"/>
      <c r="F975" s="9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>
      <c r="A976" s="1"/>
      <c r="B976" s="1"/>
      <c r="C976" s="1"/>
      <c r="D976" s="92"/>
      <c r="E976" s="92"/>
      <c r="F976" s="9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>
      <c r="A977" s="1"/>
      <c r="B977" s="1"/>
      <c r="C977" s="1"/>
      <c r="D977" s="92"/>
      <c r="E977" s="92"/>
      <c r="F977" s="9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>
      <c r="A978" s="1"/>
      <c r="B978" s="1"/>
      <c r="C978" s="1"/>
      <c r="D978" s="92"/>
      <c r="E978" s="92"/>
      <c r="F978" s="9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>
      <c r="A979" s="1"/>
      <c r="B979" s="1"/>
      <c r="C979" s="1"/>
      <c r="D979" s="92"/>
      <c r="E979" s="92"/>
      <c r="F979" s="9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>
      <c r="A980" s="1"/>
      <c r="B980" s="1"/>
      <c r="C980" s="1"/>
      <c r="D980" s="92"/>
      <c r="E980" s="92"/>
      <c r="F980" s="9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>
      <c r="A981" s="1"/>
      <c r="B981" s="1"/>
      <c r="C981" s="1"/>
      <c r="D981" s="92"/>
      <c r="E981" s="92"/>
      <c r="F981" s="9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>
      <c r="A982" s="1"/>
      <c r="B982" s="1"/>
      <c r="C982" s="1"/>
      <c r="D982" s="92"/>
      <c r="E982" s="92"/>
      <c r="F982" s="9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>
      <c r="A983" s="1"/>
      <c r="B983" s="1"/>
      <c r="C983" s="1"/>
      <c r="D983" s="92"/>
      <c r="E983" s="92"/>
      <c r="F983" s="9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>
      <c r="A984" s="1"/>
      <c r="B984" s="1"/>
      <c r="C984" s="1"/>
      <c r="D984" s="92"/>
      <c r="E984" s="92"/>
      <c r="F984" s="9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>
      <c r="A985" s="1"/>
      <c r="B985" s="1"/>
      <c r="C985" s="1"/>
      <c r="D985" s="92"/>
      <c r="E985" s="92"/>
      <c r="F985" s="9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>
      <c r="A986" s="1"/>
      <c r="B986" s="1"/>
      <c r="C986" s="1"/>
      <c r="D986" s="92"/>
      <c r="E986" s="92"/>
      <c r="F986" s="9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>
      <c r="A987" s="1"/>
      <c r="B987" s="1"/>
      <c r="C987" s="1"/>
      <c r="D987" s="92"/>
      <c r="E987" s="92"/>
      <c r="F987" s="9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>
      <c r="A988" s="1"/>
      <c r="B988" s="1"/>
      <c r="C988" s="1"/>
      <c r="D988" s="92"/>
      <c r="E988" s="92"/>
      <c r="F988" s="9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>
      <c r="A989" s="1"/>
      <c r="B989" s="1"/>
      <c r="C989" s="1"/>
      <c r="D989" s="92"/>
      <c r="E989" s="92"/>
      <c r="F989" s="9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>
      <c r="A990" s="1"/>
      <c r="B990" s="1"/>
      <c r="C990" s="1"/>
      <c r="D990" s="92"/>
      <c r="E990" s="92"/>
      <c r="F990" s="9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>
      <c r="A991" s="1"/>
      <c r="B991" s="1"/>
      <c r="C991" s="1"/>
      <c r="D991" s="92"/>
      <c r="E991" s="92"/>
      <c r="F991" s="9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>
      <c r="A992" s="1"/>
      <c r="B992" s="1"/>
      <c r="C992" s="1"/>
      <c r="D992" s="92"/>
      <c r="E992" s="92"/>
      <c r="F992" s="9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>
      <c r="A993" s="1"/>
      <c r="B993" s="1"/>
      <c r="C993" s="1"/>
      <c r="D993" s="92"/>
      <c r="E993" s="92"/>
      <c r="F993" s="9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>
      <c r="A994" s="1"/>
      <c r="B994" s="1"/>
      <c r="C994" s="1"/>
      <c r="D994" s="92"/>
      <c r="E994" s="92"/>
      <c r="F994" s="9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>
      <c r="A995" s="1"/>
      <c r="B995" s="1"/>
      <c r="C995" s="1"/>
      <c r="D995" s="92"/>
      <c r="E995" s="92"/>
      <c r="F995" s="9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>
      <c r="A996" s="1"/>
      <c r="B996" s="1"/>
      <c r="C996" s="1"/>
      <c r="D996" s="92"/>
      <c r="E996" s="92"/>
      <c r="F996" s="9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>
      <c r="A997" s="1"/>
      <c r="B997" s="1"/>
      <c r="C997" s="1"/>
      <c r="D997" s="92"/>
      <c r="E997" s="92"/>
      <c r="F997" s="9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>
      <c r="A998" s="1"/>
      <c r="B998" s="1"/>
      <c r="C998" s="1"/>
      <c r="D998" s="92"/>
      <c r="E998" s="92"/>
      <c r="F998" s="9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>
      <c r="A999" s="1"/>
      <c r="B999" s="1"/>
      <c r="C999" s="1"/>
      <c r="D999" s="92"/>
      <c r="E999" s="92"/>
      <c r="F999" s="9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>
      <c r="A1000" s="1"/>
      <c r="B1000" s="1"/>
      <c r="C1000" s="1"/>
      <c r="D1000" s="92"/>
      <c r="E1000" s="92"/>
      <c r="F1000" s="9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>
      <c r="A1001" s="1"/>
      <c r="B1001" s="1"/>
      <c r="C1001" s="1"/>
      <c r="D1001" s="92"/>
      <c r="E1001" s="92"/>
      <c r="F1001" s="9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>
      <c r="A1002" s="1"/>
      <c r="B1002" s="1"/>
      <c r="C1002" s="1"/>
      <c r="D1002" s="92"/>
      <c r="E1002" s="92"/>
      <c r="F1002" s="9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mergeCells count="2">
    <mergeCell ref="B6:E6"/>
    <mergeCell ref="B2:E5"/>
  </mergeCells>
  <phoneticPr fontId="2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34998626667073579"/>
  </sheetPr>
  <dimension ref="A1:Z990"/>
  <sheetViews>
    <sheetView zoomScale="90" zoomScaleNormal="90" workbookViewId="0">
      <selection activeCell="N53" sqref="N53"/>
    </sheetView>
  </sheetViews>
  <sheetFormatPr defaultColWidth="14.42578125" defaultRowHeight="15" customHeight="1"/>
  <cols>
    <col min="1" max="1" width="22.85546875" customWidth="1"/>
    <col min="2" max="2" width="38.7109375" bestFit="1" customWidth="1"/>
    <col min="3" max="3" width="16.7109375" bestFit="1" customWidth="1"/>
    <col min="4" max="4" width="16.28515625" bestFit="1" customWidth="1"/>
    <col min="5" max="5" width="17.28515625" customWidth="1"/>
    <col min="6" max="6" width="18.85546875" customWidth="1"/>
    <col min="7" max="7" width="18" customWidth="1"/>
    <col min="8" max="8" width="9.140625" customWidth="1"/>
    <col min="9" max="9" width="16.7109375" customWidth="1"/>
    <col min="10" max="10" width="18.42578125" customWidth="1"/>
    <col min="11" max="11" width="13.85546875" customWidth="1"/>
    <col min="12" max="12" width="12.7109375" bestFit="1" customWidth="1"/>
    <col min="13" max="26" width="10.7109375" customWidth="1"/>
  </cols>
  <sheetData>
    <row r="1" spans="1:26">
      <c r="A1" s="1"/>
      <c r="B1" s="344" t="s">
        <v>114</v>
      </c>
      <c r="C1" s="307"/>
      <c r="D1" s="307"/>
      <c r="E1" s="307"/>
      <c r="F1" s="307"/>
      <c r="G1" s="30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309"/>
      <c r="C2" s="310"/>
      <c r="D2" s="310"/>
      <c r="E2" s="310"/>
      <c r="F2" s="310"/>
      <c r="G2" s="3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thickBot="1">
      <c r="A3" s="1"/>
      <c r="B3" s="312"/>
      <c r="C3" s="313"/>
      <c r="D3" s="313"/>
      <c r="E3" s="313"/>
      <c r="F3" s="313"/>
      <c r="G3" s="314"/>
      <c r="H3" s="1"/>
      <c r="J3" s="103"/>
      <c r="K3" s="103"/>
      <c r="L3" s="103"/>
      <c r="M3" s="92"/>
      <c r="N3" s="9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1"/>
      <c r="B4" s="48"/>
      <c r="C4" s="48"/>
      <c r="D4" s="48"/>
      <c r="E4" s="49" t="s">
        <v>3</v>
      </c>
      <c r="F4" s="50" t="s">
        <v>4</v>
      </c>
      <c r="G4" s="51" t="s">
        <v>5</v>
      </c>
      <c r="H4" s="1"/>
      <c r="I4" s="1"/>
      <c r="J4" s="92"/>
      <c r="K4" s="92"/>
      <c r="L4" s="92"/>
      <c r="M4" s="92"/>
      <c r="N4" s="9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/>
      <c r="B5" s="190" t="s">
        <v>34</v>
      </c>
      <c r="C5" s="191" t="s">
        <v>81</v>
      </c>
      <c r="D5" s="191"/>
      <c r="E5" s="210"/>
      <c r="F5" s="210"/>
      <c r="G5" s="211"/>
      <c r="H5" s="1"/>
      <c r="I5" s="1"/>
      <c r="J5" s="92"/>
      <c r="K5" s="92"/>
      <c r="L5" s="92"/>
      <c r="M5" s="92"/>
      <c r="N5" s="9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07"/>
      <c r="B6" s="207" t="s">
        <v>77</v>
      </c>
      <c r="C6" s="208"/>
      <c r="D6" s="208"/>
      <c r="E6" s="208"/>
      <c r="F6" s="208"/>
      <c r="G6" s="209"/>
      <c r="H6" s="1"/>
      <c r="I6" s="1"/>
      <c r="J6" s="92"/>
      <c r="K6" s="92"/>
      <c r="L6" s="92"/>
      <c r="M6" s="92"/>
      <c r="N6" s="9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04"/>
      <c r="B7" s="219" t="s">
        <v>115</v>
      </c>
      <c r="C7" s="249">
        <f>SUM('Staffing Profile'!O37+'Non-Payroll OpEx '!O16)</f>
        <v>252375.96550000002</v>
      </c>
      <c r="D7" s="215"/>
      <c r="E7" s="215">
        <f>SUM(C7*12)</f>
        <v>3028511.5860000001</v>
      </c>
      <c r="F7" s="215">
        <f>SUM('Staffing Profile'!P69+'Non-Payroll OpEx '!P32)</f>
        <v>9056130.6899999995</v>
      </c>
      <c r="G7" s="217">
        <f>SUM('Staffing Profile'!P100+'Non-Payroll OpEx '!P48)</f>
        <v>35276238.555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>
      <c r="A8" s="107"/>
      <c r="B8" s="216"/>
      <c r="C8" s="249"/>
      <c r="D8" s="215"/>
      <c r="E8" s="215"/>
      <c r="F8" s="215"/>
      <c r="G8" s="217"/>
      <c r="H8" s="1"/>
      <c r="I8" s="1"/>
      <c r="J8" s="92"/>
      <c r="K8" s="92"/>
      <c r="L8" s="92"/>
      <c r="M8" s="92"/>
      <c r="N8" s="9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04"/>
      <c r="B9" s="212" t="s">
        <v>93</v>
      </c>
      <c r="C9" s="213"/>
      <c r="D9" s="213"/>
      <c r="E9" s="213"/>
      <c r="F9" s="213"/>
      <c r="G9" s="214"/>
      <c r="H9" s="92"/>
      <c r="I9" s="1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>
      <c r="A10" s="107"/>
      <c r="B10" s="218" t="s">
        <v>117</v>
      </c>
      <c r="C10" s="250">
        <v>50000</v>
      </c>
      <c r="D10" s="185"/>
      <c r="E10" s="184">
        <f>C10</f>
        <v>50000</v>
      </c>
      <c r="F10" s="184">
        <v>150000</v>
      </c>
      <c r="G10" s="193">
        <v>300000</v>
      </c>
      <c r="H10" s="1"/>
      <c r="I10" s="1"/>
      <c r="J10" s="92"/>
      <c r="K10" s="92"/>
      <c r="L10" s="92"/>
      <c r="M10" s="92"/>
      <c r="N10" s="9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106" customFormat="1">
      <c r="A11" s="107"/>
      <c r="B11" s="218" t="s">
        <v>97</v>
      </c>
      <c r="C11" s="250">
        <v>10000</v>
      </c>
      <c r="D11" s="184"/>
      <c r="E11" s="184">
        <v>10000</v>
      </c>
      <c r="F11" s="184">
        <v>10000</v>
      </c>
      <c r="G11" s="193">
        <v>10000</v>
      </c>
      <c r="H11" s="105"/>
      <c r="I11" s="92"/>
      <c r="J11" s="92"/>
      <c r="K11" s="92"/>
      <c r="L11" s="92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>
      <c r="B12" s="192"/>
      <c r="C12" s="250"/>
      <c r="D12" s="184"/>
      <c r="E12" s="184"/>
      <c r="F12" s="184"/>
      <c r="G12" s="193"/>
      <c r="H12" s="1"/>
      <c r="I12" s="1"/>
      <c r="J12" s="92"/>
      <c r="K12" s="92"/>
      <c r="L12" s="92"/>
      <c r="M12" s="92"/>
      <c r="N12" s="9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92"/>
      <c r="B13" s="192"/>
      <c r="C13" s="250"/>
      <c r="D13" s="186"/>
      <c r="E13" s="184"/>
      <c r="F13" s="184"/>
      <c r="G13" s="193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>
      <c r="A14" s="1"/>
      <c r="B14" s="192"/>
      <c r="C14" s="250"/>
      <c r="D14" s="184"/>
      <c r="E14" s="184"/>
      <c r="F14" s="184"/>
      <c r="G14" s="193"/>
      <c r="H14" s="1"/>
      <c r="I14" s="1"/>
      <c r="J14" s="92"/>
      <c r="K14" s="92"/>
      <c r="L14" s="92"/>
      <c r="M14" s="92"/>
      <c r="N14" s="9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94" t="s">
        <v>116</v>
      </c>
      <c r="C15" s="187"/>
      <c r="D15" s="187"/>
      <c r="E15" s="187"/>
      <c r="F15" s="187"/>
      <c r="G15" s="19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92"/>
      <c r="B16" s="218" t="s">
        <v>118</v>
      </c>
      <c r="C16" s="250">
        <v>50000</v>
      </c>
      <c r="D16" s="184"/>
      <c r="E16" s="184">
        <f>C16</f>
        <v>50000</v>
      </c>
      <c r="F16" s="184">
        <f>E16</f>
        <v>50000</v>
      </c>
      <c r="G16" s="193">
        <f>F16</f>
        <v>50000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1:26">
      <c r="A17" s="92"/>
      <c r="B17" s="218" t="s">
        <v>126</v>
      </c>
      <c r="C17" s="250">
        <v>35000</v>
      </c>
      <c r="D17" s="184"/>
      <c r="E17" s="184">
        <f>C17</f>
        <v>35000</v>
      </c>
      <c r="F17" s="184"/>
      <c r="G17" s="193">
        <v>150000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1:26">
      <c r="A18" s="92"/>
      <c r="B18" s="218" t="s">
        <v>129</v>
      </c>
      <c r="C18" s="250">
        <v>15000</v>
      </c>
      <c r="D18" s="184"/>
      <c r="E18" s="184">
        <f>C18</f>
        <v>15000</v>
      </c>
      <c r="F18" s="184">
        <f>$E$18</f>
        <v>15000</v>
      </c>
      <c r="G18" s="193">
        <v>30000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1:26">
      <c r="A19" s="92"/>
      <c r="B19" s="218" t="s">
        <v>130</v>
      </c>
      <c r="C19" s="250">
        <v>25000</v>
      </c>
      <c r="D19" s="184"/>
      <c r="E19" s="184">
        <f>C19</f>
        <v>25000</v>
      </c>
      <c r="F19" s="184">
        <f>$E$19</f>
        <v>25000</v>
      </c>
      <c r="G19" s="193">
        <v>50000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spans="1:26">
      <c r="A20" s="92"/>
      <c r="B20" s="218" t="s">
        <v>133</v>
      </c>
      <c r="C20" s="250">
        <v>350000</v>
      </c>
      <c r="D20" s="184"/>
      <c r="E20" s="184">
        <f t="shared" ref="E20:E31" si="0">C20</f>
        <v>350000</v>
      </c>
      <c r="F20" s="184"/>
      <c r="G20" s="193">
        <v>500000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spans="1:26">
      <c r="A21" s="92"/>
      <c r="B21" s="218" t="s">
        <v>121</v>
      </c>
      <c r="C21" s="250">
        <v>7500</v>
      </c>
      <c r="D21" s="184"/>
      <c r="E21" s="184">
        <f t="shared" si="0"/>
        <v>7500</v>
      </c>
      <c r="F21" s="184">
        <v>7500</v>
      </c>
      <c r="G21" s="193">
        <f>F21</f>
        <v>7500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6">
      <c r="A22" s="92"/>
      <c r="B22" s="218" t="s">
        <v>122</v>
      </c>
      <c r="C22" s="250">
        <v>50000</v>
      </c>
      <c r="D22" s="184"/>
      <c r="E22" s="184">
        <f t="shared" si="0"/>
        <v>50000</v>
      </c>
      <c r="F22" s="184">
        <v>150000</v>
      </c>
      <c r="G22" s="193">
        <v>250000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spans="1:26">
      <c r="A23" s="92"/>
      <c r="B23" s="218" t="s">
        <v>123</v>
      </c>
      <c r="C23" s="250">
        <v>22000</v>
      </c>
      <c r="D23" s="184"/>
      <c r="E23" s="184">
        <f t="shared" si="0"/>
        <v>22000</v>
      </c>
      <c r="F23" s="184"/>
      <c r="G23" s="193">
        <f>F23</f>
        <v>0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>
      <c r="A24" s="92"/>
      <c r="B24" s="218" t="s">
        <v>124</v>
      </c>
      <c r="C24" s="250">
        <v>7000</v>
      </c>
      <c r="D24" s="184"/>
      <c r="E24" s="184">
        <f t="shared" si="0"/>
        <v>7000</v>
      </c>
      <c r="F24" s="184">
        <f>E24</f>
        <v>7000</v>
      </c>
      <c r="G24" s="193">
        <v>7000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>
      <c r="A25" s="92"/>
      <c r="B25" s="218" t="s">
        <v>125</v>
      </c>
      <c r="C25" s="250">
        <v>10000</v>
      </c>
      <c r="D25" s="184"/>
      <c r="E25" s="184">
        <f t="shared" si="0"/>
        <v>10000</v>
      </c>
      <c r="F25" s="184"/>
      <c r="G25" s="193">
        <f>E25</f>
        <v>10000</v>
      </c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>
      <c r="A26" s="92"/>
      <c r="B26" s="218" t="s">
        <v>120</v>
      </c>
      <c r="C26" s="250">
        <v>10000</v>
      </c>
      <c r="D26" s="184"/>
      <c r="E26" s="184">
        <v>15000</v>
      </c>
      <c r="F26" s="184"/>
      <c r="G26" s="193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spans="1:26">
      <c r="A27" s="92"/>
      <c r="B27" s="218" t="s">
        <v>127</v>
      </c>
      <c r="C27" s="250">
        <v>20000</v>
      </c>
      <c r="D27" s="185"/>
      <c r="E27" s="184">
        <f t="shared" si="0"/>
        <v>20000</v>
      </c>
      <c r="F27" s="184">
        <f>E27</f>
        <v>20000</v>
      </c>
      <c r="G27" s="193">
        <f>F27</f>
        <v>20000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92"/>
      <c r="B28" s="218" t="s">
        <v>134</v>
      </c>
      <c r="C28" s="250">
        <v>10000</v>
      </c>
      <c r="D28" s="185"/>
      <c r="E28" s="184">
        <f t="shared" si="0"/>
        <v>10000</v>
      </c>
      <c r="F28" s="184">
        <v>10000</v>
      </c>
      <c r="G28" s="193">
        <f t="shared" ref="G28:G31" si="1">F28</f>
        <v>10000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spans="1:26">
      <c r="A29" s="1"/>
      <c r="B29" s="220" t="s">
        <v>132</v>
      </c>
      <c r="C29" s="250">
        <v>25000</v>
      </c>
      <c r="D29" s="185"/>
      <c r="E29" s="184">
        <f t="shared" si="0"/>
        <v>25000</v>
      </c>
      <c r="F29" s="184">
        <v>10000</v>
      </c>
      <c r="G29" s="193">
        <f t="shared" si="1"/>
        <v>10000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92"/>
      <c r="B30" s="219" t="s">
        <v>131</v>
      </c>
      <c r="C30" s="251">
        <v>15000</v>
      </c>
      <c r="D30" s="221"/>
      <c r="E30" s="184">
        <f t="shared" si="0"/>
        <v>15000</v>
      </c>
      <c r="F30" s="203">
        <f>E30</f>
        <v>15000</v>
      </c>
      <c r="G30" s="193">
        <f t="shared" si="1"/>
        <v>15000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spans="1:26">
      <c r="A31" s="92"/>
      <c r="B31" s="222" t="s">
        <v>128</v>
      </c>
      <c r="C31" s="251">
        <v>5000</v>
      </c>
      <c r="D31" s="221"/>
      <c r="E31" s="184">
        <f t="shared" si="0"/>
        <v>5000</v>
      </c>
      <c r="F31" s="203">
        <f>E31</f>
        <v>5000</v>
      </c>
      <c r="G31" s="193">
        <f t="shared" si="1"/>
        <v>5000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5.75" thickBot="1">
      <c r="A32" s="1"/>
      <c r="B32" s="252"/>
      <c r="C32" s="253"/>
      <c r="D32" s="254"/>
      <c r="E32" s="255">
        <f t="shared" ref="E32" si="2">C32</f>
        <v>0</v>
      </c>
      <c r="F32" s="254"/>
      <c r="G32" s="25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04" t="s">
        <v>78</v>
      </c>
      <c r="C33" s="205">
        <f>SUM(C7:C8)</f>
        <v>252375.96550000002</v>
      </c>
      <c r="D33" s="205"/>
      <c r="E33" s="205">
        <f>SUM(E7:E8)</f>
        <v>3028511.5860000001</v>
      </c>
      <c r="F33" s="205">
        <f>SUM(F7:F8)</f>
        <v>9056130.6899999995</v>
      </c>
      <c r="G33" s="206">
        <f>SUM(G7:G8)</f>
        <v>35276238.555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96" t="s">
        <v>94</v>
      </c>
      <c r="C34" s="188">
        <f>SUM(C10:C14)</f>
        <v>60000</v>
      </c>
      <c r="D34" s="188"/>
      <c r="E34" s="188">
        <f>SUM(E10:E14)</f>
        <v>60000</v>
      </c>
      <c r="F34" s="188">
        <f>SUM(F10:F14)</f>
        <v>160000</v>
      </c>
      <c r="G34" s="197">
        <f>SUM(G10:G14)</f>
        <v>310000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98" t="s">
        <v>79</v>
      </c>
      <c r="C35" s="189">
        <f>SUM(C16:C32)</f>
        <v>656500</v>
      </c>
      <c r="D35" s="189"/>
      <c r="E35" s="189">
        <f>SUM(E16:E32)</f>
        <v>661500</v>
      </c>
      <c r="F35" s="189">
        <f>SUM(F16:F32)</f>
        <v>314500</v>
      </c>
      <c r="G35" s="199">
        <f>SUM(G16:G32)</f>
        <v>1114500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200" t="s">
        <v>35</v>
      </c>
      <c r="C36" s="201">
        <f>SUM(C33:C35)</f>
        <v>968875.96550000005</v>
      </c>
      <c r="D36" s="201"/>
      <c r="E36" s="201">
        <f>SUM(E33:E35)</f>
        <v>3750011.5860000001</v>
      </c>
      <c r="F36" s="201">
        <f>SUM(F33:F35)</f>
        <v>9530630.6899999995</v>
      </c>
      <c r="G36" s="202">
        <f>SUM(G33:G35)</f>
        <v>36700738.555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6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>
      <c r="B980" s="1"/>
      <c r="C980" s="1"/>
      <c r="D980" s="1"/>
      <c r="E980" s="1"/>
      <c r="F980" s="1"/>
      <c r="G980" s="1"/>
    </row>
    <row r="981" spans="1:26" ht="15" customHeight="1">
      <c r="B981" s="1"/>
      <c r="C981" s="1"/>
      <c r="D981" s="1"/>
      <c r="E981" s="1"/>
      <c r="F981" s="1"/>
      <c r="G981" s="1"/>
    </row>
    <row r="982" spans="1:26" ht="15" customHeight="1">
      <c r="B982" s="1"/>
      <c r="C982" s="1"/>
      <c r="D982" s="1"/>
      <c r="E982" s="1"/>
      <c r="F982" s="1"/>
      <c r="G982" s="1"/>
    </row>
    <row r="983" spans="1:26" ht="15" customHeight="1">
      <c r="B983" s="1"/>
      <c r="C983" s="1"/>
      <c r="D983" s="1"/>
      <c r="E983" s="1"/>
      <c r="F983" s="1"/>
      <c r="G983" s="1"/>
    </row>
    <row r="984" spans="1:26" ht="15" customHeight="1">
      <c r="B984" s="1"/>
      <c r="C984" s="1"/>
      <c r="D984" s="1"/>
      <c r="E984" s="1"/>
      <c r="F984" s="1"/>
      <c r="G984" s="1"/>
    </row>
    <row r="985" spans="1:26" ht="15" customHeight="1">
      <c r="B985" s="1"/>
      <c r="C985" s="1"/>
      <c r="D985" s="1"/>
      <c r="E985" s="1"/>
      <c r="F985" s="1"/>
      <c r="G985" s="1"/>
    </row>
    <row r="986" spans="1:26" ht="15" customHeight="1">
      <c r="B986" s="1"/>
      <c r="C986" s="1"/>
      <c r="D986" s="1"/>
      <c r="E986" s="1"/>
      <c r="F986" s="1"/>
      <c r="G986" s="1"/>
    </row>
    <row r="987" spans="1:26" ht="15" customHeight="1">
      <c r="B987" s="1"/>
      <c r="C987" s="1"/>
      <c r="D987" s="1"/>
      <c r="E987" s="1"/>
      <c r="F987" s="1"/>
      <c r="G987" s="1"/>
    </row>
    <row r="988" spans="1:26" ht="15" customHeight="1">
      <c r="B988" s="1"/>
      <c r="C988" s="1"/>
      <c r="D988" s="1"/>
      <c r="E988" s="1"/>
      <c r="F988" s="1"/>
      <c r="G988" s="1"/>
    </row>
    <row r="989" spans="1:26" ht="15" customHeight="1">
      <c r="B989" s="1"/>
      <c r="C989" s="1"/>
      <c r="D989" s="1"/>
      <c r="E989" s="1"/>
      <c r="F989" s="1"/>
      <c r="G989" s="1"/>
    </row>
    <row r="990" spans="1:26" ht="15" customHeight="1">
      <c r="B990" s="1"/>
      <c r="C990" s="1"/>
      <c r="D990" s="1"/>
      <c r="E990" s="1"/>
      <c r="F990" s="1"/>
      <c r="G990" s="1"/>
    </row>
  </sheetData>
  <mergeCells count="1">
    <mergeCell ref="B1:G3"/>
  </mergeCells>
  <phoneticPr fontId="21" type="noConversion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4.42578125" defaultRowHeight="15" customHeight="1"/>
  <cols>
    <col min="1" max="26" width="10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7:F24"/>
  <sheetViews>
    <sheetView workbookViewId="0"/>
  </sheetViews>
  <sheetFormatPr defaultColWidth="14.42578125" defaultRowHeight="15" customHeight="1"/>
  <cols>
    <col min="1" max="4" width="10.7109375" customWidth="1"/>
    <col min="5" max="5" width="11.42578125" customWidth="1"/>
    <col min="6" max="26" width="10.7109375" customWidth="1"/>
  </cols>
  <sheetData>
    <row r="7" spans="3:6" ht="15" customHeight="1">
      <c r="C7" s="1"/>
      <c r="D7" s="1"/>
      <c r="E7" s="1"/>
      <c r="F7" s="1"/>
    </row>
    <row r="8" spans="3:6" ht="15" customHeight="1">
      <c r="C8" s="1"/>
      <c r="D8" s="1"/>
      <c r="E8" s="1" t="s">
        <v>3</v>
      </c>
      <c r="F8" s="1" t="s">
        <v>4</v>
      </c>
    </row>
    <row r="9" spans="3:6" ht="15" customHeight="1">
      <c r="C9" s="1"/>
      <c r="D9" s="35" t="s">
        <v>36</v>
      </c>
      <c r="E9" s="35">
        <v>3</v>
      </c>
      <c r="F9" s="1"/>
    </row>
    <row r="10" spans="3:6" ht="15" customHeight="1">
      <c r="C10" s="1"/>
      <c r="D10" s="35"/>
      <c r="E10" s="35"/>
      <c r="F10" s="1"/>
    </row>
    <row r="11" spans="3:6" ht="15" customHeight="1">
      <c r="C11" s="1"/>
      <c r="D11" s="35"/>
      <c r="E11" s="35"/>
      <c r="F11" s="1"/>
    </row>
    <row r="12" spans="3:6" ht="15" customHeight="1">
      <c r="C12" s="1"/>
      <c r="D12" s="35"/>
      <c r="E12" s="35"/>
      <c r="F12" s="1"/>
    </row>
    <row r="13" spans="3:6" ht="15" customHeight="1">
      <c r="C13" s="1"/>
      <c r="D13" s="35"/>
      <c r="E13" s="35"/>
      <c r="F13" s="1"/>
    </row>
    <row r="14" spans="3:6" ht="15" customHeight="1">
      <c r="C14" s="1"/>
      <c r="D14" s="35" t="s">
        <v>33</v>
      </c>
      <c r="E14" s="36">
        <v>625000</v>
      </c>
      <c r="F14" s="1"/>
    </row>
    <row r="15" spans="3:6" ht="15" customHeight="1">
      <c r="C15" s="1"/>
      <c r="D15" s="35" t="s">
        <v>37</v>
      </c>
      <c r="E15" s="34">
        <v>0.12</v>
      </c>
      <c r="F15" s="1"/>
    </row>
    <row r="16" spans="3:6" ht="15" customHeight="1">
      <c r="C16" s="1"/>
      <c r="D16" s="4" t="s">
        <v>38</v>
      </c>
      <c r="E16" s="25">
        <v>62500</v>
      </c>
      <c r="F16" s="1"/>
    </row>
    <row r="17" spans="3:6" ht="15" customHeight="1">
      <c r="C17" s="1"/>
      <c r="D17" s="1"/>
      <c r="E17" s="1"/>
      <c r="F17" s="1"/>
    </row>
    <row r="18" spans="3:6" ht="15" customHeight="1">
      <c r="C18" s="1"/>
      <c r="D18" s="1"/>
      <c r="E18" s="1"/>
      <c r="F18" s="1"/>
    </row>
    <row r="19" spans="3:6" ht="15" customHeight="1">
      <c r="C19" s="1"/>
      <c r="D19" s="1"/>
      <c r="E19" s="1"/>
      <c r="F19" s="1"/>
    </row>
    <row r="20" spans="3:6">
      <c r="C20" s="1"/>
      <c r="D20" s="1"/>
      <c r="E20" s="1"/>
      <c r="F20" s="1"/>
    </row>
    <row r="21" spans="3:6">
      <c r="C21" s="1"/>
      <c r="D21" s="1"/>
      <c r="E21" s="1"/>
      <c r="F21" s="1"/>
    </row>
    <row r="22" spans="3:6">
      <c r="C22" s="1"/>
      <c r="D22" s="1" t="s">
        <v>39</v>
      </c>
      <c r="E22" s="1">
        <v>0.78</v>
      </c>
      <c r="F22" s="1"/>
    </row>
    <row r="23" spans="3:6">
      <c r="C23" s="1"/>
      <c r="D23" s="1" t="s">
        <v>40</v>
      </c>
      <c r="E23" s="52">
        <f>1/0.78</f>
        <v>1.2820512820512819</v>
      </c>
      <c r="F23" s="1"/>
    </row>
    <row r="24" spans="3:6">
      <c r="C24" s="1"/>
      <c r="D24" s="1"/>
      <c r="E24" s="1"/>
      <c r="F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34998626667073579"/>
  </sheetPr>
  <dimension ref="A1:Z1003"/>
  <sheetViews>
    <sheetView topLeftCell="A18" zoomScale="80" zoomScaleNormal="80" workbookViewId="0">
      <selection activeCell="R53" sqref="R53"/>
    </sheetView>
  </sheetViews>
  <sheetFormatPr defaultColWidth="14.42578125" defaultRowHeight="15" customHeight="1"/>
  <cols>
    <col min="1" max="1" width="20" customWidth="1"/>
    <col min="2" max="2" width="17" customWidth="1"/>
    <col min="3" max="3" width="35.140625" bestFit="1" customWidth="1"/>
    <col min="4" max="11" width="10.7109375" bestFit="1" customWidth="1"/>
    <col min="12" max="12" width="10.85546875" customWidth="1"/>
    <col min="13" max="15" width="10.7109375" bestFit="1" customWidth="1"/>
    <col min="16" max="16" width="14.28515625" bestFit="1" customWidth="1"/>
    <col min="17" max="17" width="16.42578125" customWidth="1"/>
    <col min="18" max="26" width="8.85546875" customWidth="1"/>
  </cols>
  <sheetData>
    <row r="1" spans="1:26" ht="15" customHeight="1">
      <c r="A1" s="1"/>
      <c r="B1" s="306" t="s">
        <v>82</v>
      </c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8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309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309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309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312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92"/>
      <c r="T6" s="92"/>
      <c r="U6" s="92"/>
      <c r="V6" s="92"/>
      <c r="W6" s="92"/>
      <c r="X6" s="92"/>
      <c r="Y6" s="92"/>
      <c r="Z6" s="1"/>
    </row>
    <row r="7" spans="1:26" ht="15" customHeight="1">
      <c r="A7" s="1"/>
      <c r="B7" s="180" t="s">
        <v>41</v>
      </c>
      <c r="C7" s="55"/>
      <c r="D7" s="56" t="s">
        <v>7</v>
      </c>
      <c r="E7" s="56" t="s">
        <v>8</v>
      </c>
      <c r="F7" s="56" t="s">
        <v>9</v>
      </c>
      <c r="G7" s="56" t="s">
        <v>10</v>
      </c>
      <c r="H7" s="56" t="s">
        <v>11</v>
      </c>
      <c r="I7" s="56" t="s">
        <v>12</v>
      </c>
      <c r="J7" s="56" t="s">
        <v>13</v>
      </c>
      <c r="K7" s="56" t="s">
        <v>14</v>
      </c>
      <c r="L7" s="56" t="s">
        <v>15</v>
      </c>
      <c r="M7" s="56" t="s">
        <v>16</v>
      </c>
      <c r="N7" s="56" t="s">
        <v>17</v>
      </c>
      <c r="O7" s="56" t="s">
        <v>18</v>
      </c>
      <c r="P7" s="57" t="s">
        <v>19</v>
      </c>
      <c r="Q7" s="1"/>
      <c r="R7" s="1"/>
      <c r="S7" s="92"/>
      <c r="T7" s="92"/>
      <c r="U7" s="92"/>
      <c r="V7" s="92"/>
      <c r="W7" s="92"/>
      <c r="X7" s="92"/>
      <c r="Y7" s="92"/>
      <c r="Z7" s="1"/>
    </row>
    <row r="8" spans="1:26" ht="15" customHeight="1">
      <c r="A8" s="1"/>
      <c r="B8" s="28" t="s">
        <v>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6"/>
      <c r="Q8" s="1"/>
      <c r="R8" s="1"/>
      <c r="S8" s="92"/>
      <c r="T8" s="177"/>
      <c r="U8" s="179"/>
      <c r="V8" s="179"/>
      <c r="W8" s="179"/>
      <c r="X8" s="179"/>
      <c r="Y8" s="92"/>
      <c r="Z8" s="1"/>
    </row>
    <row r="9" spans="1:26" ht="15" customHeight="1">
      <c r="A9" s="1"/>
      <c r="B9" s="28"/>
      <c r="C9" s="102" t="s">
        <v>99</v>
      </c>
      <c r="D9" s="2"/>
      <c r="E9" s="2"/>
      <c r="F9" s="2"/>
      <c r="G9" s="2"/>
      <c r="H9" s="2"/>
      <c r="I9" s="2">
        <v>12500</v>
      </c>
      <c r="J9" s="2">
        <v>12500</v>
      </c>
      <c r="K9" s="2">
        <v>12500</v>
      </c>
      <c r="L9" s="2">
        <v>12500</v>
      </c>
      <c r="M9" s="2">
        <v>12500</v>
      </c>
      <c r="N9" s="2">
        <v>12500</v>
      </c>
      <c r="O9" s="2">
        <v>12500</v>
      </c>
      <c r="P9" s="29">
        <f t="shared" ref="P9:P16" si="0">SUM(D9:O9)</f>
        <v>87500</v>
      </c>
      <c r="Q9" s="1"/>
      <c r="R9" s="1"/>
      <c r="S9" s="92"/>
      <c r="T9" s="177"/>
      <c r="U9" s="179"/>
      <c r="V9" s="179"/>
      <c r="W9" s="179"/>
      <c r="X9" s="179"/>
      <c r="Y9" s="92"/>
      <c r="Z9" s="1"/>
    </row>
    <row r="10" spans="1:26" ht="15" customHeight="1">
      <c r="A10" s="1"/>
      <c r="B10" s="28"/>
      <c r="C10" s="123" t="s">
        <v>43</v>
      </c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29">
        <f t="shared" si="0"/>
        <v>0</v>
      </c>
      <c r="Q10" s="1"/>
      <c r="R10" s="1"/>
      <c r="S10" s="92"/>
      <c r="T10" s="177"/>
      <c r="U10" s="179"/>
      <c r="V10" s="179"/>
      <c r="W10" s="179"/>
      <c r="X10" s="179"/>
      <c r="Y10" s="92"/>
      <c r="Z10" s="1"/>
    </row>
    <row r="11" spans="1:26" ht="15" customHeight="1">
      <c r="A11" s="1"/>
      <c r="B11" s="28"/>
      <c r="C11" s="1" t="s">
        <v>44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9">
        <f t="shared" si="0"/>
        <v>0</v>
      </c>
      <c r="Q11" s="1"/>
      <c r="R11" s="1"/>
      <c r="S11" s="92"/>
      <c r="T11" s="177"/>
      <c r="U11" s="179"/>
      <c r="V11" s="179"/>
      <c r="W11" s="179"/>
      <c r="X11" s="179"/>
      <c r="Y11" s="92"/>
      <c r="Z11" s="1"/>
    </row>
    <row r="12" spans="1:26" ht="15" customHeight="1">
      <c r="A12" s="1"/>
      <c r="B12" s="28"/>
      <c r="C12" s="102" t="s">
        <v>98</v>
      </c>
      <c r="D12" s="2"/>
      <c r="E12" s="2"/>
      <c r="F12" s="2"/>
      <c r="G12" s="2"/>
      <c r="H12" s="2"/>
      <c r="I12" s="2">
        <v>8333.33</v>
      </c>
      <c r="J12" s="2">
        <v>8333.33</v>
      </c>
      <c r="K12" s="2">
        <v>8333.33</v>
      </c>
      <c r="L12" s="2">
        <v>8333.33</v>
      </c>
      <c r="M12" s="2">
        <v>8333.33</v>
      </c>
      <c r="N12" s="2">
        <v>8333.33</v>
      </c>
      <c r="O12" s="2">
        <v>8333.33</v>
      </c>
      <c r="P12" s="29">
        <f t="shared" si="0"/>
        <v>58333.310000000005</v>
      </c>
      <c r="Q12" s="1"/>
      <c r="R12" s="1"/>
      <c r="S12" s="92"/>
      <c r="T12" s="177"/>
      <c r="U12" s="179"/>
      <c r="V12" s="179"/>
      <c r="W12" s="179"/>
      <c r="X12" s="179"/>
      <c r="Y12" s="92"/>
      <c r="Z12" s="1"/>
    </row>
    <row r="13" spans="1:26" ht="15" customHeight="1">
      <c r="A13" s="1"/>
      <c r="B13" s="28"/>
      <c r="C13" s="102" t="s">
        <v>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9">
        <f t="shared" si="0"/>
        <v>0</v>
      </c>
      <c r="Q13" s="1"/>
      <c r="R13" s="1"/>
      <c r="S13" s="92"/>
      <c r="T13" s="177"/>
      <c r="U13" s="179"/>
      <c r="V13" s="179"/>
      <c r="W13" s="179"/>
      <c r="X13" s="179"/>
      <c r="Y13" s="92"/>
      <c r="Z13" s="1"/>
    </row>
    <row r="14" spans="1:26" ht="17.25">
      <c r="A14" s="1"/>
      <c r="B14" s="98"/>
      <c r="C14" s="92" t="s">
        <v>46</v>
      </c>
      <c r="D14" s="111"/>
      <c r="E14" s="111"/>
      <c r="F14" s="111"/>
      <c r="G14" s="111"/>
      <c r="H14" s="111"/>
      <c r="I14" s="111">
        <f t="shared" ref="D14:O14" si="1">SUM(I7:I12)*0.3</f>
        <v>6249.9990000000007</v>
      </c>
      <c r="J14" s="111">
        <f t="shared" si="1"/>
        <v>6249.9990000000007</v>
      </c>
      <c r="K14" s="111">
        <f t="shared" si="1"/>
        <v>6249.9990000000007</v>
      </c>
      <c r="L14" s="111">
        <f t="shared" si="1"/>
        <v>6249.9990000000007</v>
      </c>
      <c r="M14" s="111">
        <f t="shared" si="1"/>
        <v>6249.9990000000007</v>
      </c>
      <c r="N14" s="111">
        <f t="shared" si="1"/>
        <v>6249.9990000000007</v>
      </c>
      <c r="O14" s="111">
        <f t="shared" si="1"/>
        <v>6249.9990000000007</v>
      </c>
      <c r="P14" s="112">
        <f t="shared" si="0"/>
        <v>43749.993000000009</v>
      </c>
      <c r="Q14" s="1"/>
      <c r="R14" s="1"/>
      <c r="S14" s="92"/>
      <c r="T14" s="177"/>
      <c r="U14" s="179"/>
      <c r="V14" s="179"/>
      <c r="W14" s="179"/>
      <c r="X14" s="179"/>
      <c r="Y14" s="92"/>
      <c r="Z14" s="1"/>
    </row>
    <row r="15" spans="1:26" ht="17.25">
      <c r="A15" s="1"/>
      <c r="B15" s="98"/>
      <c r="C15" s="92" t="s">
        <v>47</v>
      </c>
      <c r="D15" s="111"/>
      <c r="E15" s="111"/>
      <c r="F15" s="111"/>
      <c r="G15" s="111"/>
      <c r="H15" s="111"/>
      <c r="I15" s="111">
        <f t="shared" ref="E15:O15" si="2">SUM(I7:I12)*0.15</f>
        <v>3124.9995000000004</v>
      </c>
      <c r="J15" s="111">
        <f t="shared" si="2"/>
        <v>3124.9995000000004</v>
      </c>
      <c r="K15" s="111">
        <f t="shared" si="2"/>
        <v>3124.9995000000004</v>
      </c>
      <c r="L15" s="111">
        <f t="shared" si="2"/>
        <v>3124.9995000000004</v>
      </c>
      <c r="M15" s="111">
        <f t="shared" si="2"/>
        <v>3124.9995000000004</v>
      </c>
      <c r="N15" s="111">
        <f t="shared" si="2"/>
        <v>3124.9995000000004</v>
      </c>
      <c r="O15" s="111">
        <f t="shared" si="2"/>
        <v>3124.9995000000004</v>
      </c>
      <c r="P15" s="112">
        <f t="shared" si="0"/>
        <v>21874.996500000005</v>
      </c>
      <c r="Q15" s="1"/>
      <c r="R15" s="1"/>
      <c r="S15" s="92"/>
      <c r="T15" s="177"/>
      <c r="U15" s="179"/>
      <c r="V15" s="179"/>
      <c r="W15" s="179"/>
      <c r="X15" s="179"/>
      <c r="Y15" s="92"/>
      <c r="Z15" s="1"/>
    </row>
    <row r="16" spans="1:26" ht="15" customHeight="1">
      <c r="A16" s="1"/>
      <c r="B16" s="28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9">
        <f t="shared" si="0"/>
        <v>0</v>
      </c>
      <c r="Q16" s="1"/>
      <c r="R16" s="1"/>
      <c r="S16" s="92"/>
      <c r="T16" s="177"/>
      <c r="U16" s="179"/>
      <c r="V16" s="179"/>
      <c r="W16" s="179"/>
      <c r="X16" s="179"/>
      <c r="Y16" s="92"/>
      <c r="Z16" s="1"/>
    </row>
    <row r="17" spans="1:26" ht="15" customHeight="1">
      <c r="A17" s="1"/>
      <c r="B17" s="28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9"/>
      <c r="Q17" s="1"/>
      <c r="R17" s="1"/>
      <c r="S17" s="92"/>
      <c r="T17" s="177"/>
      <c r="U17" s="179"/>
      <c r="V17" s="179"/>
      <c r="W17" s="179"/>
      <c r="X17" s="179"/>
      <c r="Y17" s="92"/>
      <c r="Z17" s="1"/>
    </row>
    <row r="18" spans="1:26" ht="15" customHeight="1">
      <c r="A18" s="47"/>
      <c r="B18" s="345" t="s">
        <v>48</v>
      </c>
      <c r="C18" s="317"/>
      <c r="D18" s="58"/>
      <c r="E18" s="58"/>
      <c r="F18" s="58"/>
      <c r="G18" s="58"/>
      <c r="H18" s="58"/>
      <c r="I18" s="58">
        <f t="shared" ref="D18:P18" si="3">SUM(I9:I16)</f>
        <v>30208.328500000003</v>
      </c>
      <c r="J18" s="58">
        <f t="shared" si="3"/>
        <v>30208.328500000003</v>
      </c>
      <c r="K18" s="58">
        <f t="shared" si="3"/>
        <v>30208.328500000003</v>
      </c>
      <c r="L18" s="58">
        <f t="shared" si="3"/>
        <v>30208.328500000003</v>
      </c>
      <c r="M18" s="58">
        <f t="shared" si="3"/>
        <v>30208.328500000003</v>
      </c>
      <c r="N18" s="58">
        <f t="shared" si="3"/>
        <v>30208.328500000003</v>
      </c>
      <c r="O18" s="58">
        <f t="shared" si="3"/>
        <v>30208.328500000003</v>
      </c>
      <c r="P18" s="59">
        <f t="shared" si="3"/>
        <v>211458.29950000002</v>
      </c>
      <c r="Q18" s="47"/>
      <c r="R18" s="47"/>
      <c r="S18" s="176"/>
      <c r="T18" s="177"/>
      <c r="U18" s="183"/>
      <c r="V18" s="183"/>
      <c r="W18" s="183"/>
      <c r="X18" s="183"/>
      <c r="Y18" s="176"/>
      <c r="Z18" s="47"/>
    </row>
    <row r="19" spans="1:26" ht="15" customHeight="1">
      <c r="A19" s="1"/>
      <c r="B19" s="28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9"/>
      <c r="Q19" s="1"/>
      <c r="R19" s="1"/>
      <c r="S19" s="92"/>
      <c r="T19" s="177"/>
      <c r="U19" s="179"/>
      <c r="V19" s="179"/>
      <c r="W19" s="179"/>
      <c r="X19" s="179"/>
      <c r="Y19" s="92"/>
      <c r="Z19" s="1"/>
    </row>
    <row r="20" spans="1:26" ht="17.25">
      <c r="A20" s="1"/>
      <c r="B20" s="28" t="s">
        <v>49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9"/>
      <c r="Q20" s="1"/>
      <c r="R20" s="1"/>
      <c r="S20" s="92"/>
      <c r="T20" s="177"/>
      <c r="U20" s="179"/>
      <c r="V20" s="179"/>
      <c r="W20" s="179"/>
      <c r="X20" s="179"/>
      <c r="Y20" s="92"/>
      <c r="Z20" s="1"/>
    </row>
    <row r="21" spans="1:26" ht="17.25">
      <c r="A21" s="1"/>
      <c r="B21" s="28"/>
      <c r="C21" s="177" t="s">
        <v>100</v>
      </c>
      <c r="D21" s="2"/>
      <c r="E21" s="2"/>
      <c r="F21" s="2"/>
      <c r="G21" s="2"/>
      <c r="H21" s="2"/>
      <c r="I21" s="2">
        <v>7083.33</v>
      </c>
      <c r="J21" s="2">
        <v>7083.33</v>
      </c>
      <c r="K21" s="2">
        <v>7083.33</v>
      </c>
      <c r="L21" s="2">
        <v>7083.33</v>
      </c>
      <c r="M21" s="2">
        <v>7083.33</v>
      </c>
      <c r="N21" s="2">
        <v>7083.33</v>
      </c>
      <c r="O21" s="2">
        <v>7083.33</v>
      </c>
      <c r="P21" s="29">
        <f t="shared" ref="P21:P24" si="4">SUM(D21:O21)</f>
        <v>49583.310000000005</v>
      </c>
      <c r="Q21" s="1"/>
      <c r="R21" s="1"/>
      <c r="S21" s="92"/>
      <c r="T21" s="177"/>
      <c r="U21" s="179"/>
      <c r="V21" s="179"/>
      <c r="W21" s="179"/>
      <c r="X21" s="179"/>
      <c r="Y21" s="92"/>
      <c r="Z21" s="1"/>
    </row>
    <row r="22" spans="1:26" ht="17.25">
      <c r="A22" s="1"/>
      <c r="B22" s="28"/>
      <c r="C22" s="177" t="s">
        <v>101</v>
      </c>
      <c r="D22" s="2"/>
      <c r="E22" s="2"/>
      <c r="F22" s="2"/>
      <c r="G22" s="2"/>
      <c r="H22" s="2"/>
      <c r="I22" s="2">
        <v>5833.33</v>
      </c>
      <c r="J22" s="2">
        <v>5833.33</v>
      </c>
      <c r="K22" s="2">
        <v>5833.33</v>
      </c>
      <c r="L22" s="2">
        <v>5833.33</v>
      </c>
      <c r="M22" s="2">
        <v>5833.33</v>
      </c>
      <c r="N22" s="2">
        <v>5833.33</v>
      </c>
      <c r="O22" s="2">
        <v>5833.33</v>
      </c>
      <c r="P22" s="29">
        <f t="shared" si="4"/>
        <v>40833.310000000005</v>
      </c>
      <c r="Q22" s="1"/>
      <c r="R22" s="1"/>
      <c r="S22" s="92"/>
      <c r="T22" s="92"/>
      <c r="U22" s="92"/>
      <c r="V22" s="92"/>
      <c r="W22" s="92"/>
      <c r="X22" s="92"/>
      <c r="Y22" s="92"/>
      <c r="Z22" s="1"/>
    </row>
    <row r="23" spans="1:26" ht="17.25">
      <c r="A23" s="1"/>
      <c r="B23" s="28"/>
      <c r="C23" s="177" t="s">
        <v>102</v>
      </c>
      <c r="D23" s="2"/>
      <c r="E23" s="2"/>
      <c r="F23" s="2"/>
      <c r="G23" s="2"/>
      <c r="H23" s="2"/>
      <c r="I23" s="2">
        <v>5833.33</v>
      </c>
      <c r="J23" s="2">
        <v>5833.33</v>
      </c>
      <c r="K23" s="2">
        <v>5833.33</v>
      </c>
      <c r="L23" s="2">
        <v>5833.33</v>
      </c>
      <c r="M23" s="2">
        <v>5833.33</v>
      </c>
      <c r="N23" s="2">
        <v>5833.33</v>
      </c>
      <c r="O23" s="2">
        <v>5833.33</v>
      </c>
      <c r="P23" s="29">
        <f t="shared" si="4"/>
        <v>40833.310000000005</v>
      </c>
      <c r="Q23" s="1"/>
      <c r="R23" s="1"/>
      <c r="S23" s="92"/>
      <c r="T23" s="92"/>
      <c r="U23" s="92"/>
      <c r="V23" s="92"/>
      <c r="W23" s="92"/>
      <c r="X23" s="92"/>
      <c r="Y23" s="92"/>
      <c r="Z23" s="1"/>
    </row>
    <row r="24" spans="1:26" ht="17.25">
      <c r="A24" s="1"/>
      <c r="B24" s="28"/>
      <c r="C24" s="177" t="s">
        <v>103</v>
      </c>
      <c r="D24" s="2"/>
      <c r="E24" s="2"/>
      <c r="F24" s="2"/>
      <c r="G24" s="2"/>
      <c r="H24" s="2"/>
      <c r="I24" s="2">
        <v>5000</v>
      </c>
      <c r="J24" s="2">
        <v>5000</v>
      </c>
      <c r="K24" s="2">
        <v>5000</v>
      </c>
      <c r="L24" s="2">
        <v>5000</v>
      </c>
      <c r="M24" s="2">
        <v>5000</v>
      </c>
      <c r="N24" s="2">
        <v>5000</v>
      </c>
      <c r="O24" s="2">
        <v>5000</v>
      </c>
      <c r="P24" s="29">
        <f t="shared" si="4"/>
        <v>35000</v>
      </c>
      <c r="Q24" s="1"/>
      <c r="R24" s="1"/>
      <c r="S24" s="92"/>
      <c r="T24" s="92"/>
      <c r="U24" s="92"/>
      <c r="V24" s="92"/>
      <c r="W24" s="92"/>
      <c r="X24" s="92"/>
      <c r="Y24" s="92"/>
      <c r="Z24" s="1"/>
    </row>
    <row r="25" spans="1:26" ht="17.25">
      <c r="A25" s="1"/>
      <c r="B25" s="28"/>
      <c r="C25" s="177" t="s">
        <v>104</v>
      </c>
      <c r="D25" s="2"/>
      <c r="E25" s="2"/>
      <c r="F25" s="2"/>
      <c r="G25" s="2"/>
      <c r="H25" s="2"/>
      <c r="I25" s="2">
        <v>4166.67</v>
      </c>
      <c r="J25" s="2">
        <v>4166.67</v>
      </c>
      <c r="K25" s="2">
        <v>4166.67</v>
      </c>
      <c r="L25" s="2">
        <v>4166.67</v>
      </c>
      <c r="M25" s="2">
        <v>4166.67</v>
      </c>
      <c r="N25" s="2">
        <v>4166.67</v>
      </c>
      <c r="O25" s="2">
        <v>4166.67</v>
      </c>
      <c r="P25" s="29">
        <f t="shared" ref="P25" si="5">SUM(D25:O25)</f>
        <v>29166.689999999995</v>
      </c>
      <c r="Q25" s="1"/>
      <c r="R25" s="1"/>
      <c r="S25" s="92"/>
      <c r="T25" s="177"/>
      <c r="U25" s="179"/>
      <c r="V25" s="179"/>
      <c r="W25" s="179"/>
      <c r="X25" s="179"/>
      <c r="Y25" s="92"/>
      <c r="Z25" s="1"/>
    </row>
    <row r="26" spans="1:26" ht="17.25">
      <c r="A26" s="1"/>
      <c r="B26" s="28"/>
      <c r="C26" s="177" t="s">
        <v>169</v>
      </c>
      <c r="D26" s="2"/>
      <c r="E26" s="2"/>
      <c r="F26" s="2"/>
      <c r="G26" s="2"/>
      <c r="H26" s="2"/>
      <c r="I26" s="2">
        <v>8334</v>
      </c>
      <c r="J26" s="2">
        <v>8334</v>
      </c>
      <c r="K26" s="2">
        <v>8334</v>
      </c>
      <c r="L26" s="2">
        <v>8334</v>
      </c>
      <c r="M26" s="2">
        <v>8334</v>
      </c>
      <c r="N26" s="2">
        <v>8334</v>
      </c>
      <c r="O26" s="2">
        <v>8334</v>
      </c>
      <c r="P26" s="29">
        <f t="shared" ref="P26:P30" si="6">SUM(D26:O26)</f>
        <v>58338</v>
      </c>
      <c r="Q26" s="1"/>
      <c r="R26" s="1"/>
      <c r="S26" s="92"/>
      <c r="T26" s="92"/>
      <c r="U26" s="92"/>
      <c r="V26" s="92"/>
      <c r="W26" s="92"/>
      <c r="X26" s="92"/>
      <c r="Y26" s="92"/>
      <c r="Z26" s="1"/>
    </row>
    <row r="27" spans="1:26" ht="17.25">
      <c r="A27" s="1"/>
      <c r="B27" s="28"/>
      <c r="C27" s="177" t="s">
        <v>105</v>
      </c>
      <c r="D27" s="2"/>
      <c r="E27" s="2"/>
      <c r="F27" s="2"/>
      <c r="G27" s="2"/>
      <c r="H27" s="2"/>
      <c r="I27" s="2">
        <v>3750</v>
      </c>
      <c r="J27" s="2">
        <v>3750</v>
      </c>
      <c r="K27" s="2">
        <v>3750</v>
      </c>
      <c r="L27" s="2">
        <v>3750</v>
      </c>
      <c r="M27" s="2">
        <v>3750</v>
      </c>
      <c r="N27" s="2">
        <v>3750</v>
      </c>
      <c r="O27" s="2">
        <v>3750</v>
      </c>
      <c r="P27" s="29">
        <f t="shared" si="6"/>
        <v>26250</v>
      </c>
      <c r="Q27" s="1"/>
      <c r="R27" s="1"/>
      <c r="S27" s="92"/>
      <c r="T27" s="92"/>
      <c r="U27" s="92"/>
      <c r="V27" s="92"/>
      <c r="W27" s="92"/>
      <c r="X27" s="92"/>
      <c r="Y27" s="92"/>
      <c r="Z27" s="1"/>
    </row>
    <row r="28" spans="1:26">
      <c r="A28" s="1"/>
      <c r="B28" s="28"/>
      <c r="C28" s="10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9">
        <f t="shared" si="6"/>
        <v>0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98"/>
      <c r="C29" s="92" t="s">
        <v>46</v>
      </c>
      <c r="D29" s="111"/>
      <c r="E29" s="111"/>
      <c r="F29" s="111"/>
      <c r="G29" s="111"/>
      <c r="H29" s="111"/>
      <c r="I29" s="111">
        <f t="shared" ref="D29:O29" si="7">SUM(I19:I27)*0.3</f>
        <v>12000.197999999999</v>
      </c>
      <c r="J29" s="111">
        <f t="shared" si="7"/>
        <v>12000.197999999999</v>
      </c>
      <c r="K29" s="111">
        <f t="shared" si="7"/>
        <v>12000.197999999999</v>
      </c>
      <c r="L29" s="111">
        <f t="shared" si="7"/>
        <v>12000.197999999999</v>
      </c>
      <c r="M29" s="111">
        <f t="shared" si="7"/>
        <v>12000.197999999999</v>
      </c>
      <c r="N29" s="111">
        <f t="shared" si="7"/>
        <v>12000.197999999999</v>
      </c>
      <c r="O29" s="111">
        <f t="shared" si="7"/>
        <v>12000.197999999999</v>
      </c>
      <c r="P29" s="112">
        <f t="shared" si="6"/>
        <v>84001.385999999999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98"/>
      <c r="C30" s="92" t="s">
        <v>47</v>
      </c>
      <c r="D30" s="111"/>
      <c r="E30" s="111"/>
      <c r="F30" s="111"/>
      <c r="G30" s="111"/>
      <c r="H30" s="111"/>
      <c r="I30" s="111">
        <f t="shared" ref="D30:O30" si="8">SUM(I19:I27)*0.15</f>
        <v>6000.0989999999993</v>
      </c>
      <c r="J30" s="111">
        <f t="shared" si="8"/>
        <v>6000.0989999999993</v>
      </c>
      <c r="K30" s="111">
        <f t="shared" si="8"/>
        <v>6000.0989999999993</v>
      </c>
      <c r="L30" s="111">
        <f t="shared" si="8"/>
        <v>6000.0989999999993</v>
      </c>
      <c r="M30" s="111">
        <f t="shared" si="8"/>
        <v>6000.0989999999993</v>
      </c>
      <c r="N30" s="111">
        <f t="shared" si="8"/>
        <v>6000.0989999999993</v>
      </c>
      <c r="O30" s="111">
        <f t="shared" si="8"/>
        <v>6000.0989999999993</v>
      </c>
      <c r="P30" s="112">
        <f t="shared" si="6"/>
        <v>42000.692999999999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8"/>
      <c r="C31" s="10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9">
        <f t="shared" ref="P31" si="9">SUM(D31:O31)</f>
        <v>0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8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9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60" t="s">
        <v>50</v>
      </c>
      <c r="C33" s="61"/>
      <c r="D33" s="58">
        <f t="shared" ref="D33:P33" si="10">SUM(D25:D31)</f>
        <v>0</v>
      </c>
      <c r="E33" s="58">
        <f t="shared" si="10"/>
        <v>0</v>
      </c>
      <c r="F33" s="58">
        <f t="shared" si="10"/>
        <v>0</v>
      </c>
      <c r="G33" s="58">
        <f t="shared" si="10"/>
        <v>0</v>
      </c>
      <c r="H33" s="58">
        <f t="shared" si="10"/>
        <v>0</v>
      </c>
      <c r="I33" s="58">
        <f t="shared" si="10"/>
        <v>34250.966999999997</v>
      </c>
      <c r="J33" s="58">
        <f t="shared" si="10"/>
        <v>34250.966999999997</v>
      </c>
      <c r="K33" s="58">
        <f t="shared" si="10"/>
        <v>34250.966999999997</v>
      </c>
      <c r="L33" s="58">
        <f t="shared" si="10"/>
        <v>34250.966999999997</v>
      </c>
      <c r="M33" s="58">
        <f t="shared" si="10"/>
        <v>34250.966999999997</v>
      </c>
      <c r="N33" s="58">
        <f t="shared" si="10"/>
        <v>34250.966999999997</v>
      </c>
      <c r="O33" s="58">
        <f t="shared" si="10"/>
        <v>34250.966999999997</v>
      </c>
      <c r="P33" s="59">
        <f t="shared" si="10"/>
        <v>239756.769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1"/>
      <c r="B34" s="6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6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62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6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47"/>
      <c r="B37" s="64" t="s">
        <v>51</v>
      </c>
      <c r="C37" s="65" t="s">
        <v>52</v>
      </c>
      <c r="D37" s="66">
        <f t="shared" ref="D37:P37" si="11">D33+D18</f>
        <v>0</v>
      </c>
      <c r="E37" s="66">
        <f t="shared" si="11"/>
        <v>0</v>
      </c>
      <c r="F37" s="66">
        <f t="shared" si="11"/>
        <v>0</v>
      </c>
      <c r="G37" s="66">
        <f t="shared" si="11"/>
        <v>0</v>
      </c>
      <c r="H37" s="66">
        <f t="shared" si="11"/>
        <v>0</v>
      </c>
      <c r="I37" s="66">
        <f t="shared" si="11"/>
        <v>64459.2955</v>
      </c>
      <c r="J37" s="66">
        <f t="shared" si="11"/>
        <v>64459.2955</v>
      </c>
      <c r="K37" s="66">
        <f t="shared" si="11"/>
        <v>64459.2955</v>
      </c>
      <c r="L37" s="66">
        <f t="shared" si="11"/>
        <v>64459.2955</v>
      </c>
      <c r="M37" s="66">
        <f t="shared" si="11"/>
        <v>64459.2955</v>
      </c>
      <c r="N37" s="66">
        <f t="shared" si="11"/>
        <v>64459.2955</v>
      </c>
      <c r="O37" s="66">
        <f t="shared" si="11"/>
        <v>64459.2955</v>
      </c>
      <c r="P37" s="67">
        <f t="shared" si="11"/>
        <v>451215.06850000005</v>
      </c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80" t="s">
        <v>53</v>
      </c>
      <c r="C39" s="55"/>
      <c r="D39" s="56" t="s">
        <v>7</v>
      </c>
      <c r="E39" s="56" t="s">
        <v>8</v>
      </c>
      <c r="F39" s="56" t="s">
        <v>9</v>
      </c>
      <c r="G39" s="56" t="s">
        <v>10</v>
      </c>
      <c r="H39" s="56" t="s">
        <v>11</v>
      </c>
      <c r="I39" s="56" t="s">
        <v>12</v>
      </c>
      <c r="J39" s="56" t="s">
        <v>13</v>
      </c>
      <c r="K39" s="56" t="s">
        <v>14</v>
      </c>
      <c r="L39" s="56" t="s">
        <v>15</v>
      </c>
      <c r="M39" s="56" t="s">
        <v>16</v>
      </c>
      <c r="N39" s="56" t="s">
        <v>17</v>
      </c>
      <c r="O39" s="56" t="s">
        <v>18</v>
      </c>
      <c r="P39" s="57" t="s">
        <v>19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8" t="s">
        <v>42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8"/>
      <c r="C41" s="102" t="s">
        <v>99</v>
      </c>
      <c r="D41" s="2">
        <v>12500</v>
      </c>
      <c r="E41" s="2">
        <v>12500</v>
      </c>
      <c r="F41" s="2">
        <v>12500</v>
      </c>
      <c r="G41" s="2">
        <v>12500</v>
      </c>
      <c r="H41" s="2">
        <v>12500</v>
      </c>
      <c r="I41" s="2">
        <v>12500</v>
      </c>
      <c r="J41" s="2">
        <v>12500</v>
      </c>
      <c r="K41" s="2">
        <v>12500</v>
      </c>
      <c r="L41" s="2">
        <v>12500</v>
      </c>
      <c r="M41" s="2">
        <v>12500</v>
      </c>
      <c r="N41" s="2">
        <v>12500</v>
      </c>
      <c r="O41" s="2">
        <v>12500</v>
      </c>
      <c r="P41" s="29">
        <f t="shared" ref="P41:P48" si="12">SUM(D41:O41)</f>
        <v>150000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8"/>
      <c r="C42" s="123" t="s">
        <v>43</v>
      </c>
      <c r="D42" s="2">
        <v>8333.33</v>
      </c>
      <c r="E42" s="2">
        <v>8333.33</v>
      </c>
      <c r="F42" s="2">
        <v>8333.33</v>
      </c>
      <c r="G42" s="2">
        <v>8333.33</v>
      </c>
      <c r="H42" s="2">
        <v>8333.33</v>
      </c>
      <c r="I42" s="2">
        <v>8333.33</v>
      </c>
      <c r="J42" s="2">
        <v>8333.33</v>
      </c>
      <c r="K42" s="2">
        <v>8333.33</v>
      </c>
      <c r="L42" s="2">
        <v>8333.33</v>
      </c>
      <c r="M42" s="2">
        <v>8333.33</v>
      </c>
      <c r="N42" s="2">
        <v>8333.33</v>
      </c>
      <c r="O42" s="2">
        <v>8333.33</v>
      </c>
      <c r="P42" s="29">
        <f t="shared" si="12"/>
        <v>99999.96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8"/>
      <c r="C43" s="1" t="s">
        <v>44</v>
      </c>
      <c r="D43" s="2">
        <v>8333.33</v>
      </c>
      <c r="E43" s="2">
        <v>8333.33</v>
      </c>
      <c r="F43" s="2">
        <v>8333.33</v>
      </c>
      <c r="G43" s="2">
        <v>8333.33</v>
      </c>
      <c r="H43" s="2">
        <v>8333.33</v>
      </c>
      <c r="I43" s="2">
        <v>8333.33</v>
      </c>
      <c r="J43" s="2">
        <v>8333.33</v>
      </c>
      <c r="K43" s="2">
        <v>8333.33</v>
      </c>
      <c r="L43" s="2">
        <v>8333.33</v>
      </c>
      <c r="M43" s="2">
        <v>8333.33</v>
      </c>
      <c r="N43" s="2">
        <v>8333.33</v>
      </c>
      <c r="O43" s="2">
        <v>8333.33</v>
      </c>
      <c r="P43" s="29">
        <f t="shared" si="12"/>
        <v>99999.96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8"/>
      <c r="C44" s="102" t="s">
        <v>98</v>
      </c>
      <c r="D44" s="2">
        <v>8333.33</v>
      </c>
      <c r="E44" s="2">
        <v>8333.33</v>
      </c>
      <c r="F44" s="2">
        <v>8333.33</v>
      </c>
      <c r="G44" s="2">
        <v>8333.33</v>
      </c>
      <c r="H44" s="2">
        <v>8333.33</v>
      </c>
      <c r="I44" s="2">
        <v>8333.33</v>
      </c>
      <c r="J44" s="2">
        <v>8333.33</v>
      </c>
      <c r="K44" s="2">
        <v>8333.33</v>
      </c>
      <c r="L44" s="2">
        <v>8333.33</v>
      </c>
      <c r="M44" s="2">
        <v>8333.33</v>
      </c>
      <c r="N44" s="2">
        <v>8333.33</v>
      </c>
      <c r="O44" s="2">
        <v>8333.33</v>
      </c>
      <c r="P44" s="29">
        <f t="shared" si="12"/>
        <v>99999.96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8"/>
      <c r="C45" s="102" t="s">
        <v>45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9">
        <f t="shared" si="12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98"/>
      <c r="C46" s="92" t="s">
        <v>46</v>
      </c>
      <c r="D46" s="111">
        <f t="shared" ref="D46:O46" si="13">SUM(D39:D44)*0.3</f>
        <v>11249.997000000001</v>
      </c>
      <c r="E46" s="111">
        <f t="shared" si="13"/>
        <v>11249.997000000001</v>
      </c>
      <c r="F46" s="111">
        <f t="shared" si="13"/>
        <v>11249.997000000001</v>
      </c>
      <c r="G46" s="111">
        <f t="shared" si="13"/>
        <v>11249.997000000001</v>
      </c>
      <c r="H46" s="111">
        <f t="shared" si="13"/>
        <v>11249.997000000001</v>
      </c>
      <c r="I46" s="111">
        <f t="shared" si="13"/>
        <v>11249.997000000001</v>
      </c>
      <c r="J46" s="111">
        <f t="shared" si="13"/>
        <v>11249.997000000001</v>
      </c>
      <c r="K46" s="111">
        <f t="shared" si="13"/>
        <v>11249.997000000001</v>
      </c>
      <c r="L46" s="111">
        <f t="shared" si="13"/>
        <v>11249.997000000001</v>
      </c>
      <c r="M46" s="111">
        <f t="shared" si="13"/>
        <v>11249.997000000001</v>
      </c>
      <c r="N46" s="111">
        <f t="shared" si="13"/>
        <v>11249.997000000001</v>
      </c>
      <c r="O46" s="111">
        <f t="shared" si="13"/>
        <v>11249.997000000001</v>
      </c>
      <c r="P46" s="112">
        <f t="shared" si="12"/>
        <v>134999.96400000001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98"/>
      <c r="C47" s="92" t="s">
        <v>47</v>
      </c>
      <c r="D47" s="111">
        <f>SUM(D39:D44)*0.15</f>
        <v>5624.9985000000006</v>
      </c>
      <c r="E47" s="111">
        <f t="shared" ref="E47:O47" si="14">SUM(E39:E44)*0.15</f>
        <v>5624.9985000000006</v>
      </c>
      <c r="F47" s="111">
        <f t="shared" si="14"/>
        <v>5624.9985000000006</v>
      </c>
      <c r="G47" s="111">
        <f t="shared" si="14"/>
        <v>5624.9985000000006</v>
      </c>
      <c r="H47" s="111">
        <f t="shared" si="14"/>
        <v>5624.9985000000006</v>
      </c>
      <c r="I47" s="111">
        <f t="shared" si="14"/>
        <v>5624.9985000000006</v>
      </c>
      <c r="J47" s="111">
        <f t="shared" si="14"/>
        <v>5624.9985000000006</v>
      </c>
      <c r="K47" s="111">
        <f t="shared" si="14"/>
        <v>5624.9985000000006</v>
      </c>
      <c r="L47" s="111">
        <f t="shared" si="14"/>
        <v>5624.9985000000006</v>
      </c>
      <c r="M47" s="111">
        <f t="shared" si="14"/>
        <v>5624.9985000000006</v>
      </c>
      <c r="N47" s="111">
        <f t="shared" si="14"/>
        <v>5624.9985000000006</v>
      </c>
      <c r="O47" s="111">
        <f t="shared" si="14"/>
        <v>5624.9985000000006</v>
      </c>
      <c r="P47" s="112">
        <f t="shared" si="12"/>
        <v>67499.982000000004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8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9">
        <f t="shared" si="12"/>
        <v>0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8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345" t="s">
        <v>48</v>
      </c>
      <c r="C50" s="317"/>
      <c r="D50" s="58">
        <f t="shared" ref="D50:P50" si="15">SUM(D41:D48)</f>
        <v>54374.98550000001</v>
      </c>
      <c r="E50" s="58">
        <f t="shared" si="15"/>
        <v>54374.98550000001</v>
      </c>
      <c r="F50" s="58">
        <f t="shared" si="15"/>
        <v>54374.98550000001</v>
      </c>
      <c r="G50" s="58">
        <f t="shared" si="15"/>
        <v>54374.98550000001</v>
      </c>
      <c r="H50" s="58">
        <f t="shared" si="15"/>
        <v>54374.98550000001</v>
      </c>
      <c r="I50" s="58">
        <f t="shared" si="15"/>
        <v>54374.98550000001</v>
      </c>
      <c r="J50" s="58">
        <f t="shared" si="15"/>
        <v>54374.98550000001</v>
      </c>
      <c r="K50" s="58">
        <f t="shared" si="15"/>
        <v>54374.98550000001</v>
      </c>
      <c r="L50" s="58">
        <f t="shared" si="15"/>
        <v>54374.98550000001</v>
      </c>
      <c r="M50" s="58">
        <f t="shared" si="15"/>
        <v>54374.98550000001</v>
      </c>
      <c r="N50" s="58">
        <f t="shared" si="15"/>
        <v>54374.98550000001</v>
      </c>
      <c r="O50" s="58">
        <f t="shared" si="15"/>
        <v>54374.98550000001</v>
      </c>
      <c r="P50" s="59">
        <f t="shared" si="15"/>
        <v>652499.826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7"/>
      <c r="B51" s="28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9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1"/>
      <c r="B52" s="28" t="s">
        <v>49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>
      <c r="A53" s="1"/>
      <c r="B53" s="28"/>
      <c r="C53" s="177" t="s">
        <v>176</v>
      </c>
      <c r="D53" s="2">
        <v>7083.33</v>
      </c>
      <c r="E53" s="2">
        <v>7083.33</v>
      </c>
      <c r="F53" s="2">
        <v>7083.33</v>
      </c>
      <c r="G53" s="2">
        <v>7083.33</v>
      </c>
      <c r="H53" s="2">
        <v>7083.33</v>
      </c>
      <c r="I53" s="2">
        <v>7083.33</v>
      </c>
      <c r="J53" s="2">
        <f t="shared" ref="E53:O53" si="16">7083.33*2</f>
        <v>14166.66</v>
      </c>
      <c r="K53" s="2">
        <f t="shared" si="16"/>
        <v>14166.66</v>
      </c>
      <c r="L53" s="2">
        <f t="shared" si="16"/>
        <v>14166.66</v>
      </c>
      <c r="M53" s="2">
        <f t="shared" si="16"/>
        <v>14166.66</v>
      </c>
      <c r="N53" s="121">
        <f t="shared" si="16"/>
        <v>14166.66</v>
      </c>
      <c r="O53" s="2">
        <f t="shared" si="16"/>
        <v>14166.66</v>
      </c>
      <c r="P53" s="29">
        <f t="shared" ref="P53:P63" si="17">SUM(D53:O53)</f>
        <v>127499.94000000002</v>
      </c>
      <c r="Q53" s="1"/>
      <c r="R53" s="1">
        <v>2</v>
      </c>
      <c r="S53" s="1"/>
      <c r="T53" s="1"/>
      <c r="U53" s="1"/>
      <c r="V53" s="1"/>
      <c r="W53" s="1"/>
      <c r="X53" s="1"/>
      <c r="Y53" s="1"/>
      <c r="Z53" s="1"/>
    </row>
    <row r="54" spans="1:26" ht="17.25">
      <c r="A54" s="1"/>
      <c r="B54" s="28"/>
      <c r="C54" s="177" t="s">
        <v>177</v>
      </c>
      <c r="D54" s="2">
        <v>5833.33</v>
      </c>
      <c r="E54" s="2">
        <v>5833.33</v>
      </c>
      <c r="F54" s="2">
        <v>5833.33</v>
      </c>
      <c r="G54" s="2">
        <v>5833.33</v>
      </c>
      <c r="H54" s="2">
        <v>5833.33</v>
      </c>
      <c r="I54" s="2">
        <v>5833.33</v>
      </c>
      <c r="J54" s="2">
        <f t="shared" ref="E54:O55" si="18">5833.33*2</f>
        <v>11666.66</v>
      </c>
      <c r="K54" s="2">
        <f t="shared" si="18"/>
        <v>11666.66</v>
      </c>
      <c r="L54" s="2">
        <f t="shared" si="18"/>
        <v>11666.66</v>
      </c>
      <c r="M54" s="2">
        <f t="shared" si="18"/>
        <v>11666.66</v>
      </c>
      <c r="N54" s="2">
        <f t="shared" si="18"/>
        <v>11666.66</v>
      </c>
      <c r="O54" s="2">
        <f t="shared" si="18"/>
        <v>11666.66</v>
      </c>
      <c r="P54" s="29">
        <f t="shared" si="17"/>
        <v>104999.94000000002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>
      <c r="A55" s="1"/>
      <c r="B55" s="28"/>
      <c r="C55" s="177" t="s">
        <v>178</v>
      </c>
      <c r="D55" s="2">
        <v>5833.33</v>
      </c>
      <c r="E55" s="2">
        <v>5833.33</v>
      </c>
      <c r="F55" s="2">
        <v>5833.33</v>
      </c>
      <c r="G55" s="2">
        <v>5833.33</v>
      </c>
      <c r="H55" s="2">
        <v>5833.33</v>
      </c>
      <c r="I55" s="2">
        <v>5833.33</v>
      </c>
      <c r="J55" s="2">
        <f t="shared" si="18"/>
        <v>11666.66</v>
      </c>
      <c r="K55" s="2">
        <f t="shared" si="18"/>
        <v>11666.66</v>
      </c>
      <c r="L55" s="2">
        <f t="shared" si="18"/>
        <v>11666.66</v>
      </c>
      <c r="M55" s="2">
        <f t="shared" si="18"/>
        <v>11666.66</v>
      </c>
      <c r="N55" s="2">
        <f t="shared" si="18"/>
        <v>11666.66</v>
      </c>
      <c r="O55" s="2">
        <f t="shared" si="18"/>
        <v>11666.66</v>
      </c>
      <c r="P55" s="29">
        <f t="shared" si="17"/>
        <v>104999.94000000002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>
      <c r="A56" s="1"/>
      <c r="B56" s="28"/>
      <c r="C56" s="177" t="s">
        <v>179</v>
      </c>
      <c r="D56" s="2">
        <v>5000</v>
      </c>
      <c r="E56" s="2">
        <v>5000</v>
      </c>
      <c r="F56" s="2">
        <v>5000</v>
      </c>
      <c r="G56" s="2">
        <v>5000</v>
      </c>
      <c r="H56" s="2">
        <v>5000</v>
      </c>
      <c r="I56" s="2">
        <v>5000</v>
      </c>
      <c r="J56" s="2">
        <v>10000</v>
      </c>
      <c r="K56" s="2">
        <v>10000</v>
      </c>
      <c r="L56" s="2">
        <v>10000</v>
      </c>
      <c r="M56" s="2">
        <v>10000</v>
      </c>
      <c r="N56" s="2">
        <v>10000</v>
      </c>
      <c r="O56" s="2">
        <v>10000</v>
      </c>
      <c r="P56" s="29">
        <f t="shared" si="17"/>
        <v>90000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>
      <c r="A57" s="1"/>
      <c r="B57" s="28"/>
      <c r="C57" s="177" t="s">
        <v>180</v>
      </c>
      <c r="D57" s="2">
        <v>4166.67</v>
      </c>
      <c r="E57" s="2">
        <v>4166.67</v>
      </c>
      <c r="F57" s="2">
        <v>4166.67</v>
      </c>
      <c r="G57" s="2">
        <v>4166.67</v>
      </c>
      <c r="H57" s="2">
        <v>4166.67</v>
      </c>
      <c r="I57" s="2">
        <v>4166.67</v>
      </c>
      <c r="J57" s="2">
        <f t="shared" ref="E57:O58" si="19">4166.67*2</f>
        <v>8333.34</v>
      </c>
      <c r="K57" s="2">
        <f t="shared" si="19"/>
        <v>8333.34</v>
      </c>
      <c r="L57" s="2">
        <f t="shared" si="19"/>
        <v>8333.34</v>
      </c>
      <c r="M57" s="2">
        <f t="shared" si="19"/>
        <v>8333.34</v>
      </c>
      <c r="N57" s="2">
        <f t="shared" si="19"/>
        <v>8333.34</v>
      </c>
      <c r="O57" s="2">
        <f t="shared" si="19"/>
        <v>8333.34</v>
      </c>
      <c r="P57" s="29">
        <f t="shared" si="17"/>
        <v>75000.059999999983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>
      <c r="A58" s="1"/>
      <c r="B58" s="28"/>
      <c r="C58" s="177" t="s">
        <v>181</v>
      </c>
      <c r="D58" s="2">
        <v>8334</v>
      </c>
      <c r="E58" s="2">
        <v>8334</v>
      </c>
      <c r="F58" s="2">
        <v>8334</v>
      </c>
      <c r="G58" s="2">
        <v>8334</v>
      </c>
      <c r="H58" s="2">
        <v>8334</v>
      </c>
      <c r="I58" s="2">
        <v>8334</v>
      </c>
      <c r="J58" s="2">
        <f t="shared" si="19"/>
        <v>8333.34</v>
      </c>
      <c r="K58" s="2">
        <f t="shared" si="19"/>
        <v>8333.34</v>
      </c>
      <c r="L58" s="2">
        <f t="shared" si="19"/>
        <v>8333.34</v>
      </c>
      <c r="M58" s="2">
        <f t="shared" si="19"/>
        <v>8333.34</v>
      </c>
      <c r="N58" s="2">
        <f t="shared" si="19"/>
        <v>8333.34</v>
      </c>
      <c r="O58" s="2">
        <f t="shared" si="19"/>
        <v>8333.34</v>
      </c>
      <c r="P58" s="29">
        <f t="shared" si="17"/>
        <v>100004.03999999998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>
      <c r="A59" s="1"/>
      <c r="B59" s="28"/>
      <c r="C59" s="177" t="s">
        <v>112</v>
      </c>
      <c r="D59" s="2">
        <v>3750</v>
      </c>
      <c r="E59" s="2">
        <v>3750</v>
      </c>
      <c r="F59" s="2">
        <v>3750</v>
      </c>
      <c r="G59" s="2">
        <v>3750</v>
      </c>
      <c r="H59" s="2">
        <v>3750</v>
      </c>
      <c r="I59" s="2">
        <v>3750</v>
      </c>
      <c r="J59" s="2">
        <f t="shared" ref="E59:O59" si="20">SUM(3750*3)</f>
        <v>11250</v>
      </c>
      <c r="K59" s="2">
        <f t="shared" si="20"/>
        <v>11250</v>
      </c>
      <c r="L59" s="2">
        <f t="shared" si="20"/>
        <v>11250</v>
      </c>
      <c r="M59" s="2">
        <f t="shared" si="20"/>
        <v>11250</v>
      </c>
      <c r="N59" s="2">
        <f t="shared" si="20"/>
        <v>11250</v>
      </c>
      <c r="O59" s="2">
        <f t="shared" si="20"/>
        <v>11250</v>
      </c>
      <c r="P59" s="29">
        <f t="shared" si="17"/>
        <v>90000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8"/>
      <c r="C60" s="10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9">
        <f t="shared" si="17"/>
        <v>0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98"/>
      <c r="C61" s="92" t="s">
        <v>46</v>
      </c>
      <c r="D61" s="111">
        <f t="shared" ref="D61:O61" si="21">SUM(D51:D59)*0.3</f>
        <v>12000.197999999999</v>
      </c>
      <c r="E61" s="111">
        <f t="shared" si="21"/>
        <v>12000.197999999999</v>
      </c>
      <c r="F61" s="111">
        <f t="shared" si="21"/>
        <v>12000.197999999999</v>
      </c>
      <c r="G61" s="111">
        <f t="shared" si="21"/>
        <v>12000.197999999999</v>
      </c>
      <c r="H61" s="111">
        <f t="shared" si="21"/>
        <v>12000.197999999999</v>
      </c>
      <c r="I61" s="111">
        <f t="shared" si="21"/>
        <v>12000.197999999999</v>
      </c>
      <c r="J61" s="111">
        <f t="shared" si="21"/>
        <v>22624.997999999996</v>
      </c>
      <c r="K61" s="111">
        <f t="shared" si="21"/>
        <v>22624.997999999996</v>
      </c>
      <c r="L61" s="111">
        <f t="shared" si="21"/>
        <v>22624.997999999996</v>
      </c>
      <c r="M61" s="111">
        <f t="shared" si="21"/>
        <v>22624.997999999996</v>
      </c>
      <c r="N61" s="111">
        <f t="shared" si="21"/>
        <v>22624.997999999996</v>
      </c>
      <c r="O61" s="111">
        <f t="shared" si="21"/>
        <v>22624.997999999996</v>
      </c>
      <c r="P61" s="112">
        <f t="shared" si="17"/>
        <v>207751.17599999995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98"/>
      <c r="C62" s="92" t="s">
        <v>47</v>
      </c>
      <c r="D62" s="111">
        <f t="shared" ref="D62:O62" si="22">SUM(D51:D59)*0.15</f>
        <v>6000.0989999999993</v>
      </c>
      <c r="E62" s="111">
        <f t="shared" si="22"/>
        <v>6000.0989999999993</v>
      </c>
      <c r="F62" s="111">
        <f t="shared" si="22"/>
        <v>6000.0989999999993</v>
      </c>
      <c r="G62" s="111">
        <f t="shared" si="22"/>
        <v>6000.0989999999993</v>
      </c>
      <c r="H62" s="111">
        <f t="shared" si="22"/>
        <v>6000.0989999999993</v>
      </c>
      <c r="I62" s="111">
        <f t="shared" si="22"/>
        <v>6000.0989999999993</v>
      </c>
      <c r="J62" s="111">
        <f t="shared" si="22"/>
        <v>11312.498999999998</v>
      </c>
      <c r="K62" s="111">
        <f t="shared" si="22"/>
        <v>11312.498999999998</v>
      </c>
      <c r="L62" s="111">
        <f t="shared" si="22"/>
        <v>11312.498999999998</v>
      </c>
      <c r="M62" s="111">
        <f t="shared" si="22"/>
        <v>11312.498999999998</v>
      </c>
      <c r="N62" s="111">
        <f t="shared" si="22"/>
        <v>11312.498999999998</v>
      </c>
      <c r="O62" s="111">
        <f t="shared" si="22"/>
        <v>11312.498999999998</v>
      </c>
      <c r="P62" s="112">
        <f t="shared" si="17"/>
        <v>103875.58799999997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8"/>
      <c r="C63" s="10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9">
        <f t="shared" si="17"/>
        <v>0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47"/>
      <c r="B64" s="28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9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1"/>
      <c r="B65" s="60" t="s">
        <v>50</v>
      </c>
      <c r="C65" s="61"/>
      <c r="D65" s="58">
        <f t="shared" ref="D65:P65" si="23">SUM(D57:D63)</f>
        <v>34250.966999999997</v>
      </c>
      <c r="E65" s="58">
        <f t="shared" si="23"/>
        <v>34250.966999999997</v>
      </c>
      <c r="F65" s="58">
        <f t="shared" si="23"/>
        <v>34250.966999999997</v>
      </c>
      <c r="G65" s="58">
        <f t="shared" si="23"/>
        <v>34250.966999999997</v>
      </c>
      <c r="H65" s="58">
        <f t="shared" si="23"/>
        <v>34250.966999999997</v>
      </c>
      <c r="I65" s="58">
        <f t="shared" si="23"/>
        <v>34250.966999999997</v>
      </c>
      <c r="J65" s="58">
        <f t="shared" si="23"/>
        <v>61854.176999999996</v>
      </c>
      <c r="K65" s="58">
        <f t="shared" si="23"/>
        <v>61854.176999999996</v>
      </c>
      <c r="L65" s="58">
        <f t="shared" si="23"/>
        <v>61854.176999999996</v>
      </c>
      <c r="M65" s="58">
        <f t="shared" si="23"/>
        <v>61854.176999999996</v>
      </c>
      <c r="N65" s="58">
        <f t="shared" si="23"/>
        <v>61854.176999999996</v>
      </c>
      <c r="O65" s="58">
        <f t="shared" si="23"/>
        <v>61854.176999999996</v>
      </c>
      <c r="P65" s="59">
        <f t="shared" si="23"/>
        <v>576630.86399999994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2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6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2"/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6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47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6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thickBot="1">
      <c r="A69" s="1"/>
      <c r="B69" s="64" t="s">
        <v>51</v>
      </c>
      <c r="C69" s="65" t="s">
        <v>52</v>
      </c>
      <c r="D69" s="66">
        <f t="shared" ref="D69:P69" si="24">D65+D50</f>
        <v>88625.952500000014</v>
      </c>
      <c r="E69" s="66">
        <f t="shared" si="24"/>
        <v>88625.952500000014</v>
      </c>
      <c r="F69" s="66">
        <f t="shared" si="24"/>
        <v>88625.952500000014</v>
      </c>
      <c r="G69" s="66">
        <f t="shared" si="24"/>
        <v>88625.952500000014</v>
      </c>
      <c r="H69" s="66">
        <f t="shared" si="24"/>
        <v>88625.952500000014</v>
      </c>
      <c r="I69" s="66">
        <f t="shared" si="24"/>
        <v>88625.952500000014</v>
      </c>
      <c r="J69" s="66">
        <f t="shared" si="24"/>
        <v>116229.16250000001</v>
      </c>
      <c r="K69" s="66">
        <f t="shared" si="24"/>
        <v>116229.16250000001</v>
      </c>
      <c r="L69" s="66">
        <f t="shared" si="24"/>
        <v>116229.16250000001</v>
      </c>
      <c r="M69" s="66">
        <f t="shared" si="24"/>
        <v>116229.16250000001</v>
      </c>
      <c r="N69" s="66">
        <f t="shared" si="24"/>
        <v>116229.16250000001</v>
      </c>
      <c r="O69" s="66">
        <f t="shared" si="24"/>
        <v>116229.16250000001</v>
      </c>
      <c r="P69" s="67">
        <f t="shared" si="24"/>
        <v>1229130.69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80" t="s">
        <v>54</v>
      </c>
      <c r="C70" s="55"/>
      <c r="D70" s="56" t="s">
        <v>7</v>
      </c>
      <c r="E70" s="56" t="s">
        <v>8</v>
      </c>
      <c r="F70" s="56" t="s">
        <v>9</v>
      </c>
      <c r="G70" s="56" t="s">
        <v>10</v>
      </c>
      <c r="H70" s="56" t="s">
        <v>11</v>
      </c>
      <c r="I70" s="56" t="s">
        <v>12</v>
      </c>
      <c r="J70" s="56" t="s">
        <v>13</v>
      </c>
      <c r="K70" s="56" t="s">
        <v>14</v>
      </c>
      <c r="L70" s="56" t="s">
        <v>15</v>
      </c>
      <c r="M70" s="56" t="s">
        <v>16</v>
      </c>
      <c r="N70" s="56" t="s">
        <v>17</v>
      </c>
      <c r="O70" s="56" t="s">
        <v>18</v>
      </c>
      <c r="P70" s="57" t="s">
        <v>19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8" t="s">
        <v>42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6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8"/>
      <c r="C72" s="102" t="s">
        <v>99</v>
      </c>
      <c r="D72" s="2">
        <v>16666</v>
      </c>
      <c r="E72" s="2">
        <v>16666</v>
      </c>
      <c r="F72" s="2">
        <v>16666</v>
      </c>
      <c r="G72" s="2">
        <v>16666</v>
      </c>
      <c r="H72" s="2">
        <v>16666</v>
      </c>
      <c r="I72" s="2">
        <v>16666</v>
      </c>
      <c r="J72" s="2">
        <v>16666</v>
      </c>
      <c r="K72" s="2">
        <v>16666</v>
      </c>
      <c r="L72" s="2">
        <v>16666</v>
      </c>
      <c r="M72" s="2">
        <v>16666</v>
      </c>
      <c r="N72" s="2">
        <v>16666</v>
      </c>
      <c r="O72" s="2">
        <v>16666</v>
      </c>
      <c r="P72" s="29">
        <f t="shared" ref="P72:P79" si="25">SUM(D72:O72)</f>
        <v>199992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8"/>
      <c r="C73" s="123" t="s">
        <v>43</v>
      </c>
      <c r="D73" s="2">
        <v>12500</v>
      </c>
      <c r="E73" s="2">
        <v>12500</v>
      </c>
      <c r="F73" s="2">
        <v>12500</v>
      </c>
      <c r="G73" s="2">
        <v>12500</v>
      </c>
      <c r="H73" s="2">
        <v>12500</v>
      </c>
      <c r="I73" s="2">
        <v>12500</v>
      </c>
      <c r="J73" s="2">
        <v>12500</v>
      </c>
      <c r="K73" s="2">
        <v>12500</v>
      </c>
      <c r="L73" s="2">
        <v>12500</v>
      </c>
      <c r="M73" s="2">
        <v>12500</v>
      </c>
      <c r="N73" s="2">
        <v>12500</v>
      </c>
      <c r="O73" s="2">
        <v>12500</v>
      </c>
      <c r="P73" s="29">
        <f t="shared" si="25"/>
        <v>150000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8"/>
      <c r="C74" s="1" t="s">
        <v>44</v>
      </c>
      <c r="D74" s="2">
        <v>12500</v>
      </c>
      <c r="E74" s="2">
        <v>12500</v>
      </c>
      <c r="F74" s="2">
        <v>12500</v>
      </c>
      <c r="G74" s="2">
        <v>12500</v>
      </c>
      <c r="H74" s="2">
        <v>12500</v>
      </c>
      <c r="I74" s="2">
        <v>12500</v>
      </c>
      <c r="J74" s="2">
        <v>12500</v>
      </c>
      <c r="K74" s="2">
        <v>12500</v>
      </c>
      <c r="L74" s="2">
        <v>12500</v>
      </c>
      <c r="M74" s="2">
        <v>12500</v>
      </c>
      <c r="N74" s="2">
        <v>12500</v>
      </c>
      <c r="O74" s="2">
        <v>12500</v>
      </c>
      <c r="P74" s="29">
        <f t="shared" si="25"/>
        <v>150000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8"/>
      <c r="C75" s="102" t="s">
        <v>98</v>
      </c>
      <c r="D75" s="2">
        <v>12500</v>
      </c>
      <c r="E75" s="2">
        <v>12500</v>
      </c>
      <c r="F75" s="2">
        <v>12500</v>
      </c>
      <c r="G75" s="2">
        <v>12500</v>
      </c>
      <c r="H75" s="2">
        <v>12500</v>
      </c>
      <c r="I75" s="2">
        <v>12500</v>
      </c>
      <c r="J75" s="2">
        <v>12500</v>
      </c>
      <c r="K75" s="2">
        <v>12500</v>
      </c>
      <c r="L75" s="2">
        <v>12500</v>
      </c>
      <c r="M75" s="2">
        <v>12500</v>
      </c>
      <c r="N75" s="2">
        <v>12500</v>
      </c>
      <c r="O75" s="2">
        <v>12500</v>
      </c>
      <c r="P75" s="29">
        <f t="shared" si="25"/>
        <v>150000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8"/>
      <c r="C76" s="102" t="s">
        <v>45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9">
        <f t="shared" si="25"/>
        <v>0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98"/>
      <c r="C77" s="92" t="s">
        <v>46</v>
      </c>
      <c r="D77" s="111">
        <f t="shared" ref="D77:O77" si="26">SUM(D70:D75)*0.3</f>
        <v>16249.8</v>
      </c>
      <c r="E77" s="111">
        <f t="shared" si="26"/>
        <v>16249.8</v>
      </c>
      <c r="F77" s="111">
        <f t="shared" si="26"/>
        <v>16249.8</v>
      </c>
      <c r="G77" s="111">
        <f t="shared" si="26"/>
        <v>16249.8</v>
      </c>
      <c r="H77" s="111">
        <f t="shared" si="26"/>
        <v>16249.8</v>
      </c>
      <c r="I77" s="111">
        <f t="shared" si="26"/>
        <v>16249.8</v>
      </c>
      <c r="J77" s="111">
        <f t="shared" si="26"/>
        <v>16249.8</v>
      </c>
      <c r="K77" s="111">
        <f t="shared" si="26"/>
        <v>16249.8</v>
      </c>
      <c r="L77" s="111">
        <f t="shared" si="26"/>
        <v>16249.8</v>
      </c>
      <c r="M77" s="111">
        <f t="shared" si="26"/>
        <v>16249.8</v>
      </c>
      <c r="N77" s="111">
        <f t="shared" si="26"/>
        <v>16249.8</v>
      </c>
      <c r="O77" s="111">
        <f t="shared" si="26"/>
        <v>16249.8</v>
      </c>
      <c r="P77" s="112">
        <f t="shared" si="25"/>
        <v>194997.59999999998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98"/>
      <c r="C78" s="92" t="s">
        <v>47</v>
      </c>
      <c r="D78" s="111">
        <f>SUM(D70:D75)*0.15</f>
        <v>8124.9</v>
      </c>
      <c r="E78" s="111">
        <f t="shared" ref="E78:O78" si="27">SUM(E70:E75)*0.15</f>
        <v>8124.9</v>
      </c>
      <c r="F78" s="111">
        <f t="shared" si="27"/>
        <v>8124.9</v>
      </c>
      <c r="G78" s="111">
        <f t="shared" si="27"/>
        <v>8124.9</v>
      </c>
      <c r="H78" s="111">
        <f t="shared" si="27"/>
        <v>8124.9</v>
      </c>
      <c r="I78" s="111">
        <f t="shared" si="27"/>
        <v>8124.9</v>
      </c>
      <c r="J78" s="111">
        <f t="shared" si="27"/>
        <v>8124.9</v>
      </c>
      <c r="K78" s="111">
        <f t="shared" si="27"/>
        <v>8124.9</v>
      </c>
      <c r="L78" s="111">
        <f t="shared" si="27"/>
        <v>8124.9</v>
      </c>
      <c r="M78" s="111">
        <f t="shared" si="27"/>
        <v>8124.9</v>
      </c>
      <c r="N78" s="111">
        <f t="shared" si="27"/>
        <v>8124.9</v>
      </c>
      <c r="O78" s="111">
        <f t="shared" si="27"/>
        <v>8124.9</v>
      </c>
      <c r="P78" s="112">
        <f t="shared" si="25"/>
        <v>97498.799999999988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8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9">
        <f t="shared" si="25"/>
        <v>0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8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9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345" t="s">
        <v>48</v>
      </c>
      <c r="C81" s="317"/>
      <c r="D81" s="58">
        <f t="shared" ref="D81:P81" si="28">SUM(D72:D79)</f>
        <v>78540.7</v>
      </c>
      <c r="E81" s="58">
        <f t="shared" si="28"/>
        <v>78540.7</v>
      </c>
      <c r="F81" s="58">
        <f t="shared" si="28"/>
        <v>78540.7</v>
      </c>
      <c r="G81" s="58">
        <f t="shared" si="28"/>
        <v>78540.7</v>
      </c>
      <c r="H81" s="58">
        <f t="shared" si="28"/>
        <v>78540.7</v>
      </c>
      <c r="I81" s="58">
        <f t="shared" si="28"/>
        <v>78540.7</v>
      </c>
      <c r="J81" s="58">
        <f t="shared" si="28"/>
        <v>78540.7</v>
      </c>
      <c r="K81" s="58">
        <f t="shared" si="28"/>
        <v>78540.7</v>
      </c>
      <c r="L81" s="58">
        <f t="shared" si="28"/>
        <v>78540.7</v>
      </c>
      <c r="M81" s="58">
        <f t="shared" si="28"/>
        <v>78540.7</v>
      </c>
      <c r="N81" s="58">
        <f t="shared" si="28"/>
        <v>78540.7</v>
      </c>
      <c r="O81" s="58">
        <f t="shared" si="28"/>
        <v>78540.7</v>
      </c>
      <c r="P81" s="59">
        <f t="shared" si="28"/>
        <v>942488.39999999991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7"/>
      <c r="B82" s="28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9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1"/>
      <c r="B83" s="28" t="s">
        <v>49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9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>
      <c r="A84" s="1"/>
      <c r="B84" s="28"/>
      <c r="C84" s="177" t="s">
        <v>170</v>
      </c>
      <c r="D84" s="2">
        <f t="shared" ref="D84:I84" si="29">7083.33*2</f>
        <v>14166.66</v>
      </c>
      <c r="E84" s="2">
        <f t="shared" si="29"/>
        <v>14166.66</v>
      </c>
      <c r="F84" s="2">
        <f t="shared" si="29"/>
        <v>14166.66</v>
      </c>
      <c r="G84" s="2">
        <f t="shared" si="29"/>
        <v>14166.66</v>
      </c>
      <c r="H84" s="2">
        <f t="shared" si="29"/>
        <v>14166.66</v>
      </c>
      <c r="I84" s="2">
        <f t="shared" si="29"/>
        <v>14166.66</v>
      </c>
      <c r="J84" s="2">
        <f t="shared" ref="E84:O84" si="30">SUM(7083.33*$R$84)</f>
        <v>21249.989999999998</v>
      </c>
      <c r="K84" s="2">
        <f t="shared" si="30"/>
        <v>21249.989999999998</v>
      </c>
      <c r="L84" s="2">
        <f t="shared" si="30"/>
        <v>21249.989999999998</v>
      </c>
      <c r="M84" s="2">
        <f t="shared" si="30"/>
        <v>21249.989999999998</v>
      </c>
      <c r="N84" s="2">
        <f t="shared" si="30"/>
        <v>21249.989999999998</v>
      </c>
      <c r="O84" s="2">
        <f t="shared" si="30"/>
        <v>21249.989999999998</v>
      </c>
      <c r="P84" s="29">
        <f t="shared" ref="P84:P94" si="31">SUM(D84:O84)</f>
        <v>212499.89999999997</v>
      </c>
      <c r="Q84" s="1"/>
      <c r="R84" s="182">
        <v>3</v>
      </c>
      <c r="S84" s="1"/>
      <c r="T84" s="1"/>
      <c r="U84" s="1"/>
      <c r="V84" s="1"/>
      <c r="W84" s="1"/>
      <c r="X84" s="1"/>
      <c r="Y84" s="1"/>
      <c r="Z84" s="1"/>
    </row>
    <row r="85" spans="1:26" ht="17.25">
      <c r="A85" s="1"/>
      <c r="B85" s="28"/>
      <c r="C85" s="177" t="s">
        <v>171</v>
      </c>
      <c r="D85" s="2">
        <f t="shared" ref="D85:I86" si="32">5833.33*2</f>
        <v>11666.66</v>
      </c>
      <c r="E85" s="2">
        <f t="shared" si="32"/>
        <v>11666.66</v>
      </c>
      <c r="F85" s="2">
        <f t="shared" si="32"/>
        <v>11666.66</v>
      </c>
      <c r="G85" s="2">
        <f t="shared" si="32"/>
        <v>11666.66</v>
      </c>
      <c r="H85" s="2">
        <f t="shared" si="32"/>
        <v>11666.66</v>
      </c>
      <c r="I85" s="2">
        <f t="shared" si="32"/>
        <v>11666.66</v>
      </c>
      <c r="J85" s="2">
        <f t="shared" ref="E85:O86" si="33">SUM(5833.33*$R$84)</f>
        <v>17499.989999999998</v>
      </c>
      <c r="K85" s="2">
        <f t="shared" si="33"/>
        <v>17499.989999999998</v>
      </c>
      <c r="L85" s="2">
        <f t="shared" si="33"/>
        <v>17499.989999999998</v>
      </c>
      <c r="M85" s="2">
        <f t="shared" si="33"/>
        <v>17499.989999999998</v>
      </c>
      <c r="N85" s="2">
        <f t="shared" si="33"/>
        <v>17499.989999999998</v>
      </c>
      <c r="O85" s="2">
        <f t="shared" si="33"/>
        <v>17499.989999999998</v>
      </c>
      <c r="P85" s="29">
        <f t="shared" si="31"/>
        <v>174999.89999999997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>
      <c r="A86" s="1"/>
      <c r="B86" s="28"/>
      <c r="C86" s="177" t="s">
        <v>172</v>
      </c>
      <c r="D86" s="2">
        <f t="shared" si="32"/>
        <v>11666.66</v>
      </c>
      <c r="E86" s="2">
        <f t="shared" si="32"/>
        <v>11666.66</v>
      </c>
      <c r="F86" s="2">
        <f t="shared" si="32"/>
        <v>11666.66</v>
      </c>
      <c r="G86" s="2">
        <f t="shared" si="32"/>
        <v>11666.66</v>
      </c>
      <c r="H86" s="2">
        <f t="shared" si="32"/>
        <v>11666.66</v>
      </c>
      <c r="I86" s="2">
        <f t="shared" si="32"/>
        <v>11666.66</v>
      </c>
      <c r="J86" s="2">
        <f t="shared" si="33"/>
        <v>17499.989999999998</v>
      </c>
      <c r="K86" s="2">
        <f t="shared" si="33"/>
        <v>17499.989999999998</v>
      </c>
      <c r="L86" s="2">
        <f t="shared" si="33"/>
        <v>17499.989999999998</v>
      </c>
      <c r="M86" s="2">
        <f t="shared" si="33"/>
        <v>17499.989999999998</v>
      </c>
      <c r="N86" s="2">
        <f t="shared" si="33"/>
        <v>17499.989999999998</v>
      </c>
      <c r="O86" s="2">
        <f t="shared" si="33"/>
        <v>17499.989999999998</v>
      </c>
      <c r="P86" s="29">
        <f t="shared" si="31"/>
        <v>174999.89999999997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>
      <c r="A87" s="1"/>
      <c r="B87" s="28"/>
      <c r="C87" s="177" t="s">
        <v>173</v>
      </c>
      <c r="D87" s="2">
        <v>10000</v>
      </c>
      <c r="E87" s="2">
        <v>10000</v>
      </c>
      <c r="F87" s="2">
        <v>10000</v>
      </c>
      <c r="G87" s="2">
        <v>10000</v>
      </c>
      <c r="H87" s="2">
        <v>10000</v>
      </c>
      <c r="I87" s="2">
        <v>10000</v>
      </c>
      <c r="J87" s="2">
        <f t="shared" ref="E87:O87" si="34">SUM(5000*$R$84)</f>
        <v>15000</v>
      </c>
      <c r="K87" s="2">
        <f t="shared" si="34"/>
        <v>15000</v>
      </c>
      <c r="L87" s="2">
        <f t="shared" si="34"/>
        <v>15000</v>
      </c>
      <c r="M87" s="2">
        <f t="shared" si="34"/>
        <v>15000</v>
      </c>
      <c r="N87" s="2">
        <f t="shared" si="34"/>
        <v>15000</v>
      </c>
      <c r="O87" s="2">
        <f t="shared" si="34"/>
        <v>15000</v>
      </c>
      <c r="P87" s="29">
        <f t="shared" si="31"/>
        <v>150000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>
      <c r="A88" s="1"/>
      <c r="B88" s="28"/>
      <c r="C88" s="177" t="s">
        <v>174</v>
      </c>
      <c r="D88" s="2">
        <f t="shared" ref="D88:I89" si="35">4166.67*2</f>
        <v>8333.34</v>
      </c>
      <c r="E88" s="2">
        <f t="shared" si="35"/>
        <v>8333.34</v>
      </c>
      <c r="F88" s="2">
        <f t="shared" si="35"/>
        <v>8333.34</v>
      </c>
      <c r="G88" s="2">
        <f t="shared" si="35"/>
        <v>8333.34</v>
      </c>
      <c r="H88" s="2">
        <f t="shared" si="35"/>
        <v>8333.34</v>
      </c>
      <c r="I88" s="2">
        <f t="shared" si="35"/>
        <v>8333.34</v>
      </c>
      <c r="J88" s="2">
        <f t="shared" ref="E88:O89" si="36">SUM(4166.67*$R$84)</f>
        <v>12500.01</v>
      </c>
      <c r="K88" s="2">
        <f t="shared" si="36"/>
        <v>12500.01</v>
      </c>
      <c r="L88" s="2">
        <f t="shared" si="36"/>
        <v>12500.01</v>
      </c>
      <c r="M88" s="2">
        <f t="shared" si="36"/>
        <v>12500.01</v>
      </c>
      <c r="N88" s="2">
        <f t="shared" si="36"/>
        <v>12500.01</v>
      </c>
      <c r="O88" s="2">
        <f t="shared" si="36"/>
        <v>12500.01</v>
      </c>
      <c r="P88" s="29">
        <f t="shared" si="31"/>
        <v>125000.09999999998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>
      <c r="A89" s="1"/>
      <c r="B89" s="28"/>
      <c r="C89" s="177" t="s">
        <v>175</v>
      </c>
      <c r="D89" s="2">
        <f t="shared" si="35"/>
        <v>8333.34</v>
      </c>
      <c r="E89" s="2">
        <f t="shared" si="35"/>
        <v>8333.34</v>
      </c>
      <c r="F89" s="2">
        <f t="shared" si="35"/>
        <v>8333.34</v>
      </c>
      <c r="G89" s="2">
        <f t="shared" si="35"/>
        <v>8333.34</v>
      </c>
      <c r="H89" s="2">
        <f t="shared" si="35"/>
        <v>8333.34</v>
      </c>
      <c r="I89" s="2">
        <f t="shared" si="35"/>
        <v>8333.34</v>
      </c>
      <c r="J89" s="2">
        <f t="shared" si="36"/>
        <v>12500.01</v>
      </c>
      <c r="K89" s="2">
        <f t="shared" si="36"/>
        <v>12500.01</v>
      </c>
      <c r="L89" s="2">
        <f t="shared" si="36"/>
        <v>12500.01</v>
      </c>
      <c r="M89" s="2">
        <f t="shared" si="36"/>
        <v>12500.01</v>
      </c>
      <c r="N89" s="2">
        <f t="shared" si="36"/>
        <v>12500.01</v>
      </c>
      <c r="O89" s="2">
        <f t="shared" si="36"/>
        <v>12500.01</v>
      </c>
      <c r="P89" s="29">
        <f t="shared" si="31"/>
        <v>125000.09999999998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>
      <c r="A90" s="1"/>
      <c r="B90" s="28"/>
      <c r="C90" s="177" t="s">
        <v>111</v>
      </c>
      <c r="D90" s="2">
        <f t="shared" ref="D90:I90" si="37">SUM(3750*3)</f>
        <v>11250</v>
      </c>
      <c r="E90" s="2">
        <f t="shared" si="37"/>
        <v>11250</v>
      </c>
      <c r="F90" s="2">
        <f t="shared" si="37"/>
        <v>11250</v>
      </c>
      <c r="G90" s="2">
        <f t="shared" si="37"/>
        <v>11250</v>
      </c>
      <c r="H90" s="2">
        <f t="shared" si="37"/>
        <v>11250</v>
      </c>
      <c r="I90" s="2">
        <f t="shared" si="37"/>
        <v>11250</v>
      </c>
      <c r="J90" s="2">
        <f t="shared" ref="E90:O90" si="38">SUM(3750*5*1.2)</f>
        <v>22500</v>
      </c>
      <c r="K90" s="2">
        <f t="shared" si="38"/>
        <v>22500</v>
      </c>
      <c r="L90" s="2">
        <f t="shared" si="38"/>
        <v>22500</v>
      </c>
      <c r="M90" s="2">
        <f t="shared" si="38"/>
        <v>22500</v>
      </c>
      <c r="N90" s="2">
        <f t="shared" si="38"/>
        <v>22500</v>
      </c>
      <c r="O90" s="2">
        <f t="shared" si="38"/>
        <v>22500</v>
      </c>
      <c r="P90" s="29">
        <f t="shared" si="31"/>
        <v>202500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8"/>
      <c r="C91" s="10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9">
        <f t="shared" si="31"/>
        <v>0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98"/>
      <c r="C92" s="92" t="s">
        <v>46</v>
      </c>
      <c r="D92" s="111">
        <f t="shared" ref="D92:O92" si="39">SUM(D82:D90)*0.3</f>
        <v>22624.997999999996</v>
      </c>
      <c r="E92" s="111">
        <f t="shared" si="39"/>
        <v>22624.997999999996</v>
      </c>
      <c r="F92" s="111">
        <f t="shared" si="39"/>
        <v>22624.997999999996</v>
      </c>
      <c r="G92" s="111">
        <f t="shared" si="39"/>
        <v>22624.997999999996</v>
      </c>
      <c r="H92" s="111">
        <f t="shared" si="39"/>
        <v>22624.997999999996</v>
      </c>
      <c r="I92" s="111">
        <f t="shared" si="39"/>
        <v>22624.997999999996</v>
      </c>
      <c r="J92" s="111">
        <f t="shared" si="39"/>
        <v>35624.996999999996</v>
      </c>
      <c r="K92" s="111">
        <f t="shared" si="39"/>
        <v>35624.996999999996</v>
      </c>
      <c r="L92" s="111">
        <f t="shared" si="39"/>
        <v>35624.996999999996</v>
      </c>
      <c r="M92" s="111">
        <f t="shared" si="39"/>
        <v>35624.996999999996</v>
      </c>
      <c r="N92" s="111">
        <f t="shared" si="39"/>
        <v>35624.996999999996</v>
      </c>
      <c r="O92" s="111">
        <f t="shared" si="39"/>
        <v>35624.996999999996</v>
      </c>
      <c r="P92" s="112">
        <f t="shared" si="31"/>
        <v>349499.96999999991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98"/>
      <c r="C93" s="92" t="s">
        <v>47</v>
      </c>
      <c r="D93" s="111">
        <f t="shared" ref="D93:O93" si="40">SUM(D82:D90)*0.15</f>
        <v>11312.498999999998</v>
      </c>
      <c r="E93" s="111">
        <f t="shared" si="40"/>
        <v>11312.498999999998</v>
      </c>
      <c r="F93" s="111">
        <f t="shared" si="40"/>
        <v>11312.498999999998</v>
      </c>
      <c r="G93" s="111">
        <f t="shared" si="40"/>
        <v>11312.498999999998</v>
      </c>
      <c r="H93" s="111">
        <f t="shared" si="40"/>
        <v>11312.498999999998</v>
      </c>
      <c r="I93" s="111">
        <f t="shared" si="40"/>
        <v>11312.498999999998</v>
      </c>
      <c r="J93" s="111">
        <f t="shared" si="40"/>
        <v>17812.498499999998</v>
      </c>
      <c r="K93" s="111">
        <f t="shared" si="40"/>
        <v>17812.498499999998</v>
      </c>
      <c r="L93" s="111">
        <f t="shared" si="40"/>
        <v>17812.498499999998</v>
      </c>
      <c r="M93" s="111">
        <f t="shared" si="40"/>
        <v>17812.498499999998</v>
      </c>
      <c r="N93" s="111">
        <f t="shared" si="40"/>
        <v>17812.498499999998</v>
      </c>
      <c r="O93" s="111">
        <f t="shared" si="40"/>
        <v>17812.498499999998</v>
      </c>
      <c r="P93" s="112">
        <f t="shared" si="31"/>
        <v>174749.98499999996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8"/>
      <c r="C94" s="10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9">
        <f t="shared" si="31"/>
        <v>0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47"/>
      <c r="B95" s="28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9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1"/>
      <c r="B96" s="60" t="s">
        <v>50</v>
      </c>
      <c r="C96" s="61"/>
      <c r="D96" s="58">
        <f t="shared" ref="D96:P96" si="41">SUM(D88:D94)</f>
        <v>61854.176999999996</v>
      </c>
      <c r="E96" s="58">
        <f t="shared" si="41"/>
        <v>61854.176999999996</v>
      </c>
      <c r="F96" s="58">
        <f t="shared" si="41"/>
        <v>61854.176999999996</v>
      </c>
      <c r="G96" s="58">
        <f t="shared" si="41"/>
        <v>61854.176999999996</v>
      </c>
      <c r="H96" s="58">
        <f t="shared" si="41"/>
        <v>61854.176999999996</v>
      </c>
      <c r="I96" s="58">
        <f t="shared" si="41"/>
        <v>61854.176999999996</v>
      </c>
      <c r="J96" s="58">
        <f t="shared" si="41"/>
        <v>100937.51549999999</v>
      </c>
      <c r="K96" s="58">
        <f t="shared" si="41"/>
        <v>100937.51549999999</v>
      </c>
      <c r="L96" s="58">
        <f t="shared" si="41"/>
        <v>100937.51549999999</v>
      </c>
      <c r="M96" s="58">
        <f t="shared" si="41"/>
        <v>100937.51549999999</v>
      </c>
      <c r="N96" s="58">
        <f t="shared" si="41"/>
        <v>100937.51549999999</v>
      </c>
      <c r="O96" s="58">
        <f t="shared" si="41"/>
        <v>100937.51549999999</v>
      </c>
      <c r="P96" s="59">
        <f t="shared" si="41"/>
        <v>976750.15499999991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62"/>
      <c r="C97" s="3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63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62"/>
      <c r="C98" s="32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63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47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6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thickBot="1">
      <c r="A100" s="1"/>
      <c r="B100" s="64" t="s">
        <v>51</v>
      </c>
      <c r="C100" s="65" t="s">
        <v>52</v>
      </c>
      <c r="D100" s="66">
        <f t="shared" ref="D100:P100" si="42">D96+D81</f>
        <v>140394.87699999998</v>
      </c>
      <c r="E100" s="66">
        <f t="shared" si="42"/>
        <v>140394.87699999998</v>
      </c>
      <c r="F100" s="66">
        <f t="shared" si="42"/>
        <v>140394.87699999998</v>
      </c>
      <c r="G100" s="66">
        <f t="shared" si="42"/>
        <v>140394.87699999998</v>
      </c>
      <c r="H100" s="66">
        <f t="shared" si="42"/>
        <v>140394.87699999998</v>
      </c>
      <c r="I100" s="66">
        <f t="shared" si="42"/>
        <v>140394.87699999998</v>
      </c>
      <c r="J100" s="66">
        <f t="shared" si="42"/>
        <v>179478.21549999999</v>
      </c>
      <c r="K100" s="66">
        <f t="shared" si="42"/>
        <v>179478.21549999999</v>
      </c>
      <c r="L100" s="66">
        <f t="shared" si="42"/>
        <v>179478.21549999999</v>
      </c>
      <c r="M100" s="66">
        <f t="shared" si="42"/>
        <v>179478.21549999999</v>
      </c>
      <c r="N100" s="66">
        <f t="shared" si="42"/>
        <v>179478.21549999999</v>
      </c>
      <c r="O100" s="66">
        <f t="shared" si="42"/>
        <v>179478.21549999999</v>
      </c>
      <c r="P100" s="67">
        <f t="shared" si="42"/>
        <v>1919238.5549999997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</sheetData>
  <mergeCells count="4">
    <mergeCell ref="B18:C18"/>
    <mergeCell ref="B1:P5"/>
    <mergeCell ref="B50:C50"/>
    <mergeCell ref="B81:C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3Yr Summary by Year</vt:lpstr>
      <vt:lpstr>EBIT</vt:lpstr>
      <vt:lpstr>3Yr Summary by Month</vt:lpstr>
      <vt:lpstr>Revenue Production</vt:lpstr>
      <vt:lpstr>Revenue Variables</vt:lpstr>
      <vt:lpstr>Development Expenses</vt:lpstr>
      <vt:lpstr>Labor Variables</vt:lpstr>
      <vt:lpstr>Combine Variables</vt:lpstr>
      <vt:lpstr>Staffing Profile</vt:lpstr>
      <vt:lpstr>Non-Payroll OpEx </vt:lpstr>
      <vt:lpstr>Use Of Proceeds</vt:lpstr>
      <vt:lpstr>Investor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WEEDFINDER</dc:creator>
  <cp:lastModifiedBy>Trena Saenz</cp:lastModifiedBy>
  <dcterms:created xsi:type="dcterms:W3CDTF">2017-11-20T18:31:26Z</dcterms:created>
  <dcterms:modified xsi:type="dcterms:W3CDTF">2023-04-23T04:13:55Z</dcterms:modified>
</cp:coreProperties>
</file>