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3.xml" ContentType="application/vnd.openxmlformats-officedocument.drawingml.chartshapes+xml"/>
  <Override PartName="/xl/charts/chart10.xml" ContentType="application/vnd.openxmlformats-officedocument.drawingml.chart+xml"/>
  <Override PartName="/xl/charts/chart11.xml" ContentType="application/vnd.openxmlformats-officedocument.drawingml.chart+xml"/>
  <Override PartName="/xl/drawings/drawing4.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14.xml" ContentType="application/vnd.openxmlformats-officedocument.drawingml.chart+xml"/>
  <Override PartName="/xl/charts/style3.xml" ContentType="application/vnd.ms-office.chartstyle+xml"/>
  <Override PartName="/xl/charts/colors3.xml" ContentType="application/vnd.ms-office.chartcolorstyle+xml"/>
  <Override PartName="/xl/charts/chart1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16.xml" ContentType="application/vnd.openxmlformats-officedocument.drawingml.chart+xml"/>
  <Override PartName="/xl/charts/style5.xml" ContentType="application/vnd.ms-office.chartstyle+xml"/>
  <Override PartName="/xl/charts/colors5.xml" ContentType="application/vnd.ms-office.chartcolorstyle+xml"/>
  <Override PartName="/xl/charts/chart1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drawings/drawing8.xml" ContentType="application/vnd.openxmlformats-officedocument.drawing+xml"/>
  <Override PartName="/xl/charts/chart20.xml" ContentType="application/vnd.openxmlformats-officedocument.drawingml.chart+xml"/>
  <Override PartName="/xl/charts/style7.xml" ContentType="application/vnd.ms-office.chartstyle+xml"/>
  <Override PartName="/xl/charts/colors7.xml" ContentType="application/vnd.ms-office.chartcolorstyle+xml"/>
  <Override PartName="/xl/charts/chart21.xml" ContentType="application/vnd.openxmlformats-officedocument.drawingml.chart+xml"/>
  <Override PartName="/xl/charts/style8.xml" ContentType="application/vnd.ms-office.chartstyle+xml"/>
  <Override PartName="/xl/charts/colors8.xml" ContentType="application/vnd.ms-office.chartcolorstyle+xml"/>
  <Override PartName="/xl/charts/chart22.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16"/>
  <workbookPr/>
  <mc:AlternateContent xmlns:mc="http://schemas.openxmlformats.org/markup-compatibility/2006">
    <mc:Choice Requires="x15">
      <x15ac:absPath xmlns:x15ac="http://schemas.microsoft.com/office/spreadsheetml/2010/11/ac" url="/Users/williamgillespie/Desktop/Math519General/TimeSeriesHW/"/>
    </mc:Choice>
  </mc:AlternateContent>
  <bookViews>
    <workbookView xWindow="0" yWindow="0" windowWidth="28800" windowHeight="18000" activeTab="9"/>
  </bookViews>
  <sheets>
    <sheet name="Sheet0" sheetId="10" r:id="rId1"/>
    <sheet name="Example" sheetId="9" r:id="rId2"/>
    <sheet name="LiveRegression" sheetId="11" r:id="rId3"/>
    <sheet name="Sheet1" sheetId="1" r:id="rId4"/>
    <sheet name="Sheet2" sheetId="2" r:id="rId5"/>
    <sheet name="Sheet2Reg" sheetId="13" r:id="rId6"/>
    <sheet name="Sheet3" sheetId="3" r:id="rId7"/>
    <sheet name="Sheet3Reg" sheetId="14" r:id="rId8"/>
    <sheet name="Sheet4" sheetId="4" r:id="rId9"/>
    <sheet name="Sheet5" sheetId="5" r:id="rId10"/>
  </sheets>
  <definedNames>
    <definedName name="solver_adj" localSheetId="3" hidden="1">Sheet1!#REF!</definedName>
    <definedName name="solver_adj" localSheetId="4" hidden="1">Sheet2!#REF!</definedName>
    <definedName name="solver_cvg" localSheetId="3" hidden="1">0.0001</definedName>
    <definedName name="solver_cvg" localSheetId="4" hidden="1">0.0001</definedName>
    <definedName name="solver_drv" localSheetId="3" hidden="1">1</definedName>
    <definedName name="solver_drv" localSheetId="4" hidden="1">1</definedName>
    <definedName name="solver_est" localSheetId="3" hidden="1">1</definedName>
    <definedName name="solver_est" localSheetId="4" hidden="1">1</definedName>
    <definedName name="solver_itr" localSheetId="3" hidden="1">100</definedName>
    <definedName name="solver_itr" localSheetId="4" hidden="1">100</definedName>
    <definedName name="solver_lin" localSheetId="3" hidden="1">2</definedName>
    <definedName name="solver_lin" localSheetId="4" hidden="1">2</definedName>
    <definedName name="solver_neg" localSheetId="3" hidden="1">2</definedName>
    <definedName name="solver_neg" localSheetId="4" hidden="1">2</definedName>
    <definedName name="solver_num" localSheetId="3" hidden="1">0</definedName>
    <definedName name="solver_num" localSheetId="4" hidden="1">0</definedName>
    <definedName name="solver_nwt" localSheetId="3" hidden="1">1</definedName>
    <definedName name="solver_nwt" localSheetId="4" hidden="1">1</definedName>
    <definedName name="solver_opt" localSheetId="3" hidden="1">Sheet1!#REF!</definedName>
    <definedName name="solver_opt" localSheetId="4" hidden="1">Sheet2!#REF!</definedName>
    <definedName name="solver_pre" localSheetId="3" hidden="1">0.000001</definedName>
    <definedName name="solver_pre" localSheetId="4" hidden="1">0.000001</definedName>
    <definedName name="solver_scl" localSheetId="3" hidden="1">2</definedName>
    <definedName name="solver_scl" localSheetId="4" hidden="1">2</definedName>
    <definedName name="solver_sho" localSheetId="3" hidden="1">2</definedName>
    <definedName name="solver_sho" localSheetId="4" hidden="1">2</definedName>
    <definedName name="solver_tim" localSheetId="3" hidden="1">100</definedName>
    <definedName name="solver_tim" localSheetId="4" hidden="1">100</definedName>
    <definedName name="solver_tol" localSheetId="3" hidden="1">0.05</definedName>
    <definedName name="solver_tol" localSheetId="4" hidden="1">0.05</definedName>
    <definedName name="solver_typ" localSheetId="3" hidden="1">1</definedName>
    <definedName name="solver_typ" localSheetId="4" hidden="1">1</definedName>
    <definedName name="solver_val" localSheetId="3" hidden="1">0</definedName>
    <definedName name="solver_val" localSheetId="4" hidden="1">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11" i="5" l="1"/>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10" i="5"/>
  <c r="F10" i="5"/>
  <c r="I10" i="5" a="1"/>
  <c r="I10" i="5"/>
  <c r="J10" i="5"/>
  <c r="K10" i="5"/>
  <c r="L10" i="5"/>
  <c r="I11" i="5"/>
  <c r="J11" i="5"/>
  <c r="K11" i="5"/>
  <c r="L11" i="5"/>
  <c r="I12" i="5"/>
  <c r="J12" i="5"/>
  <c r="K12" i="5"/>
  <c r="L12" i="5"/>
  <c r="I13" i="5"/>
  <c r="J13" i="5"/>
  <c r="K13" i="5"/>
  <c r="L13" i="5"/>
  <c r="I14" i="5"/>
  <c r="J14" i="5"/>
  <c r="K14" i="5"/>
  <c r="L14"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10" i="5"/>
  <c r="E13" i="3"/>
  <c r="E14" i="3"/>
  <c r="E15" i="3"/>
  <c r="E16" i="3"/>
  <c r="F13" i="3"/>
  <c r="G13" i="3"/>
  <c r="H13" i="3"/>
  <c r="F14" i="3"/>
  <c r="G14" i="3"/>
  <c r="H14" i="3"/>
  <c r="F15" i="3"/>
  <c r="G15" i="3"/>
  <c r="H15" i="3"/>
  <c r="F16" i="3"/>
  <c r="G16" i="3"/>
  <c r="H16" i="3"/>
  <c r="E17" i="3"/>
  <c r="F17" i="3"/>
  <c r="G17" i="3"/>
  <c r="H17" i="3"/>
  <c r="E18" i="3"/>
  <c r="F18" i="3"/>
  <c r="G18" i="3"/>
  <c r="H18" i="3"/>
  <c r="E19" i="3"/>
  <c r="F19" i="3"/>
  <c r="G19" i="3"/>
  <c r="H19" i="3"/>
  <c r="E20" i="3"/>
  <c r="F20" i="3"/>
  <c r="G20" i="3"/>
  <c r="H20" i="3"/>
  <c r="E21" i="3"/>
  <c r="F21" i="3"/>
  <c r="G21" i="3"/>
  <c r="H21" i="3"/>
  <c r="E22" i="3"/>
  <c r="F22" i="3"/>
  <c r="G22" i="3"/>
  <c r="H22" i="3"/>
  <c r="E23" i="3"/>
  <c r="F23" i="3"/>
  <c r="G23" i="3"/>
  <c r="H23" i="3"/>
  <c r="E24" i="3"/>
  <c r="F24" i="3"/>
  <c r="G24" i="3"/>
  <c r="H24" i="3"/>
  <c r="L11" i="3" a="1"/>
  <c r="O11" i="3"/>
  <c r="E11" i="3"/>
  <c r="N11" i="3"/>
  <c r="F11" i="3"/>
  <c r="M11" i="3"/>
  <c r="G11" i="3"/>
  <c r="L11" i="3"/>
  <c r="H11" i="3"/>
  <c r="P11" i="3"/>
  <c r="I11" i="3"/>
  <c r="I14" i="3"/>
  <c r="J14" i="3"/>
  <c r="I15" i="3"/>
  <c r="J15" i="3"/>
  <c r="I16" i="3"/>
  <c r="J16" i="3"/>
  <c r="I17" i="3"/>
  <c r="J17" i="3"/>
  <c r="I18" i="3"/>
  <c r="J18" i="3"/>
  <c r="I19" i="3"/>
  <c r="J19" i="3"/>
  <c r="I20" i="3"/>
  <c r="J20" i="3"/>
  <c r="I21" i="3"/>
  <c r="J21" i="3"/>
  <c r="I22" i="3"/>
  <c r="J22" i="3"/>
  <c r="I23" i="3"/>
  <c r="J23" i="3"/>
  <c r="I24" i="3"/>
  <c r="J24" i="3"/>
  <c r="I13" i="3"/>
  <c r="J13" i="3"/>
  <c r="G16" i="2"/>
  <c r="D16" i="2"/>
  <c r="D17" i="2"/>
  <c r="D18" i="2"/>
  <c r="D19" i="2"/>
  <c r="E16" i="2"/>
  <c r="F16" i="2"/>
  <c r="E17" i="2"/>
  <c r="F17" i="2"/>
  <c r="G17" i="2"/>
  <c r="E18" i="2"/>
  <c r="F18" i="2"/>
  <c r="G18" i="2"/>
  <c r="E19" i="2"/>
  <c r="F19" i="2"/>
  <c r="G19" i="2"/>
  <c r="D20" i="2"/>
  <c r="E20" i="2"/>
  <c r="F20" i="2"/>
  <c r="G20" i="2"/>
  <c r="D21" i="2"/>
  <c r="E21" i="2"/>
  <c r="F21" i="2"/>
  <c r="G21" i="2"/>
  <c r="D22" i="2"/>
  <c r="E22" i="2"/>
  <c r="F22" i="2"/>
  <c r="G22" i="2"/>
  <c r="D23" i="2"/>
  <c r="E23" i="2"/>
  <c r="F23" i="2"/>
  <c r="G23" i="2"/>
  <c r="D24" i="2"/>
  <c r="E24" i="2"/>
  <c r="F24" i="2"/>
  <c r="G24" i="2"/>
  <c r="D25" i="2"/>
  <c r="E25" i="2"/>
  <c r="F25" i="2"/>
  <c r="G25" i="2"/>
  <c r="D26" i="2"/>
  <c r="E26" i="2"/>
  <c r="F26" i="2"/>
  <c r="G26" i="2"/>
  <c r="D27" i="2"/>
  <c r="E27" i="2"/>
  <c r="F27" i="2"/>
  <c r="G27" i="2"/>
  <c r="K15" i="2" a="1"/>
  <c r="N15" i="2"/>
  <c r="D14" i="2"/>
  <c r="M15" i="2"/>
  <c r="E14" i="2"/>
  <c r="L15" i="2"/>
  <c r="F14" i="2"/>
  <c r="K15" i="2"/>
  <c r="G14" i="2"/>
  <c r="O15" i="2"/>
  <c r="H14" i="2"/>
  <c r="H17" i="2"/>
  <c r="I17" i="2"/>
  <c r="H18" i="2"/>
  <c r="I18" i="2"/>
  <c r="H19" i="2"/>
  <c r="I19" i="2"/>
  <c r="H20" i="2"/>
  <c r="I20" i="2"/>
  <c r="H21" i="2"/>
  <c r="I21" i="2"/>
  <c r="H22" i="2"/>
  <c r="I22" i="2"/>
  <c r="H23" i="2"/>
  <c r="I23" i="2"/>
  <c r="H24" i="2"/>
  <c r="I24" i="2"/>
  <c r="H25" i="2"/>
  <c r="I25" i="2"/>
  <c r="H26" i="2"/>
  <c r="I26" i="2"/>
  <c r="H27" i="2"/>
  <c r="I27" i="2"/>
  <c r="H16" i="2"/>
  <c r="I16" i="2"/>
  <c r="D16" i="1"/>
  <c r="D17" i="1"/>
  <c r="D18" i="1"/>
  <c r="D19" i="1"/>
  <c r="D20" i="1"/>
  <c r="E16" i="1"/>
  <c r="E17" i="1"/>
  <c r="E18" i="1"/>
  <c r="E19" i="1"/>
  <c r="E20" i="1"/>
  <c r="D21" i="1"/>
  <c r="E21" i="1"/>
  <c r="D22" i="1"/>
  <c r="E22" i="1"/>
  <c r="D23" i="1"/>
  <c r="E23" i="1"/>
  <c r="D24" i="1"/>
  <c r="E24" i="1"/>
  <c r="D25" i="1"/>
  <c r="E25" i="1"/>
  <c r="D26" i="1"/>
  <c r="E26" i="1"/>
  <c r="D27" i="1"/>
  <c r="E27" i="1"/>
  <c r="J16" i="1" a="1"/>
  <c r="K16" i="1"/>
  <c r="D14" i="1"/>
  <c r="J16" i="1"/>
  <c r="E14" i="1"/>
  <c r="L16" i="1"/>
  <c r="F14" i="1"/>
  <c r="F17" i="1"/>
  <c r="F18" i="1"/>
  <c r="F19" i="1"/>
  <c r="F20" i="1"/>
  <c r="F21" i="1"/>
  <c r="F22" i="1"/>
  <c r="F23" i="1"/>
  <c r="F24" i="1"/>
  <c r="F25" i="1"/>
  <c r="F26" i="1"/>
  <c r="F27" i="1"/>
  <c r="F16" i="1"/>
  <c r="G17" i="1"/>
  <c r="G18" i="1"/>
  <c r="G19" i="1"/>
  <c r="G20" i="1"/>
  <c r="G21" i="1"/>
  <c r="G22" i="1"/>
  <c r="G23" i="1"/>
  <c r="G24" i="1"/>
  <c r="G25" i="1"/>
  <c r="G26" i="1"/>
  <c r="G27" i="1"/>
  <c r="G16" i="1"/>
  <c r="B54" i="11"/>
  <c r="B53" i="11"/>
  <c r="B52" i="11"/>
  <c r="B51" i="11"/>
  <c r="B50" i="11"/>
  <c r="B49" i="11"/>
  <c r="B48" i="11"/>
  <c r="B47" i="11"/>
  <c r="B46" i="11"/>
  <c r="B45" i="11"/>
  <c r="B44" i="11"/>
  <c r="B43" i="11"/>
  <c r="B42" i="11"/>
  <c r="AD43" i="11"/>
  <c r="AE43" i="11"/>
  <c r="AC43" i="11"/>
  <c r="AB43" i="11"/>
  <c r="AB42" i="11"/>
  <c r="AA42" i="11"/>
  <c r="AA43" i="11"/>
  <c r="BA6" i="11"/>
  <c r="L4" i="11"/>
  <c r="I4" i="11"/>
  <c r="BA3" i="11"/>
  <c r="BC12" i="11"/>
  <c r="AI36" i="11"/>
  <c r="E42" i="11"/>
  <c r="G42" i="11"/>
  <c r="D42" i="11"/>
  <c r="C42" i="11"/>
  <c r="L17" i="11"/>
  <c r="M16" i="11"/>
  <c r="D6" i="11"/>
  <c r="BA5" i="11"/>
  <c r="BA4" i="11"/>
  <c r="AI37" i="11"/>
  <c r="AI35" i="11"/>
  <c r="AJ35" i="11"/>
  <c r="AI34" i="11"/>
  <c r="AJ34" i="11"/>
  <c r="G59" i="9"/>
  <c r="G57" i="9"/>
  <c r="K34" i="9"/>
  <c r="C29" i="9"/>
  <c r="F28" i="9"/>
  <c r="E28" i="9"/>
  <c r="F27" i="9"/>
  <c r="E27" i="9"/>
  <c r="F26" i="9"/>
  <c r="E26" i="9"/>
  <c r="F25" i="9"/>
  <c r="E25" i="9"/>
  <c r="F24" i="9"/>
  <c r="E24" i="9"/>
  <c r="F23" i="9"/>
  <c r="E23" i="9"/>
  <c r="F22" i="9"/>
  <c r="E22" i="9"/>
  <c r="F21" i="9"/>
  <c r="E21" i="9"/>
  <c r="F20" i="9"/>
  <c r="E20" i="9"/>
  <c r="F19" i="9"/>
  <c r="E19" i="9"/>
  <c r="F18" i="9"/>
  <c r="E18" i="9"/>
  <c r="F17" i="9"/>
  <c r="E17" i="9"/>
  <c r="F49" i="4"/>
  <c r="E49" i="4"/>
  <c r="B49" i="4"/>
  <c r="F48" i="4"/>
  <c r="E48" i="4"/>
  <c r="B48" i="4"/>
  <c r="F47" i="4"/>
  <c r="E47" i="4"/>
  <c r="B47" i="4"/>
  <c r="F46" i="4"/>
  <c r="E46" i="4"/>
  <c r="B46" i="4"/>
  <c r="F45" i="4"/>
  <c r="E45" i="4"/>
  <c r="B45" i="4"/>
  <c r="F44" i="4"/>
  <c r="E44" i="4"/>
  <c r="B44" i="4"/>
  <c r="F43" i="4"/>
  <c r="E43" i="4"/>
  <c r="B43" i="4"/>
  <c r="F42" i="4"/>
  <c r="E42" i="4"/>
  <c r="B42" i="4"/>
  <c r="F41" i="4"/>
  <c r="E41" i="4"/>
  <c r="B41" i="4"/>
  <c r="F40" i="4"/>
  <c r="E40" i="4"/>
  <c r="B40" i="4"/>
  <c r="F39" i="4"/>
  <c r="E39" i="4"/>
  <c r="B39" i="4"/>
  <c r="F38" i="4"/>
  <c r="E38" i="4"/>
  <c r="B38" i="4"/>
  <c r="F37" i="4"/>
  <c r="E37" i="4"/>
  <c r="B37" i="4"/>
  <c r="F36" i="4"/>
  <c r="E36" i="4"/>
  <c r="B36" i="4"/>
  <c r="F35" i="4"/>
  <c r="E35" i="4"/>
  <c r="B35" i="4"/>
  <c r="F34" i="4"/>
  <c r="E34" i="4"/>
  <c r="B34" i="4"/>
  <c r="F33" i="4"/>
  <c r="E33" i="4"/>
  <c r="B33" i="4"/>
  <c r="F32" i="4"/>
  <c r="E32" i="4"/>
  <c r="B32" i="4"/>
  <c r="F31" i="4"/>
  <c r="E31" i="4"/>
  <c r="B31" i="4"/>
  <c r="F30" i="4"/>
  <c r="E30" i="4"/>
  <c r="B30" i="4"/>
  <c r="F29" i="4"/>
  <c r="E29" i="4"/>
  <c r="B29" i="4"/>
  <c r="F28" i="4"/>
  <c r="E28" i="4"/>
  <c r="B28" i="4"/>
  <c r="F27" i="4"/>
  <c r="E27" i="4"/>
  <c r="B27" i="4"/>
  <c r="F26" i="4"/>
  <c r="E26" i="4"/>
  <c r="B26" i="4"/>
  <c r="F25" i="4"/>
  <c r="E25" i="4"/>
  <c r="B25" i="4"/>
  <c r="C25" i="4"/>
  <c r="F24" i="4"/>
  <c r="E24" i="4"/>
  <c r="B24" i="4"/>
  <c r="C24" i="4"/>
  <c r="F23" i="4"/>
  <c r="E23" i="4"/>
  <c r="B23" i="4"/>
  <c r="C23" i="4"/>
  <c r="AB48" i="11"/>
  <c r="AA48" i="11"/>
  <c r="BA7" i="11"/>
  <c r="M4" i="11"/>
  <c r="BA8" i="11"/>
  <c r="M42" i="11"/>
  <c r="L42" i="11"/>
  <c r="K35" i="9"/>
  <c r="F22" i="4"/>
  <c r="E22" i="4"/>
  <c r="B22" i="4"/>
  <c r="C22" i="4"/>
  <c r="F21" i="4"/>
  <c r="E21" i="4"/>
  <c r="B21" i="4"/>
  <c r="C21" i="4"/>
  <c r="F20" i="4"/>
  <c r="E20" i="4"/>
  <c r="B20" i="4"/>
  <c r="C20" i="4"/>
  <c r="F19" i="4"/>
  <c r="E19" i="4"/>
  <c r="B19" i="4"/>
  <c r="C19" i="4"/>
  <c r="F18" i="4"/>
  <c r="E18" i="4"/>
  <c r="B18" i="4"/>
  <c r="C18" i="4"/>
  <c r="F17" i="4"/>
  <c r="E17" i="4"/>
  <c r="B17" i="4"/>
  <c r="C17" i="4"/>
  <c r="F16" i="4"/>
  <c r="E16" i="4"/>
  <c r="B16" i="4"/>
  <c r="C16" i="4"/>
  <c r="F15" i="4"/>
  <c r="E15" i="4"/>
  <c r="B15" i="4"/>
  <c r="C15" i="4"/>
  <c r="BE2" i="11" a="1"/>
  <c r="L9" i="11"/>
  <c r="I9" i="11"/>
  <c r="BE9" i="11"/>
  <c r="AB34" i="11"/>
  <c r="X34" i="11"/>
  <c r="T34" i="11"/>
  <c r="P34" i="11"/>
  <c r="AA34" i="11"/>
  <c r="W34" i="11"/>
  <c r="S34" i="11"/>
  <c r="O34" i="11"/>
  <c r="Z33" i="11"/>
  <c r="V33" i="11"/>
  <c r="R33" i="11"/>
  <c r="N33" i="11"/>
  <c r="X32" i="11"/>
  <c r="T32" i="11"/>
  <c r="P32" i="11"/>
  <c r="Y31" i="11"/>
  <c r="Z34" i="11"/>
  <c r="V34" i="11"/>
  <c r="R34" i="11"/>
  <c r="N34" i="11"/>
  <c r="Y33" i="11"/>
  <c r="U33" i="11"/>
  <c r="Q33" i="11"/>
  <c r="M33" i="11"/>
  <c r="AA32" i="11"/>
  <c r="W32" i="11"/>
  <c r="S32" i="11"/>
  <c r="O32" i="11"/>
  <c r="X31" i="11"/>
  <c r="T31" i="11"/>
  <c r="P31" i="11"/>
  <c r="X30" i="11"/>
  <c r="T30" i="11"/>
  <c r="P30" i="11"/>
  <c r="AC34" i="11"/>
  <c r="M34" i="11"/>
  <c r="AA33" i="11"/>
  <c r="S33" i="11"/>
  <c r="Y32" i="11"/>
  <c r="Q32" i="11"/>
  <c r="V31" i="11"/>
  <c r="Q31" i="11"/>
  <c r="U30" i="11"/>
  <c r="O30" i="11"/>
  <c r="U29" i="11"/>
  <c r="Q29" i="11"/>
  <c r="M29" i="11"/>
  <c r="W28" i="11"/>
  <c r="S28" i="11"/>
  <c r="O28" i="11"/>
  <c r="T27" i="11"/>
  <c r="P27" i="11"/>
  <c r="T26" i="11"/>
  <c r="P26" i="11"/>
  <c r="S25" i="11"/>
  <c r="O25" i="11"/>
  <c r="Q24" i="11"/>
  <c r="M24" i="11"/>
  <c r="R23" i="11"/>
  <c r="N23" i="11"/>
  <c r="N22" i="11"/>
  <c r="M21" i="11"/>
  <c r="Y34" i="11"/>
  <c r="X33" i="11"/>
  <c r="P33" i="11"/>
  <c r="V32" i="11"/>
  <c r="N32" i="11"/>
  <c r="U31" i="11"/>
  <c r="O31" i="11"/>
  <c r="Y30" i="11"/>
  <c r="S30" i="11"/>
  <c r="N30" i="11"/>
  <c r="X29" i="11"/>
  <c r="T29" i="11"/>
  <c r="P29" i="11"/>
  <c r="V28" i="11"/>
  <c r="R28" i="11"/>
  <c r="N28" i="11"/>
  <c r="S27" i="11"/>
  <c r="O27" i="11"/>
  <c r="S26" i="11"/>
  <c r="O26" i="11"/>
  <c r="R25" i="11"/>
  <c r="N25" i="11"/>
  <c r="P24" i="11"/>
  <c r="Q23" i="11"/>
  <c r="M23" i="11"/>
  <c r="Q22" i="11"/>
  <c r="M22" i="11"/>
  <c r="P21" i="11"/>
  <c r="U34" i="11"/>
  <c r="W33" i="11"/>
  <c r="O33" i="11"/>
  <c r="U32" i="11"/>
  <c r="M32" i="11"/>
  <c r="Z31" i="11"/>
  <c r="S31" i="11"/>
  <c r="N31" i="11"/>
  <c r="W30" i="11"/>
  <c r="R30" i="11"/>
  <c r="M30" i="11"/>
  <c r="W29" i="11"/>
  <c r="S29" i="11"/>
  <c r="O29" i="11"/>
  <c r="U28" i="11"/>
  <c r="Q28" i="11"/>
  <c r="M28" i="11"/>
  <c r="V27" i="11"/>
  <c r="R27" i="11"/>
  <c r="N27" i="11"/>
  <c r="R26" i="11"/>
  <c r="N26" i="11"/>
  <c r="Q25" i="11"/>
  <c r="M25" i="11"/>
  <c r="W31" i="11"/>
  <c r="V30" i="11"/>
  <c r="V29" i="11"/>
  <c r="N24" i="11"/>
  <c r="O22" i="11"/>
  <c r="Q34" i="11"/>
  <c r="Z32" i="11"/>
  <c r="R31" i="11"/>
  <c r="Q30" i="11"/>
  <c r="R29" i="11"/>
  <c r="T28" i="11"/>
  <c r="U27" i="11"/>
  <c r="U26" i="11"/>
  <c r="T25" i="11"/>
  <c r="S24" i="11"/>
  <c r="P23" i="11"/>
  <c r="O21" i="11"/>
  <c r="P28" i="11"/>
  <c r="Q26" i="11"/>
  <c r="R24" i="11"/>
  <c r="O23" i="11"/>
  <c r="AB33" i="11"/>
  <c r="R32" i="11"/>
  <c r="M31" i="11"/>
  <c r="N29" i="11"/>
  <c r="Q27" i="11"/>
  <c r="P25" i="11"/>
  <c r="N21" i="11"/>
  <c r="T33" i="11"/>
  <c r="M27" i="11"/>
  <c r="M26" i="11"/>
  <c r="O24" i="11"/>
  <c r="P22" i="11"/>
  <c r="I10" i="11"/>
  <c r="J10" i="11"/>
  <c r="B8" i="11"/>
  <c r="BU6" i="11"/>
  <c r="BQ6" i="11"/>
  <c r="BM6" i="11"/>
  <c r="BI6" i="11"/>
  <c r="BE6" i="11"/>
  <c r="C12" i="11"/>
  <c r="BR5" i="11"/>
  <c r="BN5" i="11"/>
  <c r="BJ5" i="11"/>
  <c r="BF5" i="11"/>
  <c r="B13" i="11"/>
  <c r="BS4" i="11"/>
  <c r="BO4" i="11"/>
  <c r="BK4" i="11"/>
  <c r="BG4" i="11"/>
  <c r="BT3" i="11"/>
  <c r="BP3" i="11"/>
  <c r="BL3" i="11"/>
  <c r="BH3" i="11"/>
  <c r="BU2" i="11"/>
  <c r="BQ2" i="11"/>
  <c r="BM2" i="11"/>
  <c r="BI2" i="11"/>
  <c r="BE2" i="11"/>
  <c r="BT6" i="11"/>
  <c r="BP6" i="11"/>
  <c r="BL6" i="11"/>
  <c r="BH6" i="11"/>
  <c r="BU5" i="11"/>
  <c r="BQ5" i="11"/>
  <c r="BI5" i="11"/>
  <c r="BE5" i="11"/>
  <c r="E12" i="11"/>
  <c r="BR4" i="11"/>
  <c r="BN4" i="11"/>
  <c r="BJ4" i="11"/>
  <c r="BF4" i="11"/>
  <c r="B7" i="11"/>
  <c r="BS3" i="11"/>
  <c r="BO3" i="11"/>
  <c r="BK3" i="11"/>
  <c r="BT2" i="11"/>
  <c r="BP2" i="11"/>
  <c r="BL2" i="11"/>
  <c r="BH2" i="11"/>
  <c r="BS6" i="11"/>
  <c r="BO6" i="11"/>
  <c r="BK6" i="11"/>
  <c r="BG6" i="11"/>
  <c r="BT5" i="11"/>
  <c r="BP5" i="11"/>
  <c r="BL5" i="11"/>
  <c r="BH5" i="11"/>
  <c r="BU4" i="11"/>
  <c r="BQ4" i="11"/>
  <c r="BM4" i="11"/>
  <c r="BI4" i="11"/>
  <c r="BE4" i="11"/>
  <c r="B5" i="11"/>
  <c r="BR3" i="11"/>
  <c r="BN3" i="11"/>
  <c r="BJ3" i="11"/>
  <c r="BF3" i="11"/>
  <c r="BS2" i="11"/>
  <c r="BO2" i="11"/>
  <c r="BK2" i="11"/>
  <c r="BM5" i="11"/>
  <c r="BG3" i="11"/>
  <c r="BR6" i="11"/>
  <c r="BJ6" i="11"/>
  <c r="BK5" i="11"/>
  <c r="BL4" i="11"/>
  <c r="BM3" i="11"/>
  <c r="BN2" i="11"/>
  <c r="BF6" i="11"/>
  <c r="C13" i="11"/>
  <c r="BG5" i="11"/>
  <c r="BH4" i="11"/>
  <c r="BI3" i="11"/>
  <c r="BJ2" i="11"/>
  <c r="BS5" i="11"/>
  <c r="BT4" i="11"/>
  <c r="BU3" i="11"/>
  <c r="BE3" i="11"/>
  <c r="BG2" i="11"/>
  <c r="BN6" i="11"/>
  <c r="BO5" i="11"/>
  <c r="BP4" i="11"/>
  <c r="BQ3" i="11"/>
  <c r="BR2" i="11"/>
  <c r="BF2" i="11"/>
  <c r="F14" i="4"/>
  <c r="E14" i="4"/>
  <c r="B14" i="4"/>
  <c r="C53" i="11"/>
  <c r="C54" i="11"/>
  <c r="M20" i="11"/>
  <c r="O20" i="11"/>
  <c r="N20" i="11"/>
  <c r="N19" i="11"/>
  <c r="C49" i="11"/>
  <c r="C48" i="11"/>
  <c r="C44" i="11"/>
  <c r="M19" i="11"/>
  <c r="AA52" i="11"/>
  <c r="AA53" i="11"/>
  <c r="C47" i="11"/>
  <c r="C43" i="11"/>
  <c r="AA51" i="11"/>
  <c r="AA49" i="11"/>
  <c r="C45" i="11"/>
  <c r="M18" i="11"/>
  <c r="C52" i="11"/>
  <c r="AA50" i="11"/>
  <c r="C46" i="11"/>
  <c r="C51" i="11"/>
  <c r="C50" i="11"/>
  <c r="I53" i="11"/>
  <c r="I54" i="11"/>
  <c r="D13" i="11"/>
  <c r="C14" i="11"/>
  <c r="B4" i="11"/>
  <c r="B6" i="11"/>
  <c r="BK1" i="11"/>
  <c r="I52" i="11"/>
  <c r="I49" i="11"/>
  <c r="I50" i="11"/>
  <c r="I48" i="11"/>
  <c r="I47" i="11"/>
  <c r="I46" i="11"/>
  <c r="I45" i="11"/>
  <c r="I44" i="11"/>
  <c r="I43" i="11"/>
  <c r="B14" i="11"/>
  <c r="B12" i="11"/>
  <c r="F12" i="11"/>
  <c r="I51" i="11"/>
  <c r="K14" i="4" a="1"/>
  <c r="M18" i="4"/>
  <c r="C14" i="4"/>
  <c r="K22" i="4" a="1"/>
  <c r="J54" i="11"/>
  <c r="K54" i="11"/>
  <c r="K53" i="11"/>
  <c r="J53" i="11"/>
  <c r="D12" i="11"/>
  <c r="K44" i="11"/>
  <c r="J44" i="11"/>
  <c r="K48" i="11"/>
  <c r="J48" i="11"/>
  <c r="K52" i="11"/>
  <c r="J52" i="11"/>
  <c r="K51" i="11"/>
  <c r="J51" i="11"/>
  <c r="K45" i="11"/>
  <c r="J45" i="11"/>
  <c r="B34" i="11"/>
  <c r="A33" i="11"/>
  <c r="L33" i="11"/>
  <c r="C32" i="11"/>
  <c r="A34" i="11"/>
  <c r="L34" i="11"/>
  <c r="B32" i="11"/>
  <c r="C31" i="11"/>
  <c r="A31" i="11"/>
  <c r="L31" i="11"/>
  <c r="A30" i="11"/>
  <c r="L30" i="11"/>
  <c r="B28" i="11"/>
  <c r="C27" i="11"/>
  <c r="C26" i="11"/>
  <c r="B25" i="11"/>
  <c r="A23" i="11"/>
  <c r="L23" i="11"/>
  <c r="A22" i="11"/>
  <c r="L22" i="11"/>
  <c r="B20" i="11"/>
  <c r="BV14" i="11"/>
  <c r="BR14" i="11"/>
  <c r="BN14" i="11"/>
  <c r="BJ14" i="11"/>
  <c r="BF14" i="11"/>
  <c r="C18" i="11"/>
  <c r="BS13" i="11"/>
  <c r="BO13" i="11"/>
  <c r="C33" i="11"/>
  <c r="A32" i="11"/>
  <c r="L32" i="11"/>
  <c r="C29" i="11"/>
  <c r="A28" i="11"/>
  <c r="L28" i="11"/>
  <c r="B27" i="11"/>
  <c r="B26" i="11"/>
  <c r="A25" i="11"/>
  <c r="L25" i="11"/>
  <c r="C24" i="11"/>
  <c r="C21" i="11"/>
  <c r="A20" i="11"/>
  <c r="L20" i="11"/>
  <c r="A17" i="11"/>
  <c r="C34" i="11"/>
  <c r="B33" i="11"/>
  <c r="C30" i="11"/>
  <c r="B29" i="11"/>
  <c r="A27" i="11"/>
  <c r="L27" i="11"/>
  <c r="A26" i="11"/>
  <c r="L26" i="11"/>
  <c r="A29" i="11"/>
  <c r="L29" i="11"/>
  <c r="C28" i="11"/>
  <c r="C25" i="11"/>
  <c r="A24" i="11"/>
  <c r="L24" i="11"/>
  <c r="B22" i="11"/>
  <c r="BU14" i="11"/>
  <c r="BP14" i="11"/>
  <c r="BK14" i="11"/>
  <c r="BE14" i="11"/>
  <c r="C17" i="11"/>
  <c r="BU13" i="11"/>
  <c r="BP13" i="11"/>
  <c r="BK13" i="11"/>
  <c r="BG13" i="11"/>
  <c r="B19" i="11"/>
  <c r="BU12" i="11"/>
  <c r="AC16" i="11"/>
  <c r="BQ12" i="11"/>
  <c r="Y16" i="11"/>
  <c r="BM12" i="11"/>
  <c r="U16" i="11"/>
  <c r="BI12" i="11"/>
  <c r="Q16" i="11"/>
  <c r="C23" i="11"/>
  <c r="B21" i="11"/>
  <c r="BT14" i="11"/>
  <c r="BI14" i="11"/>
  <c r="BT13" i="11"/>
  <c r="BN13" i="11"/>
  <c r="BJ13" i="11"/>
  <c r="BF13" i="11"/>
  <c r="B18" i="11"/>
  <c r="BT12" i="11"/>
  <c r="AB16" i="11"/>
  <c r="BP12" i="11"/>
  <c r="X16" i="11"/>
  <c r="BL12" i="11"/>
  <c r="T16" i="11"/>
  <c r="BH12" i="11"/>
  <c r="P16" i="11"/>
  <c r="A21" i="11"/>
  <c r="L21" i="11"/>
  <c r="BS14" i="11"/>
  <c r="BH14" i="11"/>
  <c r="BR13" i="11"/>
  <c r="BI13" i="11"/>
  <c r="BE13" i="11"/>
  <c r="BS12" i="11"/>
  <c r="AA16" i="11"/>
  <c r="BK12" i="11"/>
  <c r="S16" i="11"/>
  <c r="BO14" i="11"/>
  <c r="B23" i="11"/>
  <c r="C20" i="11"/>
  <c r="BM14" i="11"/>
  <c r="BM13" i="11"/>
  <c r="BO12" i="11"/>
  <c r="W16" i="11"/>
  <c r="B31" i="11"/>
  <c r="B30" i="11"/>
  <c r="B24" i="11"/>
  <c r="C22" i="11"/>
  <c r="BQ14" i="11"/>
  <c r="BL14" i="11"/>
  <c r="BG14" i="11"/>
  <c r="C19" i="11"/>
  <c r="BV13" i="11"/>
  <c r="BQ13" i="11"/>
  <c r="BL13" i="11"/>
  <c r="BH13" i="11"/>
  <c r="BV12" i="11"/>
  <c r="AD16" i="11"/>
  <c r="BR12" i="11"/>
  <c r="Z16" i="11"/>
  <c r="BN12" i="11"/>
  <c r="V16" i="11"/>
  <c r="BJ12" i="11"/>
  <c r="R16" i="11"/>
  <c r="K46" i="11"/>
  <c r="J46" i="11"/>
  <c r="K50" i="11"/>
  <c r="J50" i="11"/>
  <c r="K43" i="11"/>
  <c r="J43" i="11"/>
  <c r="K47" i="11"/>
  <c r="J47" i="11"/>
  <c r="J49" i="11"/>
  <c r="K49" i="11"/>
  <c r="L15" i="4"/>
  <c r="M16" i="4"/>
  <c r="K18" i="4"/>
  <c r="L14" i="4"/>
  <c r="K14" i="4"/>
  <c r="M15" i="4"/>
  <c r="K17" i="4"/>
  <c r="L18" i="4"/>
  <c r="K15" i="4"/>
  <c r="L16" i="4"/>
  <c r="M17" i="4"/>
  <c r="M14" i="4"/>
  <c r="K16" i="4"/>
  <c r="L17" i="4"/>
  <c r="M26" i="4"/>
  <c r="L26" i="4"/>
  <c r="K26" i="4"/>
  <c r="M25" i="4"/>
  <c r="L25" i="4"/>
  <c r="K25" i="4"/>
  <c r="M24" i="4"/>
  <c r="L24" i="4"/>
  <c r="K24" i="4"/>
  <c r="M23" i="4"/>
  <c r="L23" i="4"/>
  <c r="K23" i="4"/>
  <c r="M22" i="4"/>
  <c r="L22" i="4"/>
  <c r="K22" i="4"/>
  <c r="BG12" i="11"/>
  <c r="BF12" i="11"/>
  <c r="B17" i="11"/>
  <c r="D17" i="11"/>
  <c r="E17" i="11"/>
  <c r="N16" i="11"/>
  <c r="A18" i="11"/>
  <c r="L18" i="11"/>
  <c r="O16" i="11"/>
  <c r="A19" i="11"/>
  <c r="L19" i="11"/>
  <c r="D21" i="11"/>
  <c r="E21" i="11"/>
  <c r="J21" i="11"/>
  <c r="J26" i="11"/>
  <c r="D26" i="11"/>
  <c r="E26" i="11"/>
  <c r="G45" i="4"/>
  <c r="J27" i="11"/>
  <c r="D27" i="11"/>
  <c r="E27" i="11"/>
  <c r="D23" i="11"/>
  <c r="E23" i="11"/>
  <c r="J23" i="11"/>
  <c r="D18" i="11"/>
  <c r="E18" i="11"/>
  <c r="J28" i="11"/>
  <c r="D28" i="11"/>
  <c r="E28" i="11"/>
  <c r="J32" i="11"/>
  <c r="D32" i="11"/>
  <c r="E32" i="11"/>
  <c r="J34" i="11"/>
  <c r="D34" i="11"/>
  <c r="E34" i="11"/>
  <c r="D30" i="11"/>
  <c r="E30" i="11"/>
  <c r="J30" i="11"/>
  <c r="J20" i="11"/>
  <c r="D20" i="11"/>
  <c r="E20" i="11"/>
  <c r="J31" i="11"/>
  <c r="D31" i="11"/>
  <c r="E31" i="11"/>
  <c r="D29" i="11"/>
  <c r="E29" i="11"/>
  <c r="J29" i="11"/>
  <c r="J17" i="11"/>
  <c r="D22" i="11"/>
  <c r="E22" i="11"/>
  <c r="J22" i="11"/>
  <c r="G24" i="4"/>
  <c r="D24" i="11"/>
  <c r="E24" i="11"/>
  <c r="J24" i="11"/>
  <c r="D33" i="11"/>
  <c r="E33" i="11"/>
  <c r="J33" i="11"/>
  <c r="D19" i="11"/>
  <c r="E19" i="11"/>
  <c r="J25" i="11"/>
  <c r="D25" i="11"/>
  <c r="E25" i="11"/>
  <c r="G29" i="4"/>
  <c r="G40" i="4"/>
  <c r="G18" i="4"/>
  <c r="G14" i="4"/>
  <c r="G34" i="4"/>
  <c r="G49" i="4"/>
  <c r="G25" i="4"/>
  <c r="G41" i="4"/>
  <c r="G16" i="4"/>
  <c r="G21" i="4"/>
  <c r="G26" i="4"/>
  <c r="G32" i="4"/>
  <c r="G37" i="4"/>
  <c r="G42" i="4"/>
  <c r="G48" i="4"/>
  <c r="G20" i="4"/>
  <c r="G30" i="4"/>
  <c r="G36" i="4"/>
  <c r="G46" i="4"/>
  <c r="G17" i="4"/>
  <c r="G22" i="4"/>
  <c r="G28" i="4"/>
  <c r="G33" i="4"/>
  <c r="G38" i="4"/>
  <c r="G44" i="4"/>
  <c r="G15" i="4"/>
  <c r="G19" i="4"/>
  <c r="G23" i="4"/>
  <c r="G27" i="4"/>
  <c r="G31" i="4"/>
  <c r="G35" i="4"/>
  <c r="G39" i="4"/>
  <c r="G43" i="4"/>
  <c r="G47" i="4"/>
  <c r="H25" i="4"/>
  <c r="H24" i="4"/>
  <c r="H23" i="4"/>
  <c r="H22" i="4"/>
  <c r="H21" i="4"/>
  <c r="H20" i="4"/>
  <c r="H19" i="4"/>
  <c r="H18" i="4"/>
  <c r="H17" i="4"/>
  <c r="H16" i="4"/>
  <c r="H15" i="4"/>
  <c r="H14" i="4"/>
  <c r="G61" i="9"/>
  <c r="D53" i="11"/>
  <c r="D54" i="11"/>
  <c r="D49" i="11"/>
  <c r="AB51" i="11"/>
  <c r="D46" i="11"/>
  <c r="AB52" i="11"/>
  <c r="AB53" i="11"/>
  <c r="D51" i="11"/>
  <c r="D45" i="11"/>
  <c r="D52" i="11"/>
  <c r="AB50" i="11"/>
  <c r="D48" i="11"/>
  <c r="D44" i="11"/>
  <c r="AB49" i="11"/>
  <c r="D50" i="11"/>
  <c r="D47" i="11"/>
  <c r="D43" i="11"/>
  <c r="J18" i="11"/>
  <c r="E54" i="11"/>
  <c r="G54" i="11"/>
  <c r="E53" i="11"/>
  <c r="G53" i="11"/>
  <c r="J19" i="11"/>
  <c r="I12" i="11"/>
  <c r="I13" i="11"/>
  <c r="I14" i="11"/>
  <c r="D41" i="11"/>
  <c r="E43" i="11"/>
  <c r="E47" i="11"/>
  <c r="G47" i="11"/>
  <c r="E50" i="11"/>
  <c r="G50" i="11"/>
  <c r="AC49" i="11"/>
  <c r="E44" i="11"/>
  <c r="G44" i="11"/>
  <c r="E48" i="11"/>
  <c r="G48" i="11"/>
  <c r="AC50" i="11"/>
  <c r="E52" i="11"/>
  <c r="G52" i="11"/>
  <c r="E45" i="11"/>
  <c r="G45" i="11"/>
  <c r="E51" i="11"/>
  <c r="G51" i="11"/>
  <c r="AC53" i="11"/>
  <c r="AC52" i="11"/>
  <c r="E46" i="11"/>
  <c r="G46" i="11"/>
  <c r="AC51" i="11"/>
  <c r="E49" i="11"/>
  <c r="G49" i="11"/>
  <c r="C41" i="11"/>
  <c r="B36" i="11"/>
  <c r="L53" i="11"/>
  <c r="L54" i="11"/>
  <c r="L47" i="11"/>
  <c r="L43" i="11"/>
  <c r="L49" i="11"/>
  <c r="L48" i="11"/>
  <c r="L44" i="11"/>
  <c r="L46" i="11"/>
  <c r="L52" i="11"/>
  <c r="L50" i="11"/>
  <c r="L51" i="11"/>
  <c r="L45" i="11"/>
  <c r="W79" i="11"/>
  <c r="W77" i="11"/>
  <c r="W75" i="11"/>
  <c r="G43" i="11"/>
  <c r="W78" i="11"/>
  <c r="W76" i="11"/>
  <c r="W74" i="11"/>
  <c r="O43" i="11"/>
  <c r="M50" i="11"/>
  <c r="W80" i="11"/>
  <c r="P56" i="11"/>
  <c r="R56" i="11"/>
  <c r="M54" i="11"/>
  <c r="M53" i="11"/>
  <c r="M51" i="11"/>
  <c r="M44" i="11"/>
  <c r="M47" i="11"/>
  <c r="M48" i="11"/>
  <c r="M52" i="11"/>
  <c r="M49" i="11"/>
  <c r="M45" i="11"/>
  <c r="M46" i="11"/>
  <c r="O44" i="11"/>
  <c r="O45" i="11"/>
  <c r="P44" i="11"/>
  <c r="P43" i="11"/>
  <c r="R43" i="11"/>
  <c r="S43" i="11"/>
  <c r="T43" i="11"/>
  <c r="U43" i="11"/>
  <c r="X74" i="11"/>
  <c r="X75" i="11"/>
  <c r="X76" i="11"/>
  <c r="X77" i="11"/>
  <c r="X78" i="11"/>
  <c r="O46" i="11"/>
  <c r="Q43" i="11"/>
  <c r="R44" i="11"/>
  <c r="S44" i="11"/>
  <c r="T44" i="11"/>
  <c r="U44" i="11"/>
  <c r="Q44" i="11"/>
  <c r="O47" i="11"/>
  <c r="P46" i="11"/>
  <c r="P45" i="11"/>
  <c r="R45" i="11"/>
  <c r="S45" i="11"/>
  <c r="T45" i="11"/>
  <c r="U45" i="11"/>
  <c r="O48" i="11"/>
  <c r="P47" i="11"/>
  <c r="Q45" i="11"/>
  <c r="O49" i="11"/>
  <c r="P48" i="11"/>
  <c r="R46" i="11"/>
  <c r="S46" i="11"/>
  <c r="T46" i="11"/>
  <c r="U46" i="11"/>
  <c r="Q46" i="11"/>
  <c r="R47" i="11"/>
  <c r="S47" i="11"/>
  <c r="T47" i="11"/>
  <c r="U47" i="11"/>
  <c r="Q47" i="11"/>
  <c r="O50" i="11"/>
  <c r="P49" i="11"/>
  <c r="O51" i="11"/>
  <c r="P50" i="11"/>
  <c r="R48" i="11"/>
  <c r="S48" i="11"/>
  <c r="T48" i="11"/>
  <c r="U48" i="11"/>
  <c r="Q48" i="11"/>
  <c r="O52" i="11"/>
  <c r="P51" i="11"/>
  <c r="R49" i="11"/>
  <c r="S49" i="11"/>
  <c r="T49" i="11"/>
  <c r="U49" i="11"/>
  <c r="Q49" i="11"/>
  <c r="O53" i="11"/>
  <c r="P52" i="11"/>
  <c r="R50" i="11"/>
  <c r="S50" i="11"/>
  <c r="T50" i="11"/>
  <c r="U50" i="11"/>
  <c r="Q50" i="11"/>
  <c r="R51" i="11"/>
  <c r="S51" i="11"/>
  <c r="T51" i="11"/>
  <c r="U51" i="11"/>
  <c r="Q51" i="11"/>
  <c r="O54" i="11"/>
  <c r="P53" i="11"/>
  <c r="R52" i="11"/>
  <c r="S52" i="11"/>
  <c r="T52" i="11"/>
  <c r="U52" i="11"/>
  <c r="Q52" i="11"/>
  <c r="O55" i="11"/>
  <c r="P54" i="11"/>
  <c r="O56" i="11"/>
  <c r="R53" i="11"/>
  <c r="S53" i="11"/>
  <c r="T53" i="11"/>
  <c r="U53" i="11"/>
  <c r="Q53" i="11"/>
  <c r="P55" i="11"/>
  <c r="O38" i="11"/>
  <c r="R54" i="11"/>
  <c r="S54" i="11"/>
  <c r="T54" i="11"/>
  <c r="U54" i="11"/>
  <c r="Q54" i="11"/>
  <c r="Q56" i="11"/>
  <c r="R55" i="11"/>
  <c r="Q55" i="11"/>
  <c r="S55" i="11"/>
  <c r="T55" i="11"/>
  <c r="U55" i="11"/>
  <c r="S56" i="11"/>
  <c r="T56" i="11"/>
  <c r="U56" i="11"/>
</calcChain>
</file>

<file path=xl/comments1.xml><?xml version="1.0" encoding="utf-8"?>
<comments xmlns="http://schemas.openxmlformats.org/spreadsheetml/2006/main">
  <authors>
    <author/>
  </authors>
  <commentList>
    <comment ref="M3" authorId="0">
      <text>
        <r>
          <rPr>
            <b/>
            <sz val="9"/>
            <color indexed="9"/>
            <rFont val="Tahoma"/>
            <family val="2"/>
          </rPr>
          <t xml:space="preserve">Andrew M. Ross:
</t>
        </r>
        <r>
          <rPr>
            <sz val="9"/>
            <color indexed="9"/>
            <rFont val="Tahoma"/>
            <family val="2"/>
          </rPr>
          <t>this cell tries to count how many cells below the designated starting point have numbers in them, assuming that nothing else is in that column below the starting point. If it fails, feel free to just type a row number here.</t>
        </r>
      </text>
    </comment>
    <comment ref="I4" authorId="0">
      <text>
        <r>
          <rPr>
            <b/>
            <sz val="9"/>
            <color indexed="9"/>
            <rFont val="Tahoma"/>
            <family val="2"/>
          </rPr>
          <t xml:space="preserve">Andrew M. Ross:
</t>
        </r>
        <r>
          <rPr>
            <sz val="9"/>
            <color indexed="9"/>
            <rFont val="Tahoma"/>
            <family val="2"/>
          </rPr>
          <t>This cell defaults to be the same as the Y variable sheet name, but can easily be changed.</t>
        </r>
      </text>
    </comment>
    <comment ref="L4" authorId="0">
      <text>
        <r>
          <rPr>
            <b/>
            <sz val="9"/>
            <color indexed="9"/>
            <rFont val="Tahoma"/>
            <family val="2"/>
          </rPr>
          <t xml:space="preserve">Andrew M. Ross:
</t>
        </r>
        <r>
          <rPr>
            <sz val="9"/>
            <color indexed="9"/>
            <rFont val="Tahoma"/>
            <family val="2"/>
          </rPr>
          <t>This cell defaults to be the same as the Y variable start row, but can easily be changed.</t>
        </r>
      </text>
    </comment>
    <comment ref="M4" authorId="0">
      <text>
        <r>
          <rPr>
            <b/>
            <sz val="9"/>
            <color indexed="9"/>
            <rFont val="Tahoma"/>
            <family val="2"/>
          </rPr>
          <t xml:space="preserve">Andrew M. Ross:
</t>
        </r>
        <r>
          <rPr>
            <sz val="9"/>
            <color indexed="9"/>
            <rFont val="Tahoma"/>
            <family val="2"/>
          </rPr>
          <t>This cell defaults to be the X start row# plus the # of rows specified for Y, but can easily be changed.</t>
        </r>
      </text>
    </comment>
    <comment ref="BA5" authorId="0">
      <text>
        <r>
          <rPr>
            <sz val="11"/>
            <color indexed="81"/>
            <rFont val="Calibri"/>
            <family val="2"/>
          </rPr>
          <t>Andrew M. Ross:
location of start of X labels. You may change it if you want. Defaults to 1 row above X data.</t>
        </r>
      </text>
    </comment>
    <comment ref="BA6" authorId="0">
      <text>
        <r>
          <rPr>
            <b/>
            <sz val="9"/>
            <color indexed="81"/>
            <rFont val="Tahoma"/>
            <family val="2"/>
          </rPr>
          <t xml:space="preserve">Andrew M. Ross:
</t>
        </r>
        <r>
          <rPr>
            <sz val="9"/>
            <color indexed="81"/>
            <rFont val="Tahoma"/>
            <family val="2"/>
          </rPr>
          <t>location of Y label. You may change it if you want. Defaults to 1 row above Y data.</t>
        </r>
      </text>
    </comment>
    <comment ref="I10" authorId="0">
      <text>
        <r>
          <rPr>
            <b/>
            <sz val="9"/>
            <color indexed="9"/>
            <rFont val="Tahoma"/>
            <family val="2"/>
          </rPr>
          <t xml:space="preserve">Andrew M. Ross:
</t>
        </r>
        <r>
          <rPr>
            <sz val="9"/>
            <color indexed="9"/>
            <rFont val="Tahoma"/>
            <family val="2"/>
          </rPr>
          <t>error code cell to make it easy to color-code when there's danger.</t>
        </r>
      </text>
    </comment>
    <comment ref="I13" authorId="0">
      <text>
        <r>
          <rPr>
            <b/>
            <sz val="9"/>
            <color indexed="9"/>
            <rFont val="Tahoma"/>
            <family val="2"/>
          </rPr>
          <t xml:space="preserve">Andrew M. Ross:
</t>
        </r>
        <r>
          <rPr>
            <sz val="9"/>
            <color indexed="9"/>
            <rFont val="Tahoma"/>
            <family val="2"/>
          </rPr>
          <t>error code cell to make it easy to color-code when there's danger.</t>
        </r>
      </text>
    </comment>
    <comment ref="AI36" authorId="0">
      <text>
        <r>
          <rPr>
            <b/>
            <sz val="9"/>
            <color indexed="9"/>
            <rFont val="Tahoma"/>
            <family val="2"/>
          </rPr>
          <t xml:space="preserve">Andrew M. Ross:
</t>
        </r>
        <r>
          <rPr>
            <sz val="9"/>
            <color indexed="9"/>
            <rFont val="Tahoma"/>
            <family val="2"/>
          </rPr>
          <t>location of start of Y
label. You may change it if you want. Defaults to 1 row above Y data.</t>
        </r>
      </text>
    </comment>
    <comment ref="AI37" authorId="0">
      <text>
        <r>
          <rPr>
            <b/>
            <sz val="9"/>
            <color indexed="9"/>
            <rFont val="Tahoma"/>
            <family val="2"/>
          </rPr>
          <t xml:space="preserve">Andrew M. Ross:
</t>
        </r>
        <r>
          <rPr>
            <sz val="9"/>
            <color indexed="9"/>
            <rFont val="Tahoma"/>
            <family val="2"/>
          </rPr>
          <t>location of start of X labels. You may change it if you want. Defaults to 1 row above X data.</t>
        </r>
      </text>
    </comment>
    <comment ref="C41" authorId="0">
      <text>
        <r>
          <rPr>
            <b/>
            <sz val="9"/>
            <color indexed="9"/>
            <rFont val="Tahoma"/>
            <family val="2"/>
          </rPr>
          <t xml:space="preserve">Andrew M. Ross:
</t>
        </r>
        <r>
          <rPr>
            <sz val="9"/>
            <color indexed="9"/>
            <rFont val="Tahoma"/>
            <family val="2"/>
          </rPr>
          <t>error code cell to make it easy to color-code when there's danger.</t>
        </r>
      </text>
    </comment>
    <comment ref="K42" authorId="0">
      <text>
        <r>
          <rPr>
            <b/>
            <sz val="9"/>
            <color indexed="9"/>
            <rFont val="Tahoma"/>
            <family val="2"/>
          </rPr>
          <t xml:space="preserve">Andrew M. Ross:
</t>
        </r>
        <r>
          <rPr>
            <sz val="9"/>
            <color indexed="9"/>
            <rFont val="Tahoma"/>
            <family val="2"/>
          </rPr>
          <t>remember that different books and software packages use different methods to compute these, and get slightly different values. It's not hing to worry about.</t>
        </r>
      </text>
    </comment>
    <comment ref="M42" authorId="0">
      <text>
        <r>
          <rPr>
            <b/>
            <sz val="9"/>
            <color indexed="9"/>
            <rFont val="Tahoma"/>
            <family val="2"/>
          </rPr>
          <t xml:space="preserve">Andrew M. Ross:
</t>
        </r>
        <r>
          <rPr>
            <sz val="9"/>
            <color indexed="9"/>
            <rFont val="Tahoma"/>
            <family val="2"/>
          </rPr>
          <t>count for dotplot</t>
        </r>
      </text>
    </comment>
    <comment ref="AA43" authorId="0">
      <text>
        <r>
          <rPr>
            <b/>
            <sz val="9"/>
            <color indexed="9"/>
            <rFont val="Tahoma"/>
            <family val="2"/>
          </rPr>
          <t xml:space="preserve">Andrew M. Ross:
</t>
        </r>
        <r>
          <rPr>
            <sz val="9"/>
            <color indexed="9"/>
            <rFont val="Tahoma"/>
            <family val="2"/>
          </rPr>
          <t>This cell defaults to be the same as the Y variable sheet name, but can easily be changed.</t>
        </r>
      </text>
    </comment>
    <comment ref="AD43" authorId="0">
      <text>
        <r>
          <rPr>
            <b/>
            <sz val="9"/>
            <color indexed="9"/>
            <rFont val="Tahoma"/>
            <family val="2"/>
          </rPr>
          <t xml:space="preserve">Andrew M. Ross:
</t>
        </r>
        <r>
          <rPr>
            <sz val="9"/>
            <color indexed="9"/>
            <rFont val="Tahoma"/>
            <family val="2"/>
          </rPr>
          <t>This cell defaults to be the same as the Y variable start row, but can easily be changed.</t>
        </r>
      </text>
    </comment>
    <comment ref="AE43" authorId="0">
      <text>
        <r>
          <rPr>
            <b/>
            <sz val="9"/>
            <color indexed="9"/>
            <rFont val="Tahoma"/>
            <family val="2"/>
          </rPr>
          <t xml:space="preserve">Andrew M. Ross:
</t>
        </r>
        <r>
          <rPr>
            <sz val="9"/>
            <color indexed="9"/>
            <rFont val="Tahoma"/>
            <family val="2"/>
          </rPr>
          <t>This cell defaults to be the X start row# plus the # of rows specified for Y, but can easily be changed.</t>
        </r>
      </text>
    </comment>
  </commentList>
</comments>
</file>

<file path=xl/sharedStrings.xml><?xml version="1.0" encoding="utf-8"?>
<sst xmlns="http://schemas.openxmlformats.org/spreadsheetml/2006/main" count="652" uniqueCount="358">
  <si>
    <t>Problem 1.</t>
  </si>
  <si>
    <t>U.S. Births by Month, 1995-2002</t>
  </si>
  <si>
    <t xml:space="preserve">  </t>
  </si>
  <si>
    <t xml:space="preserve">Total Births </t>
  </si>
  <si>
    <t>Avg. per Day</t>
  </si>
  <si>
    <t xml:space="preserve">January </t>
  </si>
  <si>
    <t xml:space="preserve">February </t>
  </si>
  <si>
    <t xml:space="preserve">March </t>
  </si>
  <si>
    <t xml:space="preserve">April </t>
  </si>
  <si>
    <t xml:space="preserve">May </t>
  </si>
  <si>
    <t xml:space="preserve">June </t>
  </si>
  <si>
    <t xml:space="preserve">July </t>
  </si>
  <si>
    <t xml:space="preserve">August </t>
  </si>
  <si>
    <t xml:space="preserve">September </t>
  </si>
  <si>
    <t xml:space="preserve">October </t>
  </si>
  <si>
    <t xml:space="preserve">November </t>
  </si>
  <si>
    <t xml:space="preserve">December </t>
  </si>
  <si>
    <t xml:space="preserve">1995-2002 Total </t>
  </si>
  <si>
    <t>Calculated from National Center for Health Statistics data</t>
  </si>
  <si>
    <t>U.S. Deaths by Month, 1995-2002</t>
  </si>
  <si>
    <t xml:space="preserve">Total Deaths </t>
  </si>
  <si>
    <t>t</t>
  </si>
  <si>
    <t>http://abcnews.go.com/Health/Science/story?id=990641</t>
  </si>
  <si>
    <t>Tables: Births and Deaths by Month, 1995-2002</t>
  </si>
  <si>
    <t>Post a Comment</t>
  </si>
  <si>
    <t>By MICHAEL S. JAMES</t>
  </si>
  <si>
    <t>Aug. 16, 2005</t>
  </si>
  <si>
    <t>Federal statistics show regular seasonal patterns for births and deaths in the United States: Births tend to peak in August and September, just as deaths hit their nadir.</t>
  </si>
  <si>
    <t>Experts who have studied the trends don't agree on a cause for the fluctuating birth rate -- but most suggest factors including climate, biology and cultural traditions.</t>
  </si>
  <si>
    <t>Death rates are believed to fluctuate according to the flu season. When flu is common, the elderly and ill are vulnerable, U.S. government demographers say.</t>
  </si>
  <si>
    <t>Below are charts demonstrating the seasonal fluctuations in births and deaths over the period from 1995-2002.</t>
  </si>
  <si>
    <t>Here is the birth rate (per day) for each month of the year, in the US.</t>
  </si>
  <si>
    <t>Fit a sum of offset, sine, and cosine to it.</t>
  </si>
  <si>
    <t>In your Word file, give:</t>
  </si>
  <si>
    <t>i) a graph of the original data (points with no connecting lines) and</t>
  </si>
  <si>
    <t>the fitted curve (straight connecting lines with no points)</t>
  </si>
  <si>
    <t>ii) a graph of the residuals (points with straight connecting lines)</t>
  </si>
  <si>
    <t>iv) At what time point does the fitted curve hit its maximum?  Give it in months, like t=6.13</t>
  </si>
  <si>
    <t>v) What is the relative amplitude (R.A.) of the fitted curve? RA = amplitude / vertical offset,</t>
  </si>
  <si>
    <t>expressed in percent (e.g. 23%)</t>
  </si>
  <si>
    <t>The original data, from an ABC News article, is included far below on this sheet,</t>
  </si>
  <si>
    <t>but you don't need to actually work with it for this assignment.</t>
  </si>
  <si>
    <t>t(months)</t>
  </si>
  <si>
    <t>iii) The resulting equation, like this: f(t) = 10500+50*sin(2*pi()*t/12) + 35*cos(etc)</t>
  </si>
  <si>
    <t>offset</t>
  </si>
  <si>
    <t>sin</t>
  </si>
  <si>
    <t>cos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</si>
  <si>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</si>
  <si>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</si>
  <si>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</si>
  <si>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</si>
  <si>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</si>
  <si>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</si>
  <si>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</si>
  <si>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</si>
  <si>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</si>
  <si>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</si>
  <si>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</si>
  <si>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</si>
  <si>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</si>
  <si>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</si>
  <si>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</si>
  <si>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</si>
  <si>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</si>
  <si>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</si>
  <si>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</si>
  <si>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</si>
  <si>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</si>
  <si>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</si>
  <si>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</si>
  <si>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</si>
  <si>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</si>
  <si>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</si>
  <si>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Avg. per Day</t>
  </si>
  <si>
    <t>Residuals</t>
  </si>
  <si>
    <t>amp</t>
  </si>
  <si>
    <t>RA</t>
  </si>
  <si>
    <t>range</t>
  </si>
  <si>
    <t>mean</t>
  </si>
  <si>
    <t>Month</t>
  </si>
  <si>
    <t>Avg.</t>
  </si>
  <si>
    <t>High</t>
  </si>
  <si>
    <t>Low</t>
  </si>
  <si>
    <t>Precip</t>
  </si>
  <si>
    <t>Record</t>
  </si>
  <si>
    <t>Jan</t>
  </si>
  <si>
    <t>Feb</t>
  </si>
  <si>
    <t>Mar</t>
  </si>
  <si>
    <t>Apr</t>
  </si>
  <si>
    <t>May</t>
  </si>
  <si>
    <t>Jun</t>
  </si>
  <si>
    <t>Jul</t>
  </si>
  <si>
    <t>Aug</t>
  </si>
  <si>
    <t>Sep</t>
  </si>
  <si>
    <t>Oct</t>
  </si>
  <si>
    <t>Nov</t>
  </si>
  <si>
    <t>Dec</t>
  </si>
  <si>
    <t>all temperatures in degrees Fahrenheit</t>
  </si>
  <si>
    <t>Precip (inches)</t>
  </si>
  <si>
    <t>http://www.weather.com/outlook/recreation/ski/wxclimatology/monthly/48197</t>
  </si>
  <si>
    <t>2.89 in.</t>
  </si>
  <si>
    <t>2.52 in.</t>
  </si>
  <si>
    <t>2.98 in.</t>
  </si>
  <si>
    <t>1.05 in.</t>
  </si>
  <si>
    <t>0.33 in.</t>
  </si>
  <si>
    <t>0.11 in.</t>
  </si>
  <si>
    <t>0.06 in.</t>
  </si>
  <si>
    <t>0.10 in.</t>
  </si>
  <si>
    <t>0.29 in.</t>
  </si>
  <si>
    <t>0.58 in.</t>
  </si>
  <si>
    <t>1.32 in.</t>
  </si>
  <si>
    <t>1.52 in.</t>
  </si>
  <si>
    <t>http://www.weather.com/outlook/recreation/ski/wxclimatology/monthly/92115</t>
  </si>
  <si>
    <t xml:space="preserve">Ypsilanti, MI </t>
  </si>
  <si>
    <t>San Diego, CA</t>
  </si>
  <si>
    <t>90 (1971)</t>
  </si>
  <si>
    <t>26 (1949)</t>
  </si>
  <si>
    <t>92 (2002)</t>
  </si>
  <si>
    <t>31 (1953)</t>
  </si>
  <si>
    <t>96 (1988)</t>
  </si>
  <si>
    <t>34 (1966)</t>
  </si>
  <si>
    <t>105 (1989)</t>
  </si>
  <si>
    <t>31 (1986)</t>
  </si>
  <si>
    <t>100 (2004)</t>
  </si>
  <si>
    <t>41 (1979)</t>
  </si>
  <si>
    <t>103 (1990)</t>
  </si>
  <si>
    <t>47 (1988)</t>
  </si>
  <si>
    <t>106 (1985)</t>
  </si>
  <si>
    <t>47 (1948)</t>
  </si>
  <si>
    <t>106 (1969)</t>
  </si>
  <si>
    <t>49 (1948)</t>
  </si>
  <si>
    <t>109 (1988)</t>
  </si>
  <si>
    <t>45 (1971)</t>
  </si>
  <si>
    <t>105 (1987)</t>
  </si>
  <si>
    <t>30 (1971)</t>
  </si>
  <si>
    <t>99 (2005)</t>
  </si>
  <si>
    <t>91 (1979)</t>
  </si>
  <si>
    <t>29 (1978)</t>
  </si>
  <si>
    <t>69 (1950)</t>
  </si>
  <si>
    <t>-20 (1994)</t>
  </si>
  <si>
    <t>69 (1999)</t>
  </si>
  <si>
    <t>-11 (2007)</t>
  </si>
  <si>
    <t>82 (2007)</t>
  </si>
  <si>
    <t>-6 (2003)</t>
  </si>
  <si>
    <t>87 (1990)</t>
  </si>
  <si>
    <t>10 (1982)</t>
  </si>
  <si>
    <t>96 (2006)</t>
  </si>
  <si>
    <t>28 (1978)</t>
  </si>
  <si>
    <t>102 (1988)</t>
  </si>
  <si>
    <t>38 (1980)</t>
  </si>
  <si>
    <t>100 (1988)</t>
  </si>
  <si>
    <t>38 (2007)</t>
  </si>
  <si>
    <t>99 (2001)</t>
  </si>
  <si>
    <t>38 (1986)</t>
  </si>
  <si>
    <t>96 (1978)</t>
  </si>
  <si>
    <t>33 (1993)</t>
  </si>
  <si>
    <t>90 (2007)</t>
  </si>
  <si>
    <t>21 (1976)</t>
  </si>
  <si>
    <t>75 (1975)</t>
  </si>
  <si>
    <t>6 (1949)</t>
  </si>
  <si>
    <t>68 (1998)</t>
  </si>
  <si>
    <t>-10 (1983)</t>
  </si>
  <si>
    <t>Here is the average high temp. for each month of the year, in Ypsilanti, MI.</t>
  </si>
  <si>
    <t>iii) The resulting equation, like this: f(t) = 40.8+7.1*sin(2*pi()*t/12) + 0.35*cos(etc)</t>
  </si>
  <si>
    <t>The original data, from weather.com, is included far far below,</t>
  </si>
  <si>
    <t>v) (optional--just if you're curious) Repeat for the Avg. Low--is the peak at the same time of year?  Is the amplitude the same?</t>
  </si>
  <si>
    <t>Original data, no need to use it in this assignment.  Just included here for fun.</t>
  </si>
  <si>
    <t>High (F)</t>
  </si>
  <si>
    <t>t (months)</t>
  </si>
  <si>
    <t>ii) a graph of the residuals (points with straight connecting lines); comment on remaining patterns, if any.</t>
  </si>
  <si>
    <t>Problem 2.</t>
  </si>
  <si>
    <t>Using the same data set as before,</t>
  </si>
  <si>
    <t>Fit a sum of offset, sine, and cosine, AND twice-a-year sine and twice-a-year cosine waves.</t>
  </si>
  <si>
    <t>iii) The resulting equation, like this: f(t) = 40.8+7.1*sin(2*pi()*t/12) + 0.35*cos(etc) + etc + etc</t>
  </si>
  <si>
    <t xml:space="preserve">v) THE BIG POINT: are the coefficients on the once-a-year terms the same as they were in Problem 1? </t>
  </si>
  <si>
    <t>vi) are the twice-a-year waves statistically significant?  Look at the P-value column of the regression.  If it's below 0.05, then it's stat.sig.</t>
  </si>
  <si>
    <t>There's no simple closed-form way to find it, you'll just have to experiment with different values.</t>
  </si>
  <si>
    <t>iv) At what time point does the FITTED curve (not the data) hit its maximum?  Give it in months, like t=6.137</t>
  </si>
  <si>
    <t>Problem 3.</t>
  </si>
  <si>
    <t>Here are the residuals you should have obtained in Problem 1 (not Problem 2).</t>
  </si>
  <si>
    <t>i) a graph of these data (points with no connecting lines) and</t>
  </si>
  <si>
    <t>iv) Comment on the resulting offset.</t>
  </si>
  <si>
    <t>v) Comment on the coefficients for the once-a-year waves.</t>
  </si>
  <si>
    <t>vi) Comment on the coefficients for the twice-a-year waves.</t>
  </si>
  <si>
    <t>Problem 1 Residuals</t>
  </si>
  <si>
    <t>ii) a graph of the NEW residuals (points with straight connecting lines); comment on remaining patterns, if any. Are they similar to the residuals in Problem 2.</t>
  </si>
  <si>
    <t>Problem 4.</t>
  </si>
  <si>
    <t>Here is some artificial month-by-month data for 3 years, and the monthly averages off to the side.</t>
  </si>
  <si>
    <t>I've already plotted the 3-year series and fit an offset/sine/cosine to them,</t>
  </si>
  <si>
    <t>and similarly I've plotted the monthly averages and fit an offset/sine/cosine to them.</t>
  </si>
  <si>
    <t>i) What do you notice about the coefficients of the two fits? Hit F9 to refresh the data a few times.</t>
  </si>
  <si>
    <t>ii) What do you notice about the R^2 values for the two fits? Hit F9 to refresh the data a few times.</t>
  </si>
  <si>
    <t>iii) What conclusion can you make about what happens when you average before fitting a wave?</t>
  </si>
  <si>
    <t>iv) Should you average before fitting a wave? Explain.</t>
  </si>
  <si>
    <t>value</t>
  </si>
  <si>
    <t>month.avg.</t>
  </si>
  <si>
    <t>sine</t>
  </si>
  <si>
    <t>cosine</t>
  </si>
  <si>
    <t>monthly avg regression:</t>
  </si>
  <si>
    <t>3-year regression:</t>
  </si>
  <si>
    <t>R^2 value in Red</t>
  </si>
  <si>
    <t>coefficients on this row</t>
  </si>
  <si>
    <t>pred.value</t>
  </si>
  <si>
    <t>pred.avg</t>
  </si>
  <si>
    <t>v) (optional) Can you explain why the coefficients for the 3-year and the monthly average relate to each other that way?</t>
  </si>
  <si>
    <t>Problem 5.</t>
  </si>
  <si>
    <t>i) Graph it</t>
  </si>
  <si>
    <t>iii) Plot the predicted values on top of the original function</t>
  </si>
  <si>
    <t>iv) Plot the residuals on their own plot, and comment on any remaining patterns.</t>
  </si>
  <si>
    <t>noise size</t>
  </si>
  <si>
    <t>true values:</t>
  </si>
  <si>
    <t>I'm not sure I trust it all that much, actually.</t>
  </si>
  <si>
    <t>10840.72+-242*sin(2*pi*t/12)+-317.346*cos(2*pi*t/12)</t>
  </si>
  <si>
    <t>Wolfram Alpha gives</t>
  </si>
  <si>
    <t>(-4.75573) + 12 = 7.24427</t>
  </si>
  <si>
    <t>as the time of the max.</t>
  </si>
  <si>
    <t>ii) Fit an appropriate function to it.  You might need to do this in two stages.</t>
  </si>
  <si>
    <t>Example Problem</t>
  </si>
  <si>
    <t>Even though I am giving the data to you in Excel,</t>
  </si>
  <si>
    <t>you should write up your results in Word (and include graphs, equations, etc.)</t>
  </si>
  <si>
    <t>You probably don't want to include long tables, though.</t>
  </si>
  <si>
    <t>I will only grade what you write in your Word file.</t>
  </si>
  <si>
    <t>This homework may be done in teams of at most 2 people.</t>
  </si>
  <si>
    <t>Put both people's last names in your Word file at the top, and also in the file name.</t>
  </si>
  <si>
    <t>You may do it on your own if you want, though.</t>
  </si>
  <si>
    <t>Submit only one file per team.</t>
  </si>
  <si>
    <t>Here is some artificial monthly data.  Do all the appropriate things:</t>
  </si>
  <si>
    <t>LIVE SUMMARY OUTPUT</t>
  </si>
  <si>
    <t>Enter the location of your data using</t>
  </si>
  <si>
    <t>Ranges should not include the labels at the top of the columns.</t>
  </si>
  <si>
    <t>Strange characters, including spaces,  in the sheet name will be trouble!</t>
  </si>
  <si>
    <t>LINEST output:</t>
  </si>
  <si>
    <t>#columns (including intercept, if any):</t>
  </si>
  <si>
    <t>the medium-blue cells,</t>
  </si>
  <si>
    <t>Sheet</t>
  </si>
  <si>
    <t>ColumnStart</t>
  </si>
  <si>
    <t>ColumnEnd</t>
  </si>
  <si>
    <t>RowStart</t>
  </si>
  <si>
    <t>RowEnd</t>
  </si>
  <si>
    <t>and the light-blue cells too if necessary.</t>
  </si>
  <si>
    <t>Y variable:</t>
  </si>
  <si>
    <t>The main computation</t>
  </si>
  <si>
    <t>Location of start of Y data:</t>
  </si>
  <si>
    <t>X variables:</t>
  </si>
  <si>
    <t>C</t>
  </si>
  <si>
    <t>happens starting in column BA,</t>
  </si>
  <si>
    <t>Location of start of X data:</t>
  </si>
  <si>
    <t>Y-variable name:</t>
  </si>
  <si>
    <t xml:space="preserve">Allow constant/intercept? Enter =false or 0 for no constant, </t>
  </si>
  <si>
    <t>but you don't need to understand that</t>
  </si>
  <si>
    <t>Location of start of X labels:</t>
  </si>
  <si>
    <t>or =true or 1 (or any nonzero value) to allow a constant.</t>
  </si>
  <si>
    <t>to use this sheet.</t>
  </si>
  <si>
    <t>Location of Y label:</t>
  </si>
  <si>
    <t>It's probably best left alone.</t>
  </si>
  <si>
    <t>Location of Y data range:</t>
  </si>
  <si>
    <t># of rows in y variable:</t>
  </si>
  <si>
    <t># of rows in x variables:</t>
  </si>
  <si>
    <t>Location of X data range:</t>
  </si>
  <si>
    <t># of x variables (not including constant/intercept, if any)</t>
  </si>
  <si>
    <t>seems to be working, but not formally tested yet:</t>
  </si>
  <si>
    <t>Translated LINEST output (reversed left-to-right from above), including labels from the row just above the data set on its original sheet.</t>
  </si>
  <si>
    <t># of rows in residual computation below:</t>
  </si>
  <si>
    <t>y label:</t>
  </si>
  <si>
    <t>x labels:</t>
  </si>
  <si>
    <t>coeff:</t>
  </si>
  <si>
    <t>Correlation matrix:</t>
  </si>
  <si>
    <t>se:</t>
  </si>
  <si>
    <t>Lower 90.0%</t>
  </si>
  <si>
    <t>Upper 90.0%</t>
  </si>
  <si>
    <t>Function term</t>
  </si>
  <si>
    <t>x variable number</t>
  </si>
  <si>
    <t>greyed out=</t>
  </si>
  <si>
    <t>not</t>
  </si>
  <si>
    <t>implemented</t>
  </si>
  <si>
    <t>yet</t>
  </si>
  <si>
    <t>Locations for use with predicting other data points:</t>
  </si>
  <si>
    <t>Prediction function:</t>
  </si>
  <si>
    <t xml:space="preserve">yhat = </t>
  </si>
  <si>
    <t>Location of data for predictions of points not in the regression.</t>
  </si>
  <si>
    <t>(adjusting precision shown in "Coefficients" column above will also adjust precision shown here.)</t>
  </si>
  <si>
    <t>#rows in histogram data:</t>
  </si>
  <si>
    <t>it's okay if you don't have actual y values for these predictions.</t>
  </si>
  <si>
    <t>Histogram automatically adjusts to show all residuals, but values are then ugly.</t>
  </si>
  <si>
    <t>But you do need X variables to make predictions!</t>
  </si>
  <si>
    <t>To fix, change the first two "From" values then fill down,</t>
  </si>
  <si>
    <t>Sheet and Columns default to the same as the regression variable data above.</t>
  </si>
  <si>
    <t>Selected x column:</t>
  </si>
  <si>
    <t>perhaps extending the whole thing. Frequencies will recalculate automatically</t>
  </si>
  <si>
    <t>Standard Residuals</t>
  </si>
  <si>
    <t>Rank</t>
  </si>
  <si>
    <t>Relative Rank</t>
  </si>
  <si>
    <t>1 - Relative Rank</t>
  </si>
  <si>
    <t>Normal Scores</t>
  </si>
  <si>
    <t>From</t>
  </si>
  <si>
    <t>To</t>
  </si>
  <si>
    <t>label</t>
  </si>
  <si>
    <t>Cumulative Frequency</t>
  </si>
  <si>
    <t>Frequency</t>
  </si>
  <si>
    <t>Relative Frequency</t>
  </si>
  <si>
    <t>Cumulative Relative Frequency</t>
  </si>
  <si>
    <t>Notes on Dotplotting:</t>
  </si>
  <si>
    <t>greyed out</t>
  </si>
  <si>
    <t>The original formula used to count repeated occurrences of the same value</t>
  </si>
  <si>
    <t>in the small-to-large-sorted column was</t>
  </si>
  <si>
    <t>this: =IF(G16=G15,H15+1,$H$12)</t>
  </si>
  <si>
    <t>Predictions for other data points</t>
  </si>
  <si>
    <t>In an attempt to make a dotplot version for continuous data,</t>
  </si>
  <si>
    <t>where there are no exact repeated occurrences,</t>
  </si>
  <si>
    <t>PredictionRow#</t>
  </si>
  <si>
    <t>we are now comparing rounded values instead of exact values.</t>
  </si>
  <si>
    <t>Here, you can set the level of rounding; this number is used</t>
  </si>
  <si>
    <t>as num_digits in a rounding command, as follows:</t>
  </si>
  <si>
    <t>if( round(current value, num_digits) = round(previous value, num_digits) …</t>
  </si>
  <si>
    <t>If you set this to more than 16, then effectively no rounding will occur;</t>
  </si>
  <si>
    <t>that's the default.</t>
  </si>
  <si>
    <t>The smaller you set it (could even be 0 or -1 or -2 …)</t>
  </si>
  <si>
    <t>the more things will get rounded.</t>
  </si>
  <si>
    <t>You can also set a multiplier that will help if you want to round</t>
  </si>
  <si>
    <t>to something other than a power of 10. For example, you</t>
  </si>
  <si>
    <t>might set it to 2 instead of 1 (1 is the default)</t>
  </si>
  <si>
    <t>num_digits:</t>
  </si>
  <si>
    <t>multiplier</t>
  </si>
  <si>
    <t>Five-Number Summary of Residuals</t>
  </si>
  <si>
    <t>y values to plot simple boxplot:</t>
  </si>
  <si>
    <t>min</t>
  </si>
  <si>
    <t>Quartile1</t>
  </si>
  <si>
    <t>median</t>
  </si>
  <si>
    <t>Quartile3</t>
  </si>
  <si>
    <t>max</t>
  </si>
  <si>
    <t>Example</t>
  </si>
  <si>
    <t>E</t>
  </si>
  <si>
    <t>max+tiny</t>
  </si>
  <si>
    <t>intercept</t>
  </si>
  <si>
    <t>coeff from linest --&gt;</t>
  </si>
  <si>
    <t>predicted</t>
  </si>
  <si>
    <t>residuals</t>
  </si>
  <si>
    <t>prediction</t>
  </si>
  <si>
    <t>sin2</t>
  </si>
  <si>
    <t>cos2</t>
  </si>
  <si>
    <t>&lt;- coefficentsof regression</t>
  </si>
  <si>
    <t>y = -7.92*sin(2 * pi * t / 12) + -25.1*cos(2 * pi * t / 12) + -0.416*sin(2 * pi * t / 6) + -1.587*cos(2 * pi * t / 6) + 59.75</t>
  </si>
  <si>
    <t>sin coeff</t>
  </si>
  <si>
    <t>cos coeff</t>
  </si>
  <si>
    <t>sin2 coeff</t>
  </si>
  <si>
    <t>cos2 coeff</t>
  </si>
  <si>
    <t>intercept coeff</t>
  </si>
  <si>
    <t>new resids</t>
  </si>
  <si>
    <t>X Variable 1</t>
  </si>
  <si>
    <t>X Variable 2</t>
  </si>
  <si>
    <t>X Variable 3</t>
  </si>
  <si>
    <t>X Variable 4</t>
  </si>
  <si>
    <t>linear</t>
  </si>
  <si>
    <t>LINEST</t>
  </si>
  <si>
    <t>COS</t>
  </si>
  <si>
    <t>SIN</t>
  </si>
  <si>
    <t>LIN</t>
  </si>
  <si>
    <t>OFFSET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</si>
</sst>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0.0000"/>
  </numFmts>
  <fonts count="16" x14ac:knownFonts="1">
    <font>
      <sz val="11"/>
      <color theme="1"/>
      <name val="Calibri"/>
      <family val="2"/>
      <scheme val="minor"/>
    </font>
    <font>
      <sz val="11"/>
      <color theme="1"/>
      <name val="Calibri"/>
      <family val="2"/>
      <scheme val="minor"/>
    </font>
    <font>
      <sz val="11"/>
      <color rgb="FFFF0000"/>
      <name val="Calibri"/>
      <family val="2"/>
      <scheme val="minor"/>
    </font>
    <font>
      <i/>
      <sz val="11"/>
      <color theme="1"/>
      <name val="Calibri"/>
      <family val="2"/>
      <scheme val="minor"/>
    </font>
    <font>
      <b/>
      <sz val="8"/>
      <color rgb="FFFFFFFF"/>
      <name val="Verdana"/>
      <family val="2"/>
    </font>
    <font>
      <sz val="8"/>
      <color rgb="FF455B73"/>
      <name val="Verdana"/>
      <family val="2"/>
    </font>
    <font>
      <u/>
      <sz val="11"/>
      <color theme="10"/>
      <name val="Calibri"/>
      <family val="2"/>
    </font>
    <font>
      <sz val="11"/>
      <color indexed="8"/>
      <name val="Calibri"/>
      <family val="2"/>
    </font>
    <font>
      <i/>
      <sz val="11"/>
      <color indexed="8"/>
      <name val="Calibri"/>
      <family val="2"/>
    </font>
    <font>
      <sz val="10"/>
      <color indexed="8"/>
      <name val="Arial"/>
      <family val="2"/>
    </font>
    <font>
      <b/>
      <sz val="9"/>
      <color indexed="9"/>
      <name val="Tahoma"/>
      <family val="2"/>
    </font>
    <font>
      <sz val="9"/>
      <color indexed="9"/>
      <name val="Tahoma"/>
      <family val="2"/>
    </font>
    <font>
      <sz val="11"/>
      <color indexed="81"/>
      <name val="Calibri"/>
      <family val="2"/>
    </font>
    <font>
      <b/>
      <sz val="9"/>
      <color indexed="81"/>
      <name val="Tahoma"/>
      <family val="2"/>
    </font>
    <font>
      <sz val="9"/>
      <color indexed="81"/>
      <name val="Tahoma"/>
      <family val="2"/>
    </font>
    <font>
      <u/>
      <sz val="11"/>
      <color theme="11"/>
      <name val="Calibri"/>
      <family val="2"/>
      <scheme val="minor"/>
    </font>
  </fonts>
  <fills count="10">
    <fill>
      <patternFill patternType="none"/>
    </fill>
    <fill>
      <patternFill patternType="gray125"/>
    </fill>
    <fill>
      <patternFill patternType="solid">
        <fgColor rgb="FF7094B8"/>
        <bgColor indexed="64"/>
      </patternFill>
    </fill>
    <fill>
      <patternFill patternType="solid">
        <fgColor theme="4" tint="0.79998168889431442"/>
        <bgColor indexed="64"/>
      </patternFill>
    </fill>
    <fill>
      <patternFill patternType="solid">
        <fgColor theme="3" tint="0.59999389629810485"/>
        <bgColor indexed="63"/>
      </patternFill>
    </fill>
    <fill>
      <patternFill patternType="solid">
        <fgColor theme="3" tint="0.79998168889431442"/>
        <bgColor indexed="22"/>
      </patternFill>
    </fill>
    <fill>
      <patternFill patternType="solid">
        <fgColor indexed="23"/>
        <bgColor indexed="55"/>
      </patternFill>
    </fill>
    <fill>
      <patternFill patternType="solid">
        <fgColor indexed="44"/>
        <bgColor indexed="31"/>
      </patternFill>
    </fill>
    <fill>
      <patternFill patternType="solid">
        <fgColor indexed="22"/>
        <bgColor indexed="31"/>
      </patternFill>
    </fill>
    <fill>
      <patternFill patternType="solid">
        <fgColor theme="2"/>
        <bgColor indexed="64"/>
      </patternFill>
    </fill>
  </fills>
  <borders count="20">
    <border>
      <left/>
      <right/>
      <top/>
      <bottom/>
      <diagonal/>
    </border>
    <border>
      <left/>
      <right/>
      <top style="medium">
        <color auto="1"/>
      </top>
      <bottom/>
      <diagonal/>
    </border>
    <border>
      <left/>
      <right/>
      <top/>
      <bottom style="medium">
        <color auto="1"/>
      </bottom>
      <diagonal/>
    </border>
    <border>
      <left/>
      <right/>
      <top style="medium">
        <color auto="1"/>
      </top>
      <bottom style="thin">
        <color auto="1"/>
      </bottom>
      <diagonal/>
    </border>
    <border>
      <left/>
      <right/>
      <top/>
      <bottom style="medium">
        <color rgb="FFE3E1C7"/>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3"/>
      </left>
      <right/>
      <top style="medium">
        <color indexed="63"/>
      </top>
      <bottom/>
      <diagonal/>
    </border>
    <border>
      <left/>
      <right/>
      <top style="medium">
        <color indexed="63"/>
      </top>
      <bottom/>
      <diagonal/>
    </border>
    <border>
      <left/>
      <right style="medium">
        <color indexed="63"/>
      </right>
      <top style="medium">
        <color indexed="63"/>
      </top>
      <bottom/>
      <diagonal/>
    </border>
    <border>
      <left style="medium">
        <color indexed="63"/>
      </left>
      <right/>
      <top/>
      <bottom/>
      <diagonal/>
    </border>
    <border>
      <left/>
      <right style="medium">
        <color indexed="63"/>
      </right>
      <top/>
      <bottom/>
      <diagonal/>
    </border>
    <border>
      <left style="medium">
        <color indexed="63"/>
      </left>
      <right/>
      <top/>
      <bottom style="medium">
        <color indexed="63"/>
      </bottom>
      <diagonal/>
    </border>
    <border>
      <left/>
      <right/>
      <top/>
      <bottom style="medium">
        <color indexed="63"/>
      </bottom>
      <diagonal/>
    </border>
    <border>
      <left/>
      <right style="medium">
        <color indexed="63"/>
      </right>
      <top/>
      <bottom style="medium">
        <color indexed="63"/>
      </bottom>
      <diagonal/>
    </border>
    <border>
      <left/>
      <right/>
      <top style="medium">
        <color indexed="63"/>
      </top>
      <bottom style="thin">
        <color indexed="63"/>
      </bottom>
      <diagonal/>
    </border>
  </borders>
  <cellStyleXfs count="14">
    <xf numFmtId="0" fontId="0" fillId="0" borderId="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xf numFmtId="9" fontId="7" fillId="0" borderId="0" applyFill="0" applyBorder="0" applyAlignment="0" applyProtection="0"/>
    <xf numFmtId="0" fontId="9" fillId="0" borderId="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cellStyleXfs>
  <cellXfs count="65">
    <xf numFmtId="0" fontId="0" fillId="0" borderId="0" xfId="0"/>
    <xf numFmtId="3" fontId="0" fillId="0" borderId="0" xfId="0" applyNumberFormat="1"/>
    <xf numFmtId="4" fontId="0" fillId="0" borderId="0" xfId="0" applyNumberFormat="1"/>
    <xf numFmtId="0" fontId="0" fillId="0" borderId="0" xfId="0" applyFill="1" applyBorder="1" applyAlignment="1"/>
    <xf numFmtId="0" fontId="0" fillId="0" borderId="2" xfId="0" applyFill="1" applyBorder="1" applyAlignment="1"/>
    <xf numFmtId="0" fontId="3" fillId="0" borderId="3" xfId="0" applyFont="1" applyFill="1" applyBorder="1" applyAlignment="1">
      <alignment horizontal="center"/>
    </xf>
    <xf numFmtId="0" fontId="3" fillId="0" borderId="3" xfId="0" applyFont="1" applyFill="1" applyBorder="1" applyAlignment="1">
      <alignment horizontal="centerContinuous"/>
    </xf>
    <xf numFmtId="164" fontId="0" fillId="0" borderId="0" xfId="1" applyNumberFormat="1" applyFont="1"/>
    <xf numFmtId="0" fontId="4" fillId="2" borderId="0" xfId="0" applyFont="1" applyFill="1" applyAlignment="1">
      <alignment horizontal="center" wrapText="1"/>
    </xf>
    <xf numFmtId="0" fontId="4" fillId="2" borderId="0" xfId="0" applyFont="1" applyFill="1" applyAlignment="1">
      <alignment horizontal="left" wrapText="1"/>
    </xf>
    <xf numFmtId="0" fontId="6" fillId="0" borderId="4" xfId="2" applyBorder="1" applyAlignment="1" applyProtection="1">
      <alignment horizontal="center" vertical="top" wrapText="1"/>
    </xf>
    <xf numFmtId="0" fontId="5" fillId="0" borderId="4" xfId="0" applyFont="1" applyBorder="1" applyAlignment="1">
      <alignment horizontal="left" vertical="top" wrapText="1"/>
    </xf>
    <xf numFmtId="0" fontId="5" fillId="0" borderId="4" xfId="0" applyFont="1" applyBorder="1" applyAlignment="1">
      <alignment horizontal="right" vertical="top" wrapText="1"/>
    </xf>
    <xf numFmtId="0" fontId="0" fillId="0" borderId="4" xfId="2" applyNumberFormat="1" applyFont="1" applyBorder="1" applyAlignment="1" applyProtection="1">
      <alignment horizontal="right" vertical="top" wrapText="1"/>
    </xf>
    <xf numFmtId="0" fontId="6" fillId="0" borderId="0" xfId="2" applyAlignment="1" applyProtection="1"/>
    <xf numFmtId="0" fontId="6" fillId="0" borderId="0" xfId="2" applyBorder="1" applyAlignment="1" applyProtection="1">
      <alignment horizontal="center" vertical="top" wrapText="1"/>
    </xf>
    <xf numFmtId="0" fontId="0" fillId="0" borderId="0" xfId="2" applyNumberFormat="1" applyFont="1" applyBorder="1" applyAlignment="1" applyProtection="1">
      <alignment horizontal="right" vertical="top" wrapText="1"/>
    </xf>
    <xf numFmtId="0" fontId="5" fillId="0" borderId="0" xfId="0" applyFont="1" applyBorder="1" applyAlignment="1">
      <alignment horizontal="right" vertical="top" wrapText="1"/>
    </xf>
    <xf numFmtId="0" fontId="2" fillId="0" borderId="0" xfId="0" applyFont="1"/>
    <xf numFmtId="0" fontId="0" fillId="0" borderId="7" xfId="0" applyBorder="1"/>
    <xf numFmtId="0" fontId="0" fillId="0" borderId="0" xfId="0" applyBorder="1"/>
    <xf numFmtId="0" fontId="0" fillId="0" borderId="8" xfId="0" applyBorder="1"/>
    <xf numFmtId="0" fontId="2" fillId="0" borderId="7" xfId="0" applyFont="1" applyBorder="1"/>
    <xf numFmtId="0" fontId="0" fillId="0" borderId="9" xfId="0" applyBorder="1"/>
    <xf numFmtId="0" fontId="0" fillId="0" borderId="2" xfId="0" applyBorder="1"/>
    <xf numFmtId="0" fontId="0" fillId="0" borderId="10" xfId="0" applyBorder="1"/>
    <xf numFmtId="0" fontId="0" fillId="3" borderId="0" xfId="0" applyFill="1"/>
    <xf numFmtId="0" fontId="0" fillId="3" borderId="5" xfId="0" applyFill="1" applyBorder="1"/>
    <xf numFmtId="0" fontId="0" fillId="3" borderId="1" xfId="0" applyFill="1" applyBorder="1"/>
    <xf numFmtId="0" fontId="0" fillId="3" borderId="6" xfId="0" applyFill="1" applyBorder="1"/>
    <xf numFmtId="0" fontId="7" fillId="0" borderId="0" xfId="3" applyFont="1"/>
    <xf numFmtId="0" fontId="7" fillId="0" borderId="0" xfId="3"/>
    <xf numFmtId="0" fontId="7" fillId="0" borderId="11" xfId="3" applyBorder="1"/>
    <xf numFmtId="0" fontId="7" fillId="0" borderId="12" xfId="3" applyBorder="1"/>
    <xf numFmtId="0" fontId="7" fillId="0" borderId="13" xfId="3" applyBorder="1"/>
    <xf numFmtId="0" fontId="7" fillId="0" borderId="14" xfId="3" applyBorder="1"/>
    <xf numFmtId="0" fontId="7" fillId="0" borderId="0" xfId="3" applyBorder="1"/>
    <xf numFmtId="0" fontId="7" fillId="0" borderId="15" xfId="3" applyBorder="1"/>
    <xf numFmtId="0" fontId="7" fillId="0" borderId="16" xfId="3" applyBorder="1"/>
    <xf numFmtId="0" fontId="7" fillId="0" borderId="17" xfId="3" applyBorder="1"/>
    <xf numFmtId="0" fontId="7" fillId="0" borderId="18" xfId="3" applyBorder="1"/>
    <xf numFmtId="0" fontId="7" fillId="4" borderId="0" xfId="3" applyFont="1" applyFill="1"/>
    <xf numFmtId="0" fontId="7" fillId="0" borderId="0" xfId="3" applyFont="1" applyFill="1" applyBorder="1" applyAlignment="1"/>
    <xf numFmtId="0" fontId="7" fillId="5" borderId="0" xfId="3" applyFill="1"/>
    <xf numFmtId="0" fontId="7" fillId="0" borderId="17" xfId="3" applyFont="1" applyFill="1" applyBorder="1" applyAlignment="1"/>
    <xf numFmtId="0" fontId="8" fillId="0" borderId="19" xfId="3" applyFont="1" applyFill="1" applyBorder="1" applyAlignment="1">
      <alignment horizontal="center"/>
    </xf>
    <xf numFmtId="0" fontId="8" fillId="0" borderId="0" xfId="3" applyFont="1" applyFill="1" applyBorder="1" applyAlignment="1">
      <alignment horizontal="center"/>
    </xf>
    <xf numFmtId="0" fontId="8" fillId="0" borderId="0" xfId="3" applyFont="1" applyFill="1" applyBorder="1" applyAlignment="1">
      <alignment horizontal="left"/>
    </xf>
    <xf numFmtId="0" fontId="7" fillId="0" borderId="0" xfId="3" applyFont="1" applyFill="1" applyBorder="1" applyAlignment="1">
      <alignment horizontal="left"/>
    </xf>
    <xf numFmtId="0" fontId="7" fillId="6" borderId="0" xfId="3" applyFill="1" applyBorder="1" applyAlignment="1"/>
    <xf numFmtId="0" fontId="7" fillId="0" borderId="0" xfId="3" applyAlignment="1">
      <alignment wrapText="1"/>
    </xf>
    <xf numFmtId="165" fontId="0" fillId="0" borderId="0" xfId="4" applyNumberFormat="1" applyFont="1" applyFill="1" applyBorder="1" applyAlignment="1" applyProtection="1"/>
    <xf numFmtId="165" fontId="7" fillId="0" borderId="0" xfId="3" applyNumberFormat="1"/>
    <xf numFmtId="0" fontId="8" fillId="0" borderId="19" xfId="3" applyFont="1" applyFill="1" applyBorder="1" applyAlignment="1">
      <alignment horizontal="center" wrapText="1"/>
    </xf>
    <xf numFmtId="0" fontId="7" fillId="7" borderId="0" xfId="3" applyFill="1" applyAlignment="1">
      <alignment wrapText="1"/>
    </xf>
    <xf numFmtId="0" fontId="9" fillId="0" borderId="0" xfId="5" applyFont="1" applyAlignment="1">
      <alignment wrapText="1"/>
    </xf>
    <xf numFmtId="166" fontId="7" fillId="0" borderId="0" xfId="3" applyNumberFormat="1"/>
    <xf numFmtId="0" fontId="7" fillId="8" borderId="0" xfId="3" applyFill="1"/>
    <xf numFmtId="0" fontId="7" fillId="7" borderId="0" xfId="3" applyFill="1"/>
    <xf numFmtId="9" fontId="0" fillId="0" borderId="0" xfId="4" applyFont="1" applyFill="1" applyBorder="1" applyAlignment="1" applyProtection="1"/>
    <xf numFmtId="9" fontId="7" fillId="0" borderId="0" xfId="3" applyNumberFormat="1"/>
    <xf numFmtId="0" fontId="7" fillId="0" borderId="0" xfId="3" applyNumberFormat="1"/>
    <xf numFmtId="0" fontId="0" fillId="9" borderId="0" xfId="0" applyFill="1"/>
    <xf numFmtId="0" fontId="8" fillId="0" borderId="19" xfId="3" applyFont="1" applyFill="1" applyBorder="1" applyAlignment="1">
      <alignment horizontal="center"/>
    </xf>
    <xf numFmtId="0" fontId="4" fillId="2" borderId="0" xfId="0" applyFont="1" applyFill="1" applyAlignment="1">
      <alignment horizontal="center" wrapText="1"/>
    </xf>
  </cellXfs>
  <cellStyles count="14">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Hyperlink" xfId="2" builtinId="8"/>
    <cellStyle name="Normal" xfId="0" builtinId="0"/>
    <cellStyle name="Normal 2" xfId="3"/>
    <cellStyle name="Normal 2 2" xfId="5"/>
    <cellStyle name="Percent" xfId="1" builtinId="5"/>
    <cellStyle name="Percent 2" xfId="4"/>
  </cellStyles>
  <dxfs count="5">
    <dxf>
      <font>
        <b val="0"/>
        <condense val="0"/>
        <extend val="0"/>
        <sz val="11"/>
        <color indexed="60"/>
      </font>
      <fill>
        <patternFill patternType="solid">
          <fgColor indexed="26"/>
          <bgColor indexed="43"/>
        </patternFill>
      </fill>
    </dxf>
    <dxf>
      <font>
        <b val="0"/>
        <condense val="0"/>
        <extend val="0"/>
        <sz val="11"/>
        <color indexed="8"/>
      </font>
      <fill>
        <patternFill patternType="solid">
          <fgColor indexed="60"/>
          <bgColor indexed="10"/>
        </patternFill>
      </fill>
    </dxf>
    <dxf>
      <font>
        <b val="0"/>
        <condense val="0"/>
        <extend val="0"/>
        <sz val="11"/>
        <color indexed="60"/>
      </font>
      <fill>
        <patternFill patternType="solid">
          <fgColor indexed="26"/>
          <bgColor indexed="43"/>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12.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13.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14.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15.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16.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_rels/chart17.xml.rels><?xml version="1.0" encoding="UTF-8" standalone="yes"?>
<Relationships xmlns="http://schemas.openxmlformats.org/package/2006/relationships"><Relationship Id="rId1" Type="http://schemas.microsoft.com/office/2011/relationships/chartStyle" Target="style6.xml"/><Relationship Id="rId2" Type="http://schemas.microsoft.com/office/2011/relationships/chartColorStyle" Target="colors6.xml"/></Relationships>
</file>

<file path=xl/charts/_rels/chart20.xml.rels><?xml version="1.0" encoding="UTF-8" standalone="yes"?>
<Relationships xmlns="http://schemas.openxmlformats.org/package/2006/relationships"><Relationship Id="rId1" Type="http://schemas.microsoft.com/office/2011/relationships/chartStyle" Target="style7.xml"/><Relationship Id="rId2" Type="http://schemas.microsoft.com/office/2011/relationships/chartColorStyle" Target="colors7.xml"/></Relationships>
</file>

<file path=xl/charts/_rels/chart21.xml.rels><?xml version="1.0" encoding="UTF-8" standalone="yes"?>
<Relationships xmlns="http://schemas.openxmlformats.org/package/2006/relationships"><Relationship Id="rId1" Type="http://schemas.microsoft.com/office/2011/relationships/chartStyle" Target="style8.xml"/><Relationship Id="rId2" Type="http://schemas.microsoft.com/office/2011/relationships/chartColorStyle" Target="colors8.xml"/></Relationships>
</file>

<file path=xl/charts/_rels/chart22.xml.rels><?xml version="1.0" encoding="UTF-8" standalone="yes"?>
<Relationships xmlns="http://schemas.openxmlformats.org/package/2006/relationships"><Relationship Id="rId1" Type="http://schemas.microsoft.com/office/2011/relationships/chartStyle" Target="style9.xml"/><Relationship Id="rId2" Type="http://schemas.microsoft.com/office/2011/relationships/chartColorStyle" Target="colors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US Births, 1995-2002</a:t>
            </a:r>
          </a:p>
        </c:rich>
      </c:tx>
      <c:overlay val="0"/>
    </c:title>
    <c:autoTitleDeleted val="0"/>
    <c:plotArea>
      <c:layout/>
      <c:scatterChart>
        <c:scatterStyle val="lineMarker"/>
        <c:varyColors val="0"/>
        <c:ser>
          <c:idx val="0"/>
          <c:order val="0"/>
          <c:tx>
            <c:strRef>
              <c:f>Example!$C$16</c:f>
              <c:strCache>
                <c:ptCount val="1"/>
                <c:pt idx="0">
                  <c:v>Avg. per Day</c:v>
                </c:pt>
              </c:strCache>
            </c:strRef>
          </c:tx>
          <c:xVal>
            <c:numRef>
              <c:f>Example!$B$17:$B$28</c:f>
              <c:numCache>
                <c:formatCode>General</c:formatCode>
                <c:ptCount val="12"/>
                <c:pt idx="0">
                  <c:v>0.5</c:v>
                </c:pt>
                <c:pt idx="1">
                  <c:v>1.5</c:v>
                </c:pt>
                <c:pt idx="2">
                  <c:v>2.5</c:v>
                </c:pt>
                <c:pt idx="3">
                  <c:v>3.5</c:v>
                </c:pt>
                <c:pt idx="4">
                  <c:v>4.5</c:v>
                </c:pt>
                <c:pt idx="5">
                  <c:v>5.5</c:v>
                </c:pt>
                <c:pt idx="6">
                  <c:v>6.5</c:v>
                </c:pt>
                <c:pt idx="7">
                  <c:v>7.5</c:v>
                </c:pt>
                <c:pt idx="8">
                  <c:v>8.5</c:v>
                </c:pt>
                <c:pt idx="9">
                  <c:v>9.5</c:v>
                </c:pt>
                <c:pt idx="10">
                  <c:v>10.5</c:v>
                </c:pt>
                <c:pt idx="11">
                  <c:v>11.5</c:v>
                </c:pt>
              </c:numCache>
            </c:numRef>
          </c:xVal>
          <c:yVal>
            <c:numRef>
              <c:f>Example!$C$17:$C$28</c:f>
              <c:numCache>
                <c:formatCode>#,##0.00</c:formatCode>
                <c:ptCount val="12"/>
                <c:pt idx="0">
                  <c:v>10411.33</c:v>
                </c:pt>
                <c:pt idx="1">
                  <c:v>10661.79</c:v>
                </c:pt>
                <c:pt idx="2">
                  <c:v>10666.99</c:v>
                </c:pt>
                <c:pt idx="3">
                  <c:v>10574.23</c:v>
                </c:pt>
                <c:pt idx="4">
                  <c:v>10781.69</c:v>
                </c:pt>
                <c:pt idx="5">
                  <c:v>10955.7</c:v>
                </c:pt>
                <c:pt idx="6">
                  <c:v>11244.74</c:v>
                </c:pt>
                <c:pt idx="7">
                  <c:v>11345.09</c:v>
                </c:pt>
                <c:pt idx="8">
                  <c:v>11420.13</c:v>
                </c:pt>
                <c:pt idx="9">
                  <c:v>10865.3</c:v>
                </c:pt>
                <c:pt idx="10">
                  <c:v>10550.65</c:v>
                </c:pt>
                <c:pt idx="11">
                  <c:v>10611.02</c:v>
                </c:pt>
              </c:numCache>
            </c:numRef>
          </c:yVal>
          <c:smooth val="0"/>
        </c:ser>
        <c:ser>
          <c:idx val="4"/>
          <c:order val="1"/>
          <c:tx>
            <c:strRef>
              <c:f>Example!$G$16</c:f>
              <c:strCache>
                <c:ptCount val="1"/>
                <c:pt idx="0">
                  <c:v>Predicted Avg. per Day</c:v>
                </c:pt>
              </c:strCache>
            </c:strRef>
          </c:tx>
          <c:xVal>
            <c:numRef>
              <c:f>Example!$B$17:$B$28</c:f>
              <c:numCache>
                <c:formatCode>General</c:formatCode>
                <c:ptCount val="12"/>
                <c:pt idx="0">
                  <c:v>0.5</c:v>
                </c:pt>
                <c:pt idx="1">
                  <c:v>1.5</c:v>
                </c:pt>
                <c:pt idx="2">
                  <c:v>2.5</c:v>
                </c:pt>
                <c:pt idx="3">
                  <c:v>3.5</c:v>
                </c:pt>
                <c:pt idx="4">
                  <c:v>4.5</c:v>
                </c:pt>
                <c:pt idx="5">
                  <c:v>5.5</c:v>
                </c:pt>
                <c:pt idx="6">
                  <c:v>6.5</c:v>
                </c:pt>
                <c:pt idx="7">
                  <c:v>7.5</c:v>
                </c:pt>
                <c:pt idx="8">
                  <c:v>8.5</c:v>
                </c:pt>
                <c:pt idx="9">
                  <c:v>9.5</c:v>
                </c:pt>
                <c:pt idx="10">
                  <c:v>10.5</c:v>
                </c:pt>
                <c:pt idx="11">
                  <c:v>11.5</c:v>
                </c:pt>
              </c:numCache>
            </c:numRef>
          </c:xVal>
          <c:yVal>
            <c:numRef>
              <c:f>Example!$G$17:$G$28</c:f>
              <c:numCache>
                <c:formatCode>General</c:formatCode>
                <c:ptCount val="12"/>
                <c:pt idx="0">
                  <c:v>10471.42886756961</c:v>
                </c:pt>
                <c:pt idx="1">
                  <c:v>10444.86039927096</c:v>
                </c:pt>
                <c:pt idx="2">
                  <c:v>10524.36263788576</c:v>
                </c:pt>
                <c:pt idx="3">
                  <c:v>10688.63302278069</c:v>
                </c:pt>
                <c:pt idx="4">
                  <c:v>10893.65543698281</c:v>
                </c:pt>
                <c:pt idx="5">
                  <c:v>11084.49429017639</c:v>
                </c:pt>
                <c:pt idx="6">
                  <c:v>11210.01446576372</c:v>
                </c:pt>
                <c:pt idx="7">
                  <c:v>11236.58293406236</c:v>
                </c:pt>
                <c:pt idx="8">
                  <c:v>11157.08069544757</c:v>
                </c:pt>
                <c:pt idx="9">
                  <c:v>10992.81031055264</c:v>
                </c:pt>
                <c:pt idx="10">
                  <c:v>10787.78789635051</c:v>
                </c:pt>
                <c:pt idx="11">
                  <c:v>10596.94904315694</c:v>
                </c:pt>
              </c:numCache>
            </c:numRef>
          </c:yVal>
          <c:smooth val="0"/>
        </c:ser>
        <c:dLbls>
          <c:showLegendKey val="0"/>
          <c:showVal val="0"/>
          <c:showCatName val="0"/>
          <c:showSerName val="0"/>
          <c:showPercent val="0"/>
          <c:showBubbleSize val="0"/>
        </c:dLbls>
        <c:axId val="-1295787952"/>
        <c:axId val="-1182761136"/>
      </c:scatterChart>
      <c:valAx>
        <c:axId val="-1295787952"/>
        <c:scaling>
          <c:orientation val="minMax"/>
          <c:max val="12.0"/>
          <c:min val="0.0"/>
        </c:scaling>
        <c:delete val="0"/>
        <c:axPos val="b"/>
        <c:title>
          <c:tx>
            <c:rich>
              <a:bodyPr/>
              <a:lstStyle/>
              <a:p>
                <a:pPr>
                  <a:defRPr/>
                </a:pPr>
                <a:r>
                  <a:rPr lang="en-US"/>
                  <a:t>month of year</a:t>
                </a:r>
              </a:p>
            </c:rich>
          </c:tx>
          <c:overlay val="0"/>
        </c:title>
        <c:numFmt formatCode="General" sourceLinked="1"/>
        <c:majorTickMark val="out"/>
        <c:minorTickMark val="in"/>
        <c:tickLblPos val="nextTo"/>
        <c:crossAx val="-1182761136"/>
        <c:crosses val="autoZero"/>
        <c:crossBetween val="midCat"/>
        <c:majorUnit val="3.0"/>
        <c:minorUnit val="1.0"/>
      </c:valAx>
      <c:valAx>
        <c:axId val="-1182761136"/>
        <c:scaling>
          <c:orientation val="minMax"/>
        </c:scaling>
        <c:delete val="0"/>
        <c:axPos val="l"/>
        <c:majorGridlines/>
        <c:numFmt formatCode="#,##0" sourceLinked="0"/>
        <c:majorTickMark val="out"/>
        <c:minorTickMark val="none"/>
        <c:tickLblPos val="nextTo"/>
        <c:crossAx val="-129578795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US Births</a:t>
            </a:r>
            <a:r>
              <a:rPr lang="en-US" baseline="0"/>
              <a:t> (avg/day), </a:t>
            </a:r>
            <a:r>
              <a:rPr lang="en-US"/>
              <a:t>Residuals</a:t>
            </a:r>
          </a:p>
        </c:rich>
      </c:tx>
      <c:overlay val="0"/>
    </c:title>
    <c:autoTitleDeleted val="0"/>
    <c:plotArea>
      <c:layout/>
      <c:scatterChart>
        <c:scatterStyle val="lineMarker"/>
        <c:varyColors val="0"/>
        <c:ser>
          <c:idx val="0"/>
          <c:order val="0"/>
          <c:tx>
            <c:strRef>
              <c:f>Example!$H$16</c:f>
              <c:strCache>
                <c:ptCount val="1"/>
                <c:pt idx="0">
                  <c:v>Residuals</c:v>
                </c:pt>
              </c:strCache>
            </c:strRef>
          </c:tx>
          <c:xVal>
            <c:numRef>
              <c:f>Example!$B$17:$B$28</c:f>
              <c:numCache>
                <c:formatCode>General</c:formatCode>
                <c:ptCount val="12"/>
                <c:pt idx="0">
                  <c:v>0.5</c:v>
                </c:pt>
                <c:pt idx="1">
                  <c:v>1.5</c:v>
                </c:pt>
                <c:pt idx="2">
                  <c:v>2.5</c:v>
                </c:pt>
                <c:pt idx="3">
                  <c:v>3.5</c:v>
                </c:pt>
                <c:pt idx="4">
                  <c:v>4.5</c:v>
                </c:pt>
                <c:pt idx="5">
                  <c:v>5.5</c:v>
                </c:pt>
                <c:pt idx="6">
                  <c:v>6.5</c:v>
                </c:pt>
                <c:pt idx="7">
                  <c:v>7.5</c:v>
                </c:pt>
                <c:pt idx="8">
                  <c:v>8.5</c:v>
                </c:pt>
                <c:pt idx="9">
                  <c:v>9.5</c:v>
                </c:pt>
                <c:pt idx="10">
                  <c:v>10.5</c:v>
                </c:pt>
                <c:pt idx="11">
                  <c:v>11.5</c:v>
                </c:pt>
              </c:numCache>
            </c:numRef>
          </c:xVal>
          <c:yVal>
            <c:numRef>
              <c:f>Example!$H$17:$H$28</c:f>
              <c:numCache>
                <c:formatCode>General</c:formatCode>
                <c:ptCount val="12"/>
                <c:pt idx="0">
                  <c:v>-60.09886756960623</c:v>
                </c:pt>
                <c:pt idx="1">
                  <c:v>216.9296007290395</c:v>
                </c:pt>
                <c:pt idx="2">
                  <c:v>142.6273621142445</c:v>
                </c:pt>
                <c:pt idx="3">
                  <c:v>-114.403022780687</c:v>
                </c:pt>
                <c:pt idx="4">
                  <c:v>-111.9654369828113</c:v>
                </c:pt>
                <c:pt idx="5">
                  <c:v>-128.7942901763872</c:v>
                </c:pt>
                <c:pt idx="6">
                  <c:v>34.7255342362805</c:v>
                </c:pt>
                <c:pt idx="7">
                  <c:v>108.5070659376361</c:v>
                </c:pt>
                <c:pt idx="8">
                  <c:v>263.049304552429</c:v>
                </c:pt>
                <c:pt idx="9">
                  <c:v>-127.5103105526396</c:v>
                </c:pt>
                <c:pt idx="10">
                  <c:v>-237.137896350514</c:v>
                </c:pt>
                <c:pt idx="11">
                  <c:v>14.07095684306296</c:v>
                </c:pt>
              </c:numCache>
            </c:numRef>
          </c:yVal>
          <c:smooth val="0"/>
        </c:ser>
        <c:dLbls>
          <c:showLegendKey val="0"/>
          <c:showVal val="0"/>
          <c:showCatName val="0"/>
          <c:showSerName val="0"/>
          <c:showPercent val="0"/>
          <c:showBubbleSize val="0"/>
        </c:dLbls>
        <c:axId val="-1175845296"/>
        <c:axId val="-1175842976"/>
      </c:scatterChart>
      <c:valAx>
        <c:axId val="-1175845296"/>
        <c:scaling>
          <c:orientation val="minMax"/>
          <c:max val="12.0"/>
          <c:min val="0.0"/>
        </c:scaling>
        <c:delete val="0"/>
        <c:axPos val="b"/>
        <c:numFmt formatCode="General" sourceLinked="1"/>
        <c:majorTickMark val="out"/>
        <c:minorTickMark val="in"/>
        <c:tickLblPos val="nextTo"/>
        <c:crossAx val="-1175842976"/>
        <c:crosses val="autoZero"/>
        <c:crossBetween val="midCat"/>
        <c:majorUnit val="3.0"/>
        <c:minorUnit val="1.0"/>
      </c:valAx>
      <c:valAx>
        <c:axId val="-1175842976"/>
        <c:scaling>
          <c:orientation val="minMax"/>
        </c:scaling>
        <c:delete val="0"/>
        <c:axPos val="l"/>
        <c:majorGridlines/>
        <c:numFmt formatCode="General" sourceLinked="1"/>
        <c:majorTickMark val="out"/>
        <c:minorTickMark val="none"/>
        <c:tickLblPos val="nextTo"/>
        <c:crossAx val="-1175845296"/>
        <c:crosses val="autoZero"/>
        <c:crossBetween val="midCat"/>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Histogram of Residuals</a:t>
            </a:r>
          </a:p>
        </c:rich>
      </c:tx>
      <c:layout>
        <c:manualLayout>
          <c:xMode val="edge"/>
          <c:yMode val="edge"/>
          <c:x val="0.209638807197293"/>
          <c:y val="0.0277777777777778"/>
        </c:manualLayout>
      </c:layout>
      <c:overlay val="0"/>
      <c:spPr>
        <a:noFill/>
        <a:ln w="25400">
          <a:noFill/>
        </a:ln>
      </c:spPr>
    </c:title>
    <c:autoTitleDeleted val="0"/>
    <c:plotArea>
      <c:layout>
        <c:manualLayout>
          <c:layoutTarget val="inner"/>
          <c:xMode val="edge"/>
          <c:yMode val="edge"/>
          <c:x val="0.178313462812339"/>
          <c:y val="0.329862229621818"/>
          <c:w val="0.573494650666711"/>
          <c:h val="0.354167867593952"/>
        </c:manualLayout>
      </c:layout>
      <c:barChart>
        <c:barDir val="col"/>
        <c:grouping val="clustered"/>
        <c:varyColors val="0"/>
        <c:ser>
          <c:idx val="0"/>
          <c:order val="0"/>
          <c:tx>
            <c:strRef>
              <c:f>LiveRegression!$S$42</c:f>
              <c:strCache>
                <c:ptCount val="1"/>
                <c:pt idx="0">
                  <c:v>Frequency</c:v>
                </c:pt>
              </c:strCache>
            </c:strRef>
          </c:tx>
          <c:spPr>
            <a:solidFill>
              <a:srgbClr val="4F81BD"/>
            </a:solidFill>
            <a:ln w="25400">
              <a:noFill/>
            </a:ln>
          </c:spPr>
          <c:invertIfNegative val="0"/>
          <c:cat>
            <c:strRef>
              <c:f>LiveRegression!$Q$43:$Q$55</c:f>
              <c:strCache>
                <c:ptCount val="13"/>
                <c:pt idx="0">
                  <c:v>&lt;-187.119176260225</c:v>
                </c:pt>
                <c:pt idx="1">
                  <c:v>-187.119176260225 to &lt;-137.10045616993</c:v>
                </c:pt>
                <c:pt idx="2">
                  <c:v>-137.10045616993 to &lt;-87.081736079636</c:v>
                </c:pt>
                <c:pt idx="3">
                  <c:v>-87.081736079636 to &lt;-37.0630159893415</c:v>
                </c:pt>
                <c:pt idx="4">
                  <c:v>-37.0630159893415 to &lt;12.955704100953</c:v>
                </c:pt>
                <c:pt idx="5">
                  <c:v>12.955704100953 to &lt;62.9744241912475</c:v>
                </c:pt>
                <c:pt idx="6">
                  <c:v>62.9744241912475 to &lt;112.993144281542</c:v>
                </c:pt>
                <c:pt idx="7">
                  <c:v>112.993144281542 to &lt;163.011864371836</c:v>
                </c:pt>
                <c:pt idx="8">
                  <c:v>163.011864371836 to &lt;213.030584462131</c:v>
                </c:pt>
                <c:pt idx="9">
                  <c:v>213.030584462131 to &lt;263.049304552425</c:v>
                </c:pt>
                <c:pt idx="10">
                  <c:v>263.049304552425 to &lt;313.06802464272</c:v>
                </c:pt>
                <c:pt idx="11">
                  <c:v>313.06802464272 to &lt;363.086744733014</c:v>
                </c:pt>
                <c:pt idx="12">
                  <c:v>363.086744733014 to &lt;413.105464823309</c:v>
                </c:pt>
              </c:strCache>
            </c:strRef>
          </c:cat>
          <c:val>
            <c:numRef>
              <c:f>LiveRegression!$S$43:$S$55</c:f>
              <c:numCache>
                <c:formatCode>General</c:formatCode>
                <c:ptCount val="13"/>
                <c:pt idx="0">
                  <c:v>1.0</c:v>
                </c:pt>
                <c:pt idx="1">
                  <c:v>0.0</c:v>
                </c:pt>
                <c:pt idx="2">
                  <c:v>4.0</c:v>
                </c:pt>
                <c:pt idx="3">
                  <c:v>1.0</c:v>
                </c:pt>
                <c:pt idx="4">
                  <c:v>0.0</c:v>
                </c:pt>
                <c:pt idx="5">
                  <c:v>2.0</c:v>
                </c:pt>
                <c:pt idx="6">
                  <c:v>1.0</c:v>
                </c:pt>
                <c:pt idx="7">
                  <c:v>1.0</c:v>
                </c:pt>
                <c:pt idx="8">
                  <c:v>0.0</c:v>
                </c:pt>
                <c:pt idx="9">
                  <c:v>1.0</c:v>
                </c:pt>
                <c:pt idx="10">
                  <c:v>1.0</c:v>
                </c:pt>
                <c:pt idx="11">
                  <c:v>0.0</c:v>
                </c:pt>
                <c:pt idx="12">
                  <c:v>0.0</c:v>
                </c:pt>
              </c:numCache>
            </c:numRef>
          </c:val>
        </c:ser>
        <c:dLbls>
          <c:showLegendKey val="0"/>
          <c:showVal val="0"/>
          <c:showCatName val="0"/>
          <c:showSerName val="0"/>
          <c:showPercent val="0"/>
          <c:showBubbleSize val="0"/>
        </c:dLbls>
        <c:gapWidth val="150"/>
        <c:axId val="-1179536224"/>
        <c:axId val="-1179532832"/>
      </c:barChart>
      <c:catAx>
        <c:axId val="-1179536224"/>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Residuals of y</a:t>
                </a:r>
              </a:p>
            </c:rich>
          </c:tx>
          <c:layout>
            <c:manualLayout>
              <c:xMode val="edge"/>
              <c:yMode val="edge"/>
              <c:x val="0.373494481864466"/>
              <c:y val="0.906252916302129"/>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5400000" vert="horz"/>
          <a:lstStyle/>
          <a:p>
            <a:pPr>
              <a:defRPr sz="1000" b="0" i="0" u="none" strike="noStrike" baseline="0">
                <a:solidFill>
                  <a:srgbClr val="000000"/>
                </a:solidFill>
                <a:latin typeface="Calibri"/>
                <a:ea typeface="Calibri"/>
                <a:cs typeface="Calibri"/>
              </a:defRPr>
            </a:pPr>
            <a:endParaRPr lang="en-US"/>
          </a:p>
        </c:txPr>
        <c:crossAx val="-1179532832"/>
        <c:crossesAt val="0.0"/>
        <c:auto val="1"/>
        <c:lblAlgn val="ctr"/>
        <c:lblOffset val="100"/>
        <c:tickLblSkip val="2"/>
        <c:tickMarkSkip val="1"/>
        <c:noMultiLvlLbl val="0"/>
      </c:catAx>
      <c:valAx>
        <c:axId val="-1179532832"/>
        <c:scaling>
          <c:orientation val="minMax"/>
        </c:scaling>
        <c:delete val="0"/>
        <c:axPos val="l"/>
        <c:majorGridlines>
          <c:spPr>
            <a:ln w="3175">
              <a:solidFill>
                <a:srgbClr val="808080"/>
              </a:solidFill>
              <a:prstDash val="solid"/>
            </a:ln>
          </c:spPr>
        </c:majorGridlines>
        <c:title>
          <c:tx>
            <c:rich>
              <a:bodyPr/>
              <a:lstStyle/>
              <a:p>
                <a:pPr>
                  <a:defRPr sz="1000" b="1" i="0" u="none" strike="noStrike" baseline="0">
                    <a:solidFill>
                      <a:srgbClr val="000000"/>
                    </a:solidFill>
                    <a:latin typeface="Calibri"/>
                    <a:ea typeface="Calibri"/>
                    <a:cs typeface="Calibri"/>
                  </a:defRPr>
                </a:pPr>
                <a:r>
                  <a:rPr lang="en-US"/>
                  <a:t>Axis Title</a:t>
                </a:r>
              </a:p>
            </c:rich>
          </c:tx>
          <c:layout>
            <c:manualLayout>
              <c:xMode val="edge"/>
              <c:yMode val="edge"/>
              <c:x val="0.0530120481927711"/>
              <c:y val="0.416668124817731"/>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179536224"/>
        <c:crossesAt val="1.0"/>
        <c:crossBetween val="between"/>
      </c:valAx>
      <c:spPr>
        <a:solidFill>
          <a:srgbClr val="FFFFFF"/>
        </a:solidFill>
        <a:ln w="25400">
          <a:noFill/>
        </a:ln>
      </c:spPr>
    </c:plotArea>
    <c:legend>
      <c:legendPos val="r"/>
      <c:layout>
        <c:manualLayout>
          <c:xMode val="edge"/>
          <c:yMode val="edge"/>
          <c:x val="0.761446795054232"/>
          <c:y val="0.701391440653252"/>
          <c:w val="0.190361698763558"/>
          <c:h val="0.0833336978710995"/>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alignWithMargins="0"/>
    <c:pageMargins b="1.0" l="0.75" r="0.75" t="1.0" header="0.511805555555556" footer="0.511805555555556"/>
    <c:pageSetup firstPageNumber="0"/>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Residuals of y</a:t>
            </a:r>
          </a:p>
        </c:rich>
      </c:tx>
      <c:layout>
        <c:manualLayout>
          <c:xMode val="edge"/>
          <c:yMode val="edge"/>
          <c:x val="0.324582338902148"/>
          <c:y val="0.0247349823321555"/>
        </c:manualLayout>
      </c:layout>
      <c:overlay val="0"/>
      <c:spPr>
        <a:noFill/>
        <a:ln w="25400">
          <a:noFill/>
        </a:ln>
      </c:spPr>
    </c:title>
    <c:autoTitleDeleted val="0"/>
    <c:plotArea>
      <c:layout>
        <c:manualLayout>
          <c:layoutTarget val="inner"/>
          <c:xMode val="edge"/>
          <c:yMode val="edge"/>
          <c:x val="0.0954653937947494"/>
          <c:y val="0.335689625127031"/>
          <c:w val="0.551312649164678"/>
          <c:h val="0.445230450168483"/>
        </c:manualLayout>
      </c:layout>
      <c:scatterChart>
        <c:scatterStyle val="lineMarker"/>
        <c:varyColors val="0"/>
        <c:ser>
          <c:idx val="0"/>
          <c:order val="0"/>
          <c:tx>
            <c:v>Skeletal Boxplot</c:v>
          </c:tx>
          <c:spPr>
            <a:ln w="25400">
              <a:solidFill>
                <a:srgbClr val="666699"/>
              </a:solidFill>
              <a:prstDash val="solid"/>
            </a:ln>
          </c:spPr>
          <c:marker>
            <c:symbol val="diamond"/>
            <c:size val="6"/>
            <c:spPr>
              <a:solidFill>
                <a:srgbClr val="666699"/>
              </a:solidFill>
              <a:ln>
                <a:solidFill>
                  <a:srgbClr val="666699"/>
                </a:solidFill>
                <a:prstDash val="solid"/>
              </a:ln>
            </c:spPr>
          </c:marker>
          <c:xVal>
            <c:numRef>
              <c:f>LiveRegression!$W$74:$W$78</c:f>
              <c:numCache>
                <c:formatCode>General</c:formatCode>
                <c:ptCount val="5"/>
                <c:pt idx="0">
                  <c:v>-237.1378963505194</c:v>
                </c:pt>
                <c:pt idx="1">
                  <c:v>-117.6798447236788</c:v>
                </c:pt>
                <c:pt idx="2">
                  <c:v>-23.0139553632771</c:v>
                </c:pt>
                <c:pt idx="3">
                  <c:v>117.037139981786</c:v>
                </c:pt>
                <c:pt idx="4">
                  <c:v>263.0493045524254</c:v>
                </c:pt>
              </c:numCache>
            </c:numRef>
          </c:xVal>
          <c:yVal>
            <c:numRef>
              <c:f>LiveRegression!$X$74:$X$78</c:f>
              <c:numCache>
                <c:formatCode>General</c:formatCode>
                <c:ptCount val="5"/>
                <c:pt idx="0">
                  <c:v>1.1</c:v>
                </c:pt>
                <c:pt idx="1">
                  <c:v>1.1</c:v>
                </c:pt>
                <c:pt idx="2">
                  <c:v>1.1</c:v>
                </c:pt>
                <c:pt idx="3">
                  <c:v>1.1</c:v>
                </c:pt>
                <c:pt idx="4">
                  <c:v>1.1</c:v>
                </c:pt>
              </c:numCache>
            </c:numRef>
          </c:yVal>
          <c:smooth val="0"/>
        </c:ser>
        <c:ser>
          <c:idx val="1"/>
          <c:order val="1"/>
          <c:tx>
            <c:strRef>
              <c:f>LiveRegression!$M$42</c:f>
              <c:strCache>
                <c:ptCount val="1"/>
                <c:pt idx="0">
                  <c:v>Residuals of Avg. per Day</c:v>
                </c:pt>
              </c:strCache>
            </c:strRef>
          </c:tx>
          <c:spPr>
            <a:ln w="28575">
              <a:noFill/>
            </a:ln>
          </c:spPr>
          <c:marker>
            <c:symbol val="square"/>
            <c:size val="6"/>
            <c:spPr>
              <a:solidFill>
                <a:srgbClr val="993366"/>
              </a:solidFill>
              <a:ln>
                <a:solidFill>
                  <a:srgbClr val="993366"/>
                </a:solidFill>
                <a:prstDash val="solid"/>
              </a:ln>
            </c:spPr>
          </c:marker>
          <c:xVal>
            <c:numRef>
              <c:f>LiveRegression!$L$43:$L$79</c:f>
              <c:numCache>
                <c:formatCode>General</c:formatCode>
                <c:ptCount val="37"/>
                <c:pt idx="0">
                  <c:v>-237.1378963505194</c:v>
                </c:pt>
                <c:pt idx="1">
                  <c:v>-128.7942901763909</c:v>
                </c:pt>
                <c:pt idx="2">
                  <c:v>-127.5103105526432</c:v>
                </c:pt>
                <c:pt idx="3">
                  <c:v>-114.4030227806907</c:v>
                </c:pt>
                <c:pt idx="4">
                  <c:v>-111.9654369828131</c:v>
                </c:pt>
                <c:pt idx="5">
                  <c:v>-60.09886756961168</c:v>
                </c:pt>
                <c:pt idx="6">
                  <c:v>14.0709568430575</c:v>
                </c:pt>
                <c:pt idx="7">
                  <c:v>34.7255342362787</c:v>
                </c:pt>
                <c:pt idx="8">
                  <c:v>108.5070659376343</c:v>
                </c:pt>
                <c:pt idx="9">
                  <c:v>142.6273621142409</c:v>
                </c:pt>
                <c:pt idx="10">
                  <c:v>216.9296007290341</c:v>
                </c:pt>
                <c:pt idx="11">
                  <c:v>263.0493045524254</c:v>
                </c:pt>
              </c:numCache>
            </c:numRef>
          </c:xVal>
          <c:yVal>
            <c:numRef>
              <c:f>LiveRegression!$M$43:$M$79</c:f>
              <c:numCache>
                <c:formatCode>General</c:formatCode>
                <c:ptCount val="37"/>
                <c:pt idx="0">
                  <c:v>1.0</c:v>
                </c:pt>
                <c:pt idx="1">
                  <c:v>1.0</c:v>
                </c:pt>
                <c:pt idx="2">
                  <c:v>1.0</c:v>
                </c:pt>
                <c:pt idx="3">
                  <c:v>1.0</c:v>
                </c:pt>
                <c:pt idx="4">
                  <c:v>1.0</c:v>
                </c:pt>
                <c:pt idx="5">
                  <c:v>1.0</c:v>
                </c:pt>
                <c:pt idx="6">
                  <c:v>1.0</c:v>
                </c:pt>
                <c:pt idx="7">
                  <c:v>1.0</c:v>
                </c:pt>
                <c:pt idx="8">
                  <c:v>1.0</c:v>
                </c:pt>
                <c:pt idx="9">
                  <c:v>1.0</c:v>
                </c:pt>
                <c:pt idx="10">
                  <c:v>1.0</c:v>
                </c:pt>
                <c:pt idx="11">
                  <c:v>1.0</c:v>
                </c:pt>
              </c:numCache>
            </c:numRef>
          </c:yVal>
          <c:smooth val="0"/>
        </c:ser>
        <c:dLbls>
          <c:showLegendKey val="0"/>
          <c:showVal val="0"/>
          <c:showCatName val="0"/>
          <c:showSerName val="0"/>
          <c:showPercent val="0"/>
          <c:showBubbleSize val="0"/>
        </c:dLbls>
        <c:axId val="-1178624704"/>
        <c:axId val="-1178621584"/>
      </c:scatterChart>
      <c:valAx>
        <c:axId val="-1178624704"/>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Residuals of y</a:t>
                </a:r>
              </a:p>
            </c:rich>
          </c:tx>
          <c:layout>
            <c:manualLayout>
              <c:xMode val="edge"/>
              <c:yMode val="edge"/>
              <c:x val="0.279236276849642"/>
              <c:y val="0.890460847871048"/>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178621584"/>
        <c:crossesAt val="0.0"/>
        <c:crossBetween val="midCat"/>
      </c:valAx>
      <c:valAx>
        <c:axId val="-1178621584"/>
        <c:scaling>
          <c:orientation val="minMax"/>
        </c:scaling>
        <c:delete val="0"/>
        <c:axPos val="l"/>
        <c:majorGridlines>
          <c:spPr>
            <a:ln w="3175">
              <a:solidFill>
                <a:srgbClr val="808080"/>
              </a:solidFill>
              <a:prstDash val="solid"/>
            </a:ln>
          </c:spPr>
        </c:majorGridlines>
        <c:title>
          <c:tx>
            <c:rich>
              <a:bodyPr/>
              <a:lstStyle/>
              <a:p>
                <a:pPr>
                  <a:defRPr sz="1000" b="1" i="0" u="none" strike="noStrike" baseline="0">
                    <a:solidFill>
                      <a:srgbClr val="000000"/>
                    </a:solidFill>
                    <a:latin typeface="Calibri"/>
                    <a:ea typeface="Calibri"/>
                    <a:cs typeface="Calibri"/>
                  </a:defRPr>
                </a:pPr>
                <a:r>
                  <a:rPr lang="en-US"/>
                  <a:t>Dotplot count</a:t>
                </a:r>
              </a:p>
            </c:rich>
          </c:tx>
          <c:layout>
            <c:manualLayout>
              <c:xMode val="edge"/>
              <c:yMode val="edge"/>
              <c:x val="0.0143198090692124"/>
              <c:y val="0.416961872698775"/>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178624704"/>
        <c:crossesAt val="0.0"/>
        <c:crossBetween val="midCat"/>
      </c:valAx>
      <c:spPr>
        <a:solidFill>
          <a:srgbClr val="FFFFFF"/>
        </a:solidFill>
        <a:ln w="25400">
          <a:noFill/>
        </a:ln>
      </c:spPr>
    </c:plotArea>
    <c:legend>
      <c:legendPos val="r"/>
      <c:layout>
        <c:manualLayout>
          <c:xMode val="edge"/>
          <c:yMode val="edge"/>
          <c:x val="0.651551312649165"/>
          <c:y val="0.526502508741177"/>
          <c:w val="0.284009546539379"/>
          <c:h val="0.169611678398857"/>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alignWithMargins="0"/>
    <c:pageMargins b="1.0" l="0.75" r="0.75" t="1.0" header="0.511805555555556" footer="0.511805555555556"/>
    <c:pageSetup firstPageNumber="0"/>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Cumulative Relative Frequency of Residuals</a:t>
            </a:r>
          </a:p>
        </c:rich>
      </c:tx>
      <c:layout>
        <c:manualLayout>
          <c:xMode val="edge"/>
          <c:yMode val="edge"/>
          <c:x val="0.228915915631028"/>
          <c:y val="0.0277777777777778"/>
        </c:manualLayout>
      </c:layout>
      <c:overlay val="0"/>
      <c:spPr>
        <a:noFill/>
        <a:ln w="25400">
          <a:noFill/>
        </a:ln>
      </c:spPr>
    </c:title>
    <c:autoTitleDeleted val="0"/>
    <c:plotArea>
      <c:layout>
        <c:manualLayout>
          <c:layoutTarget val="inner"/>
          <c:xMode val="edge"/>
          <c:yMode val="edge"/>
          <c:x val="0.0602410347338982"/>
          <c:y val="0.496529461430737"/>
          <c:w val="0.52048254010088"/>
          <c:h val="0.284723187673569"/>
        </c:manualLayout>
      </c:layout>
      <c:scatterChart>
        <c:scatterStyle val="lineMarker"/>
        <c:varyColors val="0"/>
        <c:ser>
          <c:idx val="0"/>
          <c:order val="0"/>
          <c:tx>
            <c:strRef>
              <c:f>LiveRegression!$U$42</c:f>
              <c:strCache>
                <c:ptCount val="1"/>
                <c:pt idx="0">
                  <c:v>Cumulative Relative Frequency</c:v>
                </c:pt>
              </c:strCache>
            </c:strRef>
          </c:tx>
          <c:spPr>
            <a:ln w="25400">
              <a:solidFill>
                <a:srgbClr val="666699"/>
              </a:solidFill>
              <a:prstDash val="solid"/>
            </a:ln>
          </c:spPr>
          <c:marker>
            <c:symbol val="diamond"/>
            <c:size val="6"/>
            <c:spPr>
              <a:solidFill>
                <a:srgbClr val="666699"/>
              </a:solidFill>
              <a:ln>
                <a:solidFill>
                  <a:srgbClr val="666699"/>
                </a:solidFill>
                <a:prstDash val="solid"/>
              </a:ln>
            </c:spPr>
          </c:marker>
          <c:xVal>
            <c:numRef>
              <c:f>LiveRegression!$P$43:$P$55</c:f>
              <c:numCache>
                <c:formatCode>General</c:formatCode>
                <c:ptCount val="13"/>
                <c:pt idx="0">
                  <c:v>-187.1191762602249</c:v>
                </c:pt>
                <c:pt idx="1">
                  <c:v>-137.1004561699305</c:v>
                </c:pt>
                <c:pt idx="2">
                  <c:v>-87.08173607963597</c:v>
                </c:pt>
                <c:pt idx="3">
                  <c:v>-37.0630159893415</c:v>
                </c:pt>
                <c:pt idx="4">
                  <c:v>12.95570410095299</c:v>
                </c:pt>
                <c:pt idx="5">
                  <c:v>62.97442419124746</c:v>
                </c:pt>
                <c:pt idx="6">
                  <c:v>112.9931442815419</c:v>
                </c:pt>
                <c:pt idx="7">
                  <c:v>163.0118643718364</c:v>
                </c:pt>
                <c:pt idx="8">
                  <c:v>213.0305844621309</c:v>
                </c:pt>
                <c:pt idx="9">
                  <c:v>263.0493045524254</c:v>
                </c:pt>
                <c:pt idx="10">
                  <c:v>313.0680246427199</c:v>
                </c:pt>
                <c:pt idx="11">
                  <c:v>363.0867447330144</c:v>
                </c:pt>
                <c:pt idx="12">
                  <c:v>413.1054648233088</c:v>
                </c:pt>
              </c:numCache>
            </c:numRef>
          </c:xVal>
          <c:yVal>
            <c:numRef>
              <c:f>LiveRegression!$U$43:$U$55</c:f>
              <c:numCache>
                <c:formatCode>0%</c:formatCode>
                <c:ptCount val="13"/>
                <c:pt idx="0">
                  <c:v>0.0833333333333333</c:v>
                </c:pt>
                <c:pt idx="1">
                  <c:v>0.0833333333333333</c:v>
                </c:pt>
                <c:pt idx="2">
                  <c:v>0.416666666666667</c:v>
                </c:pt>
                <c:pt idx="3">
                  <c:v>0.5</c:v>
                </c:pt>
                <c:pt idx="4">
                  <c:v>0.5</c:v>
                </c:pt>
                <c:pt idx="5">
                  <c:v>0.666666666666667</c:v>
                </c:pt>
                <c:pt idx="6">
                  <c:v>0.75</c:v>
                </c:pt>
                <c:pt idx="7">
                  <c:v>0.833333333333333</c:v>
                </c:pt>
                <c:pt idx="8">
                  <c:v>0.833333333333333</c:v>
                </c:pt>
                <c:pt idx="9">
                  <c:v>0.916666666666667</c:v>
                </c:pt>
                <c:pt idx="10">
                  <c:v>1.0</c:v>
                </c:pt>
                <c:pt idx="11">
                  <c:v>1.0</c:v>
                </c:pt>
                <c:pt idx="12">
                  <c:v>1.0</c:v>
                </c:pt>
              </c:numCache>
            </c:numRef>
          </c:yVal>
          <c:smooth val="0"/>
        </c:ser>
        <c:dLbls>
          <c:showLegendKey val="0"/>
          <c:showVal val="0"/>
          <c:showCatName val="0"/>
          <c:showSerName val="0"/>
          <c:showPercent val="0"/>
          <c:showBubbleSize val="0"/>
        </c:dLbls>
        <c:axId val="-1226489424"/>
        <c:axId val="-1226486992"/>
      </c:scatterChart>
      <c:valAx>
        <c:axId val="-1226489424"/>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Residuals of y</a:t>
                </a:r>
              </a:p>
            </c:rich>
          </c:tx>
          <c:layout>
            <c:manualLayout>
              <c:xMode val="edge"/>
              <c:yMode val="edge"/>
              <c:x val="0.228915915631028"/>
              <c:y val="0.888891805191018"/>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226486992"/>
        <c:crossesAt val="0.0"/>
        <c:crossBetween val="midCat"/>
      </c:valAx>
      <c:valAx>
        <c:axId val="-1226486992"/>
        <c:scaling>
          <c:orientation val="minMax"/>
        </c:scaling>
        <c:delete val="0"/>
        <c:axPos val="l"/>
        <c:majorGridlines>
          <c:spPr>
            <a:ln w="3175">
              <a:solidFill>
                <a:srgbClr val="808080"/>
              </a:solidFill>
              <a:prstDash val="solid"/>
            </a:ln>
          </c:spPr>
        </c:majorGridlines>
        <c:numFmt formatCode="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226489424"/>
        <c:crossesAt val="0.0"/>
        <c:crossBetween val="midCat"/>
      </c:valAx>
      <c:spPr>
        <a:solidFill>
          <a:srgbClr val="FFFFFF"/>
        </a:solidFill>
        <a:ln w="25400">
          <a:noFill/>
        </a:ln>
      </c:spPr>
    </c:plotArea>
    <c:legend>
      <c:legendPos val="r"/>
      <c:layout>
        <c:manualLayout>
          <c:xMode val="edge"/>
          <c:yMode val="edge"/>
          <c:x val="0.580723650507542"/>
          <c:y val="0.611113298337708"/>
          <c:w val="0.344578819213863"/>
          <c:h val="0.138889253426655"/>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alignWithMargins="0"/>
    <c:pageMargins b="1.0" l="0.75" r="0.75" t="1.0" header="0.511805555555556" footer="0.511805555555556"/>
    <c:pageSetup firstPageNumber="0"/>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Q-Q Normal Probability Plot Of Residuals</a:t>
            </a:r>
          </a:p>
        </c:rich>
      </c:tx>
      <c:layout>
        <c:manualLayout>
          <c:xMode val="edge"/>
          <c:yMode val="edge"/>
          <c:x val="0.228915915631028"/>
          <c:y val="0.0277777777777778"/>
        </c:manualLayout>
      </c:layout>
      <c:overlay val="0"/>
      <c:spPr>
        <a:noFill/>
        <a:ln w="25400">
          <a:noFill/>
        </a:ln>
      </c:spPr>
    </c:title>
    <c:autoTitleDeleted val="0"/>
    <c:plotArea>
      <c:layout>
        <c:manualLayout>
          <c:layoutTarget val="inner"/>
          <c:xMode val="edge"/>
          <c:yMode val="edge"/>
          <c:x val="0.0891567314061693"/>
          <c:y val="0.496529461430737"/>
          <c:w val="0.479518636481829"/>
          <c:h val="0.378473505566086"/>
        </c:manualLayout>
      </c:layout>
      <c:scatterChart>
        <c:scatterStyle val="lineMarker"/>
        <c:varyColors val="0"/>
        <c:ser>
          <c:idx val="0"/>
          <c:order val="0"/>
          <c:tx>
            <c:strRef>
              <c:f>LiveRegression!$L$42</c:f>
              <c:strCache>
                <c:ptCount val="1"/>
                <c:pt idx="0">
                  <c:v>Ordered Residuals of Avg. per Day</c:v>
                </c:pt>
              </c:strCache>
            </c:strRef>
          </c:tx>
          <c:spPr>
            <a:ln w="28575">
              <a:noFill/>
            </a:ln>
          </c:spPr>
          <c:marker>
            <c:symbol val="diamond"/>
            <c:size val="6"/>
            <c:spPr>
              <a:solidFill>
                <a:srgbClr val="666699"/>
              </a:solidFill>
              <a:ln>
                <a:solidFill>
                  <a:srgbClr val="666699"/>
                </a:solidFill>
                <a:prstDash val="solid"/>
              </a:ln>
            </c:spPr>
          </c:marker>
          <c:trendline>
            <c:spPr>
              <a:ln w="3175">
                <a:solidFill>
                  <a:srgbClr val="000000"/>
                </a:solidFill>
                <a:prstDash val="solid"/>
              </a:ln>
            </c:spPr>
            <c:trendlineType val="linear"/>
            <c:dispRSqr val="1"/>
            <c:dispEq val="1"/>
            <c:trendlineLbl>
              <c:numFmt formatCode="General" sourceLinked="0"/>
              <c:spPr>
                <a:noFill/>
                <a:ln w="25400">
                  <a:noFill/>
                </a:ln>
              </c:spPr>
              <c:txPr>
                <a:bodyPr/>
                <a:lstStyle/>
                <a:p>
                  <a:pPr algn="l">
                    <a:defRPr sz="1000" b="0" i="0" u="none" strike="noStrike" baseline="0">
                      <a:solidFill>
                        <a:srgbClr val="000000"/>
                      </a:solidFill>
                      <a:latin typeface="Calibri"/>
                      <a:ea typeface="Calibri"/>
                      <a:cs typeface="Calibri"/>
                    </a:defRPr>
                  </a:pPr>
                  <a:endParaRPr lang="en-US"/>
                </a:p>
              </c:txPr>
            </c:trendlineLbl>
          </c:trendline>
          <c:xVal>
            <c:numRef>
              <c:f>LiveRegression!$K$43:$K$79</c:f>
              <c:numCache>
                <c:formatCode>0.0000</c:formatCode>
                <c:ptCount val="37"/>
                <c:pt idx="0">
                  <c:v>-1.731664396122245</c:v>
                </c:pt>
                <c:pt idx="1">
                  <c:v>-1.150349380376008</c:v>
                </c:pt>
                <c:pt idx="2">
                  <c:v>-0.812217801499912</c:v>
                </c:pt>
                <c:pt idx="3">
                  <c:v>-0.548522282698098</c:v>
                </c:pt>
                <c:pt idx="4">
                  <c:v>-0.318639363964375</c:v>
                </c:pt>
                <c:pt idx="5">
                  <c:v>-0.104633455614075</c:v>
                </c:pt>
                <c:pt idx="6">
                  <c:v>0.104633455614075</c:v>
                </c:pt>
                <c:pt idx="7">
                  <c:v>0.318639363964375</c:v>
                </c:pt>
                <c:pt idx="8">
                  <c:v>0.548522282698098</c:v>
                </c:pt>
                <c:pt idx="9">
                  <c:v>0.812217801499912</c:v>
                </c:pt>
                <c:pt idx="10">
                  <c:v>1.150349380376008</c:v>
                </c:pt>
                <c:pt idx="11">
                  <c:v>1.731664396122245</c:v>
                </c:pt>
              </c:numCache>
            </c:numRef>
          </c:xVal>
          <c:yVal>
            <c:numRef>
              <c:f>LiveRegression!$L$43:$L$79</c:f>
              <c:numCache>
                <c:formatCode>General</c:formatCode>
                <c:ptCount val="37"/>
                <c:pt idx="0">
                  <c:v>-237.1378963505194</c:v>
                </c:pt>
                <c:pt idx="1">
                  <c:v>-128.7942901763909</c:v>
                </c:pt>
                <c:pt idx="2">
                  <c:v>-127.5103105526432</c:v>
                </c:pt>
                <c:pt idx="3">
                  <c:v>-114.4030227806907</c:v>
                </c:pt>
                <c:pt idx="4">
                  <c:v>-111.9654369828131</c:v>
                </c:pt>
                <c:pt idx="5">
                  <c:v>-60.09886756961168</c:v>
                </c:pt>
                <c:pt idx="6">
                  <c:v>14.0709568430575</c:v>
                </c:pt>
                <c:pt idx="7">
                  <c:v>34.7255342362787</c:v>
                </c:pt>
                <c:pt idx="8">
                  <c:v>108.5070659376343</c:v>
                </c:pt>
                <c:pt idx="9">
                  <c:v>142.6273621142409</c:v>
                </c:pt>
                <c:pt idx="10">
                  <c:v>216.9296007290341</c:v>
                </c:pt>
                <c:pt idx="11">
                  <c:v>263.0493045524254</c:v>
                </c:pt>
              </c:numCache>
            </c:numRef>
          </c:yVal>
          <c:smooth val="0"/>
        </c:ser>
        <c:dLbls>
          <c:showLegendKey val="0"/>
          <c:showVal val="0"/>
          <c:showCatName val="0"/>
          <c:showSerName val="0"/>
          <c:showPercent val="0"/>
          <c:showBubbleSize val="0"/>
        </c:dLbls>
        <c:axId val="-1328702128"/>
        <c:axId val="-1328698672"/>
      </c:scatterChart>
      <c:valAx>
        <c:axId val="-1328702128"/>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Normal score</a:t>
                </a:r>
              </a:p>
            </c:rich>
          </c:tx>
          <c:layout>
            <c:manualLayout>
              <c:xMode val="edge"/>
              <c:yMode val="edge"/>
              <c:x val="0.236144831293679"/>
              <c:y val="0.906252916302129"/>
            </c:manualLayout>
          </c:layout>
          <c:overlay val="0"/>
          <c:spPr>
            <a:noFill/>
            <a:ln w="25400">
              <a:noFill/>
            </a:ln>
          </c:spPr>
        </c:title>
        <c:numFmt formatCode="0.000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328698672"/>
        <c:crossesAt val="0.0"/>
        <c:crossBetween val="midCat"/>
      </c:valAx>
      <c:valAx>
        <c:axId val="-1328698672"/>
        <c:scaling>
          <c:orientation val="minMax"/>
        </c:scaling>
        <c:delete val="0"/>
        <c:axPos val="l"/>
        <c:majorGridlines>
          <c:spPr>
            <a:ln w="3175">
              <a:solidFill>
                <a:srgbClr val="808080"/>
              </a:solidFill>
              <a:prstDash val="solid"/>
            </a:ln>
          </c:spPr>
        </c:majorGridlines>
        <c:title>
          <c:tx>
            <c:rich>
              <a:bodyPr/>
              <a:lstStyle/>
              <a:p>
                <a:pPr>
                  <a:defRPr sz="1000" b="1" i="0" u="none" strike="noStrike" baseline="0">
                    <a:solidFill>
                      <a:srgbClr val="000000"/>
                    </a:solidFill>
                    <a:latin typeface="Calibri"/>
                    <a:ea typeface="Calibri"/>
                    <a:cs typeface="Calibri"/>
                  </a:defRPr>
                </a:pPr>
                <a:r>
                  <a:rPr lang="en-US"/>
                  <a:t>Residuals of y</a:t>
                </a:r>
              </a:p>
            </c:rich>
          </c:tx>
          <c:layout>
            <c:manualLayout>
              <c:xMode val="edge"/>
              <c:yMode val="edge"/>
              <c:x val="0.0120481927710843"/>
              <c:y val="0.552085156022164"/>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328702128"/>
        <c:crossesAt val="0.0"/>
        <c:crossBetween val="midCat"/>
      </c:valAx>
      <c:spPr>
        <a:solidFill>
          <a:srgbClr val="FFFFFF"/>
        </a:solidFill>
        <a:ln w="25400">
          <a:noFill/>
        </a:ln>
      </c:spPr>
    </c:plotArea>
    <c:legend>
      <c:legendPos val="r"/>
      <c:layout>
        <c:manualLayout>
          <c:xMode val="edge"/>
          <c:yMode val="edge"/>
          <c:x val="0.590362204724409"/>
          <c:y val="0.565974044911053"/>
          <c:w val="0.334940264996996"/>
          <c:h val="0.277778871391076"/>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alignWithMargins="0"/>
    <c:pageMargins b="1.0" l="0.75" r="0.75" t="1.0" header="0.511805555555556" footer="0.511805555555556"/>
    <c:pageSetup firstPageNumber="0"/>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Empirical CDF of Residuals</a:t>
            </a:r>
          </a:p>
        </c:rich>
      </c:tx>
      <c:layout>
        <c:manualLayout>
          <c:xMode val="edge"/>
          <c:yMode val="edge"/>
          <c:x val="0.168674951775606"/>
          <c:y val="0.0277777777777778"/>
        </c:manualLayout>
      </c:layout>
      <c:overlay val="0"/>
      <c:spPr>
        <a:noFill/>
        <a:ln w="25400">
          <a:noFill/>
        </a:ln>
      </c:spPr>
    </c:title>
    <c:autoTitleDeleted val="0"/>
    <c:plotArea>
      <c:layout>
        <c:manualLayout>
          <c:layoutTarget val="inner"/>
          <c:xMode val="edge"/>
          <c:yMode val="edge"/>
          <c:x val="0.0963856555742371"/>
          <c:y val="0.329862229621818"/>
          <c:w val="0.506024691764745"/>
          <c:h val="0.454862653478507"/>
        </c:manualLayout>
      </c:layout>
      <c:scatterChart>
        <c:scatterStyle val="lineMarker"/>
        <c:varyColors val="0"/>
        <c:ser>
          <c:idx val="0"/>
          <c:order val="0"/>
          <c:tx>
            <c:strRef>
              <c:f>LiveRegression!$L$42</c:f>
              <c:strCache>
                <c:ptCount val="1"/>
                <c:pt idx="0">
                  <c:v>Ordered Residuals of Avg. per Day</c:v>
                </c:pt>
              </c:strCache>
            </c:strRef>
          </c:tx>
          <c:spPr>
            <a:ln w="28575">
              <a:noFill/>
            </a:ln>
          </c:spPr>
          <c:marker>
            <c:symbol val="diamond"/>
            <c:size val="6"/>
            <c:spPr>
              <a:solidFill>
                <a:srgbClr val="666699"/>
              </a:solidFill>
              <a:ln>
                <a:solidFill>
                  <a:srgbClr val="666699"/>
                </a:solidFill>
                <a:prstDash val="solid"/>
              </a:ln>
            </c:spPr>
          </c:marker>
          <c:xVal>
            <c:numRef>
              <c:f>LiveRegression!$L$43:$L$79</c:f>
              <c:numCache>
                <c:formatCode>General</c:formatCode>
                <c:ptCount val="37"/>
                <c:pt idx="0">
                  <c:v>-237.1378963505194</c:v>
                </c:pt>
                <c:pt idx="1">
                  <c:v>-128.7942901763909</c:v>
                </c:pt>
                <c:pt idx="2">
                  <c:v>-127.5103105526432</c:v>
                </c:pt>
                <c:pt idx="3">
                  <c:v>-114.4030227806907</c:v>
                </c:pt>
                <c:pt idx="4">
                  <c:v>-111.9654369828131</c:v>
                </c:pt>
                <c:pt idx="5">
                  <c:v>-60.09886756961168</c:v>
                </c:pt>
                <c:pt idx="6">
                  <c:v>14.0709568430575</c:v>
                </c:pt>
                <c:pt idx="7">
                  <c:v>34.7255342362787</c:v>
                </c:pt>
                <c:pt idx="8">
                  <c:v>108.5070659376343</c:v>
                </c:pt>
                <c:pt idx="9">
                  <c:v>142.6273621142409</c:v>
                </c:pt>
                <c:pt idx="10">
                  <c:v>216.9296007290341</c:v>
                </c:pt>
                <c:pt idx="11">
                  <c:v>263.0493045524254</c:v>
                </c:pt>
              </c:numCache>
            </c:numRef>
          </c:xVal>
          <c:yVal>
            <c:numRef>
              <c:f>LiveRegression!$I$43:$I$79</c:f>
              <c:numCache>
                <c:formatCode>General</c:formatCode>
                <c:ptCount val="37"/>
                <c:pt idx="0">
                  <c:v>0.0416666666666667</c:v>
                </c:pt>
                <c:pt idx="1">
                  <c:v>0.125</c:v>
                </c:pt>
                <c:pt idx="2">
                  <c:v>0.208333333333333</c:v>
                </c:pt>
                <c:pt idx="3">
                  <c:v>0.291666666666667</c:v>
                </c:pt>
                <c:pt idx="4">
                  <c:v>0.375</c:v>
                </c:pt>
                <c:pt idx="5">
                  <c:v>0.458333333333333</c:v>
                </c:pt>
                <c:pt idx="6">
                  <c:v>0.541666666666667</c:v>
                </c:pt>
                <c:pt idx="7">
                  <c:v>0.625</c:v>
                </c:pt>
                <c:pt idx="8">
                  <c:v>0.708333333333333</c:v>
                </c:pt>
                <c:pt idx="9">
                  <c:v>0.791666666666667</c:v>
                </c:pt>
                <c:pt idx="10">
                  <c:v>0.875</c:v>
                </c:pt>
                <c:pt idx="11">
                  <c:v>0.958333333333333</c:v>
                </c:pt>
              </c:numCache>
            </c:numRef>
          </c:yVal>
          <c:smooth val="0"/>
        </c:ser>
        <c:dLbls>
          <c:showLegendKey val="0"/>
          <c:showVal val="0"/>
          <c:showCatName val="0"/>
          <c:showSerName val="0"/>
          <c:showPercent val="0"/>
          <c:showBubbleSize val="0"/>
        </c:dLbls>
        <c:axId val="-1295140720"/>
        <c:axId val="-1295137600"/>
      </c:scatterChart>
      <c:valAx>
        <c:axId val="-129514072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Residuals of y</a:t>
                </a:r>
              </a:p>
            </c:rich>
          </c:tx>
          <c:layout>
            <c:manualLayout>
              <c:xMode val="edge"/>
              <c:yMode val="edge"/>
              <c:x val="0.25783157828163"/>
              <c:y val="0.89236402741324"/>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295137600"/>
        <c:crossesAt val="0.0"/>
        <c:crossBetween val="midCat"/>
      </c:valAx>
      <c:valAx>
        <c:axId val="-1295137600"/>
        <c:scaling>
          <c:orientation val="minMax"/>
        </c:scaling>
        <c:delete val="0"/>
        <c:axPos val="l"/>
        <c:majorGridlines>
          <c:spPr>
            <a:ln w="3175">
              <a:solidFill>
                <a:srgbClr val="808080"/>
              </a:solidFill>
              <a:prstDash val="solid"/>
            </a:ln>
          </c:spPr>
        </c:majorGridlines>
        <c:title>
          <c:tx>
            <c:rich>
              <a:bodyPr/>
              <a:lstStyle/>
              <a:p>
                <a:pPr>
                  <a:defRPr sz="1000" b="1" i="0" u="none" strike="noStrike" baseline="0">
                    <a:solidFill>
                      <a:srgbClr val="000000"/>
                    </a:solidFill>
                    <a:latin typeface="Calibri"/>
                    <a:ea typeface="Calibri"/>
                    <a:cs typeface="Calibri"/>
                  </a:defRPr>
                </a:pPr>
                <a:r>
                  <a:rPr lang="en-US"/>
                  <a:t>Relative Rank</a:t>
                </a:r>
              </a:p>
            </c:rich>
          </c:tx>
          <c:layout>
            <c:manualLayout>
              <c:xMode val="edge"/>
              <c:yMode val="edge"/>
              <c:x val="0.0144578313253012"/>
              <c:y val="0.423612569262176"/>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295140720"/>
        <c:crossesAt val="0.0"/>
        <c:crossBetween val="midCat"/>
      </c:valAx>
      <c:spPr>
        <a:solidFill>
          <a:srgbClr val="FFFFFF"/>
        </a:solidFill>
        <a:ln w="25400">
          <a:noFill/>
        </a:ln>
      </c:spPr>
    </c:plotArea>
    <c:legend>
      <c:legendPos val="r"/>
      <c:layout>
        <c:manualLayout>
          <c:xMode val="edge"/>
          <c:yMode val="edge"/>
          <c:x val="0.604820036049711"/>
          <c:y val="0.538196267133275"/>
          <c:w val="0.325301710780128"/>
          <c:h val="0.138889253426655"/>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alignWithMargins="0"/>
    <c:pageMargins b="1.0" l="0.75" r="0.75" t="1.0" header="0.511805555555556" footer="0.511805555555556"/>
    <c:pageSetup firstPageNumber="0"/>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Run Sequence Plot of Residuals</a:t>
            </a:r>
          </a:p>
        </c:rich>
      </c:tx>
      <c:layout>
        <c:manualLayout>
          <c:xMode val="edge"/>
          <c:yMode val="edge"/>
          <c:x val="0.113253265028618"/>
          <c:y val="0.0277777777777778"/>
        </c:manualLayout>
      </c:layout>
      <c:overlay val="0"/>
      <c:spPr>
        <a:noFill/>
        <a:ln w="25400">
          <a:noFill/>
        </a:ln>
      </c:spPr>
    </c:title>
    <c:autoTitleDeleted val="0"/>
    <c:plotArea>
      <c:layout>
        <c:manualLayout>
          <c:layoutTarget val="inner"/>
          <c:xMode val="edge"/>
          <c:yMode val="edge"/>
          <c:x val="0.178313462812339"/>
          <c:y val="0.329862229621818"/>
          <c:w val="0.436145091473423"/>
          <c:h val="0.545140737375005"/>
        </c:manualLayout>
      </c:layout>
      <c:scatterChart>
        <c:scatterStyle val="lineMarker"/>
        <c:varyColors val="0"/>
        <c:ser>
          <c:idx val="0"/>
          <c:order val="0"/>
          <c:tx>
            <c:strRef>
              <c:f>LiveRegression!$E$42</c:f>
              <c:strCache>
                <c:ptCount val="1"/>
                <c:pt idx="0">
                  <c:v>Residuals of Avg. per Day</c:v>
                </c:pt>
              </c:strCache>
            </c:strRef>
          </c:tx>
          <c:spPr>
            <a:ln w="25400">
              <a:solidFill>
                <a:srgbClr val="666699"/>
              </a:solidFill>
              <a:prstDash val="solid"/>
            </a:ln>
          </c:spPr>
          <c:marker>
            <c:symbol val="diamond"/>
            <c:size val="6"/>
            <c:spPr>
              <a:solidFill>
                <a:srgbClr val="666699"/>
              </a:solidFill>
              <a:ln>
                <a:solidFill>
                  <a:srgbClr val="666699"/>
                </a:solidFill>
                <a:prstDash val="solid"/>
              </a:ln>
            </c:spPr>
          </c:marker>
          <c:trendline>
            <c:spPr>
              <a:ln w="3175">
                <a:solidFill>
                  <a:srgbClr val="000000"/>
                </a:solidFill>
                <a:prstDash val="solid"/>
              </a:ln>
            </c:spPr>
            <c:trendlineType val="linear"/>
            <c:dispRSqr val="1"/>
            <c:dispEq val="1"/>
            <c:trendlineLbl>
              <c:numFmt formatCode="General" sourceLinked="0"/>
              <c:spPr>
                <a:noFill/>
                <a:ln w="25400">
                  <a:noFill/>
                </a:ln>
              </c:spPr>
              <c:txPr>
                <a:bodyPr/>
                <a:lstStyle/>
                <a:p>
                  <a:pPr algn="l">
                    <a:defRPr sz="1000" b="0" i="0" u="none" strike="noStrike" baseline="0">
                      <a:solidFill>
                        <a:srgbClr val="000000"/>
                      </a:solidFill>
                      <a:latin typeface="Calibri"/>
                      <a:ea typeface="Calibri"/>
                      <a:cs typeface="Calibri"/>
                    </a:defRPr>
                  </a:pPr>
                  <a:endParaRPr lang="en-US"/>
                </a:p>
              </c:txPr>
            </c:trendlineLbl>
          </c:trendline>
          <c:xVal>
            <c:numRef>
              <c:f>LiveRegression!$A$43:$A$79</c:f>
              <c:numCache>
                <c:formatCode>General</c:formatCode>
                <c:ptCount val="37"/>
                <c:pt idx="0">
                  <c:v>1.0</c:v>
                </c:pt>
                <c:pt idx="1">
                  <c:v>2.0</c:v>
                </c:pt>
                <c:pt idx="2">
                  <c:v>3.0</c:v>
                </c:pt>
                <c:pt idx="3">
                  <c:v>4.0</c:v>
                </c:pt>
                <c:pt idx="4">
                  <c:v>5.0</c:v>
                </c:pt>
                <c:pt idx="5">
                  <c:v>6.0</c:v>
                </c:pt>
                <c:pt idx="6">
                  <c:v>7.0</c:v>
                </c:pt>
                <c:pt idx="7">
                  <c:v>8.0</c:v>
                </c:pt>
                <c:pt idx="8">
                  <c:v>9.0</c:v>
                </c:pt>
                <c:pt idx="9">
                  <c:v>10.0</c:v>
                </c:pt>
                <c:pt idx="10">
                  <c:v>11.0</c:v>
                </c:pt>
                <c:pt idx="11">
                  <c:v>12.0</c:v>
                </c:pt>
              </c:numCache>
            </c:numRef>
          </c:xVal>
          <c:yVal>
            <c:numRef>
              <c:f>LiveRegression!$E$43:$E$79</c:f>
              <c:numCache>
                <c:formatCode>General</c:formatCode>
                <c:ptCount val="37"/>
                <c:pt idx="0">
                  <c:v>-60.09886756961168</c:v>
                </c:pt>
                <c:pt idx="1">
                  <c:v>216.9296007290341</c:v>
                </c:pt>
                <c:pt idx="2">
                  <c:v>142.6273621142409</c:v>
                </c:pt>
                <c:pt idx="3">
                  <c:v>-114.4030227806907</c:v>
                </c:pt>
                <c:pt idx="4">
                  <c:v>-111.9654369828131</c:v>
                </c:pt>
                <c:pt idx="5">
                  <c:v>-128.7942901763909</c:v>
                </c:pt>
                <c:pt idx="6">
                  <c:v>34.7255342362787</c:v>
                </c:pt>
                <c:pt idx="7">
                  <c:v>108.5070659376343</c:v>
                </c:pt>
                <c:pt idx="8">
                  <c:v>263.0493045524254</c:v>
                </c:pt>
                <c:pt idx="9">
                  <c:v>-127.5103105526432</c:v>
                </c:pt>
                <c:pt idx="10">
                  <c:v>-237.1378963505194</c:v>
                </c:pt>
                <c:pt idx="11">
                  <c:v>14.0709568430575</c:v>
                </c:pt>
              </c:numCache>
            </c:numRef>
          </c:yVal>
          <c:smooth val="0"/>
        </c:ser>
        <c:dLbls>
          <c:showLegendKey val="0"/>
          <c:showVal val="0"/>
          <c:showCatName val="0"/>
          <c:showSerName val="0"/>
          <c:showPercent val="0"/>
          <c:showBubbleSize val="0"/>
        </c:dLbls>
        <c:axId val="-1295503856"/>
        <c:axId val="-1295500736"/>
      </c:scatterChart>
      <c:valAx>
        <c:axId val="-1295503856"/>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Data Point # in Original Run Sequence</a:t>
                </a:r>
              </a:p>
            </c:rich>
          </c:tx>
          <c:layout>
            <c:manualLayout>
              <c:xMode val="edge"/>
              <c:yMode val="edge"/>
              <c:x val="0.144578566233438"/>
              <c:y val="0.906252916302129"/>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295500736"/>
        <c:crossesAt val="0.0"/>
        <c:crossBetween val="midCat"/>
      </c:valAx>
      <c:valAx>
        <c:axId val="-1295500736"/>
        <c:scaling>
          <c:orientation val="minMax"/>
        </c:scaling>
        <c:delete val="0"/>
        <c:axPos val="l"/>
        <c:majorGridlines>
          <c:spPr>
            <a:ln w="3175">
              <a:solidFill>
                <a:srgbClr val="808080"/>
              </a:solidFill>
              <a:prstDash val="solid"/>
            </a:ln>
          </c:spPr>
        </c:majorGridlines>
        <c:title>
          <c:tx>
            <c:rich>
              <a:bodyPr/>
              <a:lstStyle/>
              <a:p>
                <a:pPr>
                  <a:defRPr sz="1000" b="1" i="0" u="none" strike="noStrike" baseline="0">
                    <a:solidFill>
                      <a:srgbClr val="000000"/>
                    </a:solidFill>
                    <a:latin typeface="Calibri"/>
                    <a:ea typeface="Calibri"/>
                    <a:cs typeface="Calibri"/>
                  </a:defRPr>
                </a:pPr>
                <a:r>
                  <a:rPr lang="en-US"/>
                  <a:t>Residuals of y</a:t>
                </a:r>
              </a:p>
            </c:rich>
          </c:tx>
          <c:layout>
            <c:manualLayout>
              <c:xMode val="edge"/>
              <c:yMode val="edge"/>
              <c:x val="0.0506024096385542"/>
              <c:y val="0.468751458151064"/>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295503856"/>
        <c:crossesAt val="0.0"/>
        <c:crossBetween val="midCat"/>
      </c:valAx>
      <c:spPr>
        <a:solidFill>
          <a:srgbClr val="FFFFFF"/>
        </a:solidFill>
        <a:ln w="25400">
          <a:noFill/>
        </a:ln>
      </c:spPr>
    </c:plotArea>
    <c:legend>
      <c:legendPos val="r"/>
      <c:layout>
        <c:manualLayout>
          <c:xMode val="edge"/>
          <c:yMode val="edge"/>
          <c:x val="0.616868228820795"/>
          <c:y val="0.486112933799942"/>
          <c:w val="0.315662903582835"/>
          <c:h val="0.277778871391076"/>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alignWithMargins="0"/>
    <c:pageMargins b="1.0" l="0.75" r="0.75" t="1.0" header="0.511805555555556" footer="0.511805555555556"/>
    <c:pageSetup firstPageNumber="0"/>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Chart Title</a:t>
            </a:r>
          </a:p>
        </c:rich>
      </c:tx>
      <c:layout>
        <c:manualLayout>
          <c:xMode val="edge"/>
          <c:yMode val="edge"/>
          <c:x val="0.363855927647598"/>
          <c:y val="0.0277777777777778"/>
        </c:manualLayout>
      </c:layout>
      <c:overlay val="0"/>
      <c:spPr>
        <a:noFill/>
        <a:ln w="25400">
          <a:noFill/>
        </a:ln>
      </c:spPr>
    </c:title>
    <c:autoTitleDeleted val="0"/>
    <c:plotArea>
      <c:layout>
        <c:manualLayout>
          <c:layoutTarget val="inner"/>
          <c:xMode val="edge"/>
          <c:yMode val="edge"/>
          <c:x val="0.0963856555742371"/>
          <c:y val="0.329862229621818"/>
          <c:w val="0.52048254010088"/>
          <c:h val="0.545140737375005"/>
        </c:manualLayout>
      </c:layout>
      <c:scatterChart>
        <c:scatterStyle val="lineMarker"/>
        <c:varyColors val="0"/>
        <c:ser>
          <c:idx val="0"/>
          <c:order val="0"/>
          <c:tx>
            <c:strRef>
              <c:f>LiveRegression!$E$42</c:f>
              <c:strCache>
                <c:ptCount val="1"/>
                <c:pt idx="0">
                  <c:v>Residuals of Avg. per Day</c:v>
                </c:pt>
              </c:strCache>
            </c:strRef>
          </c:tx>
          <c:spPr>
            <a:ln w="28575">
              <a:noFill/>
            </a:ln>
          </c:spPr>
          <c:marker>
            <c:symbol val="diamond"/>
            <c:size val="6"/>
            <c:spPr>
              <a:solidFill>
                <a:srgbClr val="666699"/>
              </a:solidFill>
              <a:ln>
                <a:solidFill>
                  <a:srgbClr val="666699"/>
                </a:solidFill>
                <a:prstDash val="solid"/>
              </a:ln>
            </c:spPr>
          </c:marker>
          <c:trendline>
            <c:spPr>
              <a:ln w="3175">
                <a:solidFill>
                  <a:srgbClr val="000000"/>
                </a:solidFill>
                <a:prstDash val="solid"/>
              </a:ln>
            </c:spPr>
            <c:trendlineType val="linear"/>
            <c:dispRSqr val="1"/>
            <c:dispEq val="1"/>
            <c:trendlineLbl>
              <c:numFmt formatCode="General" sourceLinked="0"/>
              <c:spPr>
                <a:noFill/>
                <a:ln w="25400">
                  <a:noFill/>
                </a:ln>
              </c:spPr>
              <c:txPr>
                <a:bodyPr/>
                <a:lstStyle/>
                <a:p>
                  <a:pPr algn="l">
                    <a:defRPr sz="1000" b="0" i="0" u="none" strike="noStrike" baseline="0">
                      <a:solidFill>
                        <a:srgbClr val="000000"/>
                      </a:solidFill>
                      <a:latin typeface="Calibri"/>
                      <a:ea typeface="Calibri"/>
                      <a:cs typeface="Calibri"/>
                    </a:defRPr>
                  </a:pPr>
                  <a:endParaRPr lang="en-US"/>
                </a:p>
              </c:txPr>
            </c:trendlineLbl>
          </c:trendline>
          <c:xVal>
            <c:numRef>
              <c:f>LiveRegression!$E$43:$E$79</c:f>
              <c:numCache>
                <c:formatCode>General</c:formatCode>
                <c:ptCount val="37"/>
                <c:pt idx="0">
                  <c:v>-60.09886756961168</c:v>
                </c:pt>
                <c:pt idx="1">
                  <c:v>216.9296007290341</c:v>
                </c:pt>
                <c:pt idx="2">
                  <c:v>142.6273621142409</c:v>
                </c:pt>
                <c:pt idx="3">
                  <c:v>-114.4030227806907</c:v>
                </c:pt>
                <c:pt idx="4">
                  <c:v>-111.9654369828131</c:v>
                </c:pt>
                <c:pt idx="5">
                  <c:v>-128.7942901763909</c:v>
                </c:pt>
                <c:pt idx="6">
                  <c:v>34.7255342362787</c:v>
                </c:pt>
                <c:pt idx="7">
                  <c:v>108.5070659376343</c:v>
                </c:pt>
                <c:pt idx="8">
                  <c:v>263.0493045524254</c:v>
                </c:pt>
                <c:pt idx="9">
                  <c:v>-127.5103105526432</c:v>
                </c:pt>
                <c:pt idx="10">
                  <c:v>-237.1378963505194</c:v>
                </c:pt>
                <c:pt idx="11">
                  <c:v>14.0709568430575</c:v>
                </c:pt>
              </c:numCache>
            </c:numRef>
          </c:xVal>
          <c:yVal>
            <c:numRef>
              <c:f>LiveRegression!$E$44:$E$79</c:f>
              <c:numCache>
                <c:formatCode>General</c:formatCode>
                <c:ptCount val="36"/>
                <c:pt idx="0">
                  <c:v>216.9296007290341</c:v>
                </c:pt>
                <c:pt idx="1">
                  <c:v>142.6273621142409</c:v>
                </c:pt>
                <c:pt idx="2">
                  <c:v>-114.4030227806907</c:v>
                </c:pt>
                <c:pt idx="3">
                  <c:v>-111.9654369828131</c:v>
                </c:pt>
                <c:pt idx="4">
                  <c:v>-128.7942901763909</c:v>
                </c:pt>
                <c:pt idx="5">
                  <c:v>34.7255342362787</c:v>
                </c:pt>
                <c:pt idx="6">
                  <c:v>108.5070659376343</c:v>
                </c:pt>
                <c:pt idx="7">
                  <c:v>263.0493045524254</c:v>
                </c:pt>
                <c:pt idx="8">
                  <c:v>-127.5103105526432</c:v>
                </c:pt>
                <c:pt idx="9">
                  <c:v>-237.1378963505194</c:v>
                </c:pt>
                <c:pt idx="10">
                  <c:v>14.0709568430575</c:v>
                </c:pt>
              </c:numCache>
            </c:numRef>
          </c:yVal>
          <c:smooth val="0"/>
        </c:ser>
        <c:dLbls>
          <c:showLegendKey val="0"/>
          <c:showVal val="0"/>
          <c:showCatName val="0"/>
          <c:showSerName val="0"/>
          <c:showPercent val="0"/>
          <c:showBubbleSize val="0"/>
        </c:dLbls>
        <c:axId val="-1295153552"/>
        <c:axId val="-1182510080"/>
      </c:scatterChart>
      <c:valAx>
        <c:axId val="-1295153552"/>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data point # n in original sequence</a:t>
                </a:r>
              </a:p>
            </c:rich>
          </c:tx>
          <c:layout>
            <c:manualLayout>
              <c:xMode val="edge"/>
              <c:yMode val="edge"/>
              <c:x val="0.12771109635392"/>
              <c:y val="0.906252916302129"/>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182510080"/>
        <c:crossesAt val="0.0"/>
        <c:crossBetween val="midCat"/>
      </c:valAx>
      <c:valAx>
        <c:axId val="-1182510080"/>
        <c:scaling>
          <c:orientation val="minMax"/>
        </c:scaling>
        <c:delete val="0"/>
        <c:axPos val="l"/>
        <c:majorGridlines>
          <c:spPr>
            <a:ln w="3175">
              <a:solidFill>
                <a:srgbClr val="808080"/>
              </a:solidFill>
              <a:prstDash val="solid"/>
            </a:ln>
          </c:spPr>
        </c:majorGridlines>
        <c:title>
          <c:tx>
            <c:rich>
              <a:bodyPr/>
              <a:lstStyle/>
              <a:p>
                <a:pPr>
                  <a:defRPr sz="1000" b="1" i="0" u="none" strike="noStrike" baseline="0">
                    <a:solidFill>
                      <a:srgbClr val="000000"/>
                    </a:solidFill>
                    <a:latin typeface="Calibri"/>
                    <a:ea typeface="Calibri"/>
                    <a:cs typeface="Calibri"/>
                  </a:defRPr>
                </a:pPr>
                <a:r>
                  <a:rPr lang="en-US"/>
                  <a:t>data point # (n+1) in original sequence</a:t>
                </a:r>
              </a:p>
            </c:rich>
          </c:tx>
          <c:layout>
            <c:manualLayout>
              <c:xMode val="edge"/>
              <c:yMode val="edge"/>
              <c:x val="0.0120481927710843"/>
              <c:y val="0.234074074074074"/>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295153552"/>
        <c:crossesAt val="0.0"/>
        <c:crossBetween val="midCat"/>
      </c:valAx>
      <c:spPr>
        <a:solidFill>
          <a:srgbClr val="FFFFFF"/>
        </a:solidFill>
        <a:ln w="25400">
          <a:noFill/>
        </a:ln>
      </c:spPr>
    </c:plotArea>
    <c:legend>
      <c:legendPos val="r"/>
      <c:layout>
        <c:manualLayout>
          <c:xMode val="edge"/>
          <c:yMode val="edge"/>
          <c:x val="0.616868228820795"/>
          <c:y val="0.486112933799942"/>
          <c:w val="0.315662903582835"/>
          <c:h val="0.277778871391076"/>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alignWithMargins="0"/>
    <c:pageMargins b="1.0" l="0.75" r="0.75" t="1.0" header="0.511805555555556" footer="0.511805555555556"/>
    <c:pageSetup firstPageNumber="0"/>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Observed y</a:t>
            </a:r>
          </a:p>
        </c:rich>
      </c:tx>
      <c:layout>
        <c:manualLayout>
          <c:xMode val="edge"/>
          <c:yMode val="edge"/>
          <c:x val="0.328651685393259"/>
          <c:y val="0.025089605734767"/>
        </c:manualLayout>
      </c:layout>
      <c:overlay val="0"/>
      <c:spPr>
        <a:noFill/>
        <a:ln w="25400">
          <a:noFill/>
        </a:ln>
      </c:spPr>
    </c:title>
    <c:autoTitleDeleted val="0"/>
    <c:plotArea>
      <c:layout>
        <c:manualLayout>
          <c:layoutTarget val="inner"/>
          <c:xMode val="edge"/>
          <c:yMode val="edge"/>
          <c:x val="0.112359550561798"/>
          <c:y val="0.340502983951417"/>
          <c:w val="0.564606741573034"/>
          <c:h val="0.530467806576944"/>
        </c:manualLayout>
      </c:layout>
      <c:scatterChart>
        <c:scatterStyle val="lineMarker"/>
        <c:varyColors val="0"/>
        <c:ser>
          <c:idx val="0"/>
          <c:order val="0"/>
          <c:tx>
            <c:strRef>
              <c:f>LiveRegression!$C$42</c:f>
              <c:strCache>
                <c:ptCount val="1"/>
                <c:pt idx="0">
                  <c:v>Observed Avg. per Day</c:v>
                </c:pt>
              </c:strCache>
            </c:strRef>
          </c:tx>
          <c:spPr>
            <a:ln w="28575">
              <a:noFill/>
            </a:ln>
          </c:spPr>
          <c:marker>
            <c:symbol val="diamond"/>
            <c:size val="6"/>
            <c:spPr>
              <a:solidFill>
                <a:srgbClr val="666699"/>
              </a:solidFill>
              <a:ln>
                <a:solidFill>
                  <a:srgbClr val="666699"/>
                </a:solidFill>
                <a:prstDash val="solid"/>
              </a:ln>
            </c:spPr>
          </c:marker>
          <c:xVal>
            <c:numRef>
              <c:f>LiveRegression!$D$43:$D$79</c:f>
              <c:numCache>
                <c:formatCode>General</c:formatCode>
                <c:ptCount val="37"/>
                <c:pt idx="0">
                  <c:v>10471.42886756961</c:v>
                </c:pt>
                <c:pt idx="1">
                  <c:v>10444.86039927097</c:v>
                </c:pt>
                <c:pt idx="2">
                  <c:v>10524.36263788576</c:v>
                </c:pt>
                <c:pt idx="3">
                  <c:v>10688.6330227807</c:v>
                </c:pt>
                <c:pt idx="4">
                  <c:v>10893.65543698281</c:v>
                </c:pt>
                <c:pt idx="5">
                  <c:v>11084.4942901764</c:v>
                </c:pt>
                <c:pt idx="6">
                  <c:v>11210.01446576372</c:v>
                </c:pt>
                <c:pt idx="7">
                  <c:v>11236.58293406237</c:v>
                </c:pt>
                <c:pt idx="8">
                  <c:v>11157.08069544757</c:v>
                </c:pt>
                <c:pt idx="9">
                  <c:v>10992.81031055264</c:v>
                </c:pt>
                <c:pt idx="10">
                  <c:v>10787.78789635052</c:v>
                </c:pt>
                <c:pt idx="11">
                  <c:v>10596.94904315694</c:v>
                </c:pt>
              </c:numCache>
            </c:numRef>
          </c:xVal>
          <c:yVal>
            <c:numRef>
              <c:f>LiveRegression!$C$43:$C$79</c:f>
              <c:numCache>
                <c:formatCode>General</c:formatCode>
                <c:ptCount val="37"/>
                <c:pt idx="0">
                  <c:v>10411.33</c:v>
                </c:pt>
                <c:pt idx="1">
                  <c:v>10661.79</c:v>
                </c:pt>
                <c:pt idx="2">
                  <c:v>10666.99</c:v>
                </c:pt>
                <c:pt idx="3">
                  <c:v>10574.23</c:v>
                </c:pt>
                <c:pt idx="4">
                  <c:v>10781.69</c:v>
                </c:pt>
                <c:pt idx="5">
                  <c:v>10955.7</c:v>
                </c:pt>
                <c:pt idx="6">
                  <c:v>11244.74</c:v>
                </c:pt>
                <c:pt idx="7">
                  <c:v>11345.09</c:v>
                </c:pt>
                <c:pt idx="8">
                  <c:v>11420.13</c:v>
                </c:pt>
                <c:pt idx="9">
                  <c:v>10865.3</c:v>
                </c:pt>
                <c:pt idx="10">
                  <c:v>10550.65</c:v>
                </c:pt>
                <c:pt idx="11">
                  <c:v>10611.02</c:v>
                </c:pt>
              </c:numCache>
            </c:numRef>
          </c:yVal>
          <c:smooth val="0"/>
        </c:ser>
        <c:dLbls>
          <c:showLegendKey val="0"/>
          <c:showVal val="0"/>
          <c:showCatName val="0"/>
          <c:showSerName val="0"/>
          <c:showPercent val="0"/>
          <c:showBubbleSize val="0"/>
        </c:dLbls>
        <c:axId val="-1178722032"/>
        <c:axId val="-1178710176"/>
      </c:scatterChart>
      <c:valAx>
        <c:axId val="-1178722032"/>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Predicted  y</a:t>
                </a:r>
              </a:p>
            </c:rich>
          </c:tx>
          <c:layout>
            <c:manualLayout>
              <c:xMode val="edge"/>
              <c:yMode val="edge"/>
              <c:x val="0.297752808988764"/>
              <c:y val="0.903228816828004"/>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178710176"/>
        <c:crossesAt val="0.0"/>
        <c:crossBetween val="midCat"/>
      </c:valAx>
      <c:valAx>
        <c:axId val="-1178710176"/>
        <c:scaling>
          <c:orientation val="minMax"/>
        </c:scaling>
        <c:delete val="0"/>
        <c:axPos val="l"/>
        <c:majorGridlines>
          <c:spPr>
            <a:ln w="3175">
              <a:solidFill>
                <a:srgbClr val="808080"/>
              </a:solidFill>
              <a:prstDash val="solid"/>
            </a:ln>
          </c:spPr>
        </c:majorGridlines>
        <c:title>
          <c:tx>
            <c:rich>
              <a:bodyPr/>
              <a:lstStyle/>
              <a:p>
                <a:pPr>
                  <a:defRPr sz="1000" b="1" i="0" u="none" strike="noStrike" baseline="0">
                    <a:solidFill>
                      <a:srgbClr val="000000"/>
                    </a:solidFill>
                    <a:latin typeface="Calibri"/>
                    <a:ea typeface="Calibri"/>
                    <a:cs typeface="Calibri"/>
                  </a:defRPr>
                </a:pPr>
                <a:r>
                  <a:rPr lang="en-US"/>
                  <a:t>Observed y</a:t>
                </a:r>
              </a:p>
            </c:rich>
          </c:tx>
          <c:layout>
            <c:manualLayout>
              <c:xMode val="edge"/>
              <c:yMode val="edge"/>
              <c:x val="0.0168539325842697"/>
              <c:y val="0.487457078617861"/>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178722032"/>
        <c:crossesAt val="0.0"/>
        <c:crossBetween val="midCat"/>
      </c:valAx>
      <c:spPr>
        <a:solidFill>
          <a:srgbClr val="FFFFFF"/>
        </a:solidFill>
        <a:ln w="25400">
          <a:noFill/>
        </a:ln>
      </c:spPr>
    </c:plotArea>
    <c:legend>
      <c:legendPos val="r"/>
      <c:layout>
        <c:manualLayout>
          <c:xMode val="edge"/>
          <c:yMode val="edge"/>
          <c:x val="0.702247191011236"/>
          <c:y val="0.584231272166248"/>
          <c:w val="0.23314606741573"/>
          <c:h val="0.086021881673393"/>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alignWithMargins="0"/>
    <c:pageMargins b="1.0" l="0.75" r="0.75" t="1.0" header="0.511805555555556" footer="0.511805555555556"/>
    <c:pageSetup firstPageNumber="0"/>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Residuals of y</a:t>
            </a:r>
          </a:p>
        </c:rich>
      </c:tx>
      <c:layout>
        <c:manualLayout>
          <c:xMode val="edge"/>
          <c:yMode val="edge"/>
          <c:x val="0.322033898305085"/>
          <c:y val="0.0277777777777778"/>
        </c:manualLayout>
      </c:layout>
      <c:overlay val="0"/>
      <c:spPr>
        <a:noFill/>
        <a:ln w="25400">
          <a:noFill/>
        </a:ln>
      </c:spPr>
    </c:title>
    <c:autoTitleDeleted val="0"/>
    <c:plotArea>
      <c:layout>
        <c:manualLayout>
          <c:layoutTarget val="inner"/>
          <c:xMode val="edge"/>
          <c:yMode val="edge"/>
          <c:x val="0.0968523002421307"/>
          <c:y val="0.329862229621818"/>
          <c:w val="0.595641646489104"/>
          <c:h val="0.545140737375005"/>
        </c:manualLayout>
      </c:layout>
      <c:scatterChart>
        <c:scatterStyle val="lineMarker"/>
        <c:varyColors val="0"/>
        <c:ser>
          <c:idx val="0"/>
          <c:order val="0"/>
          <c:tx>
            <c:strRef>
              <c:f>LiveRegression!$E$42</c:f>
              <c:strCache>
                <c:ptCount val="1"/>
                <c:pt idx="0">
                  <c:v>Residuals of Avg. per Day</c:v>
                </c:pt>
              </c:strCache>
            </c:strRef>
          </c:tx>
          <c:spPr>
            <a:ln w="28575">
              <a:noFill/>
            </a:ln>
          </c:spPr>
          <c:marker>
            <c:symbol val="diamond"/>
            <c:size val="6"/>
            <c:spPr>
              <a:solidFill>
                <a:srgbClr val="666699"/>
              </a:solidFill>
              <a:ln>
                <a:solidFill>
                  <a:srgbClr val="666699"/>
                </a:solidFill>
                <a:prstDash val="solid"/>
              </a:ln>
            </c:spPr>
          </c:marker>
          <c:xVal>
            <c:numRef>
              <c:f>LiveRegression!$D$43:$D$79</c:f>
              <c:numCache>
                <c:formatCode>General</c:formatCode>
                <c:ptCount val="37"/>
                <c:pt idx="0">
                  <c:v>10471.42886756961</c:v>
                </c:pt>
                <c:pt idx="1">
                  <c:v>10444.86039927097</c:v>
                </c:pt>
                <c:pt idx="2">
                  <c:v>10524.36263788576</c:v>
                </c:pt>
                <c:pt idx="3">
                  <c:v>10688.6330227807</c:v>
                </c:pt>
                <c:pt idx="4">
                  <c:v>10893.65543698281</c:v>
                </c:pt>
                <c:pt idx="5">
                  <c:v>11084.4942901764</c:v>
                </c:pt>
                <c:pt idx="6">
                  <c:v>11210.01446576372</c:v>
                </c:pt>
                <c:pt idx="7">
                  <c:v>11236.58293406237</c:v>
                </c:pt>
                <c:pt idx="8">
                  <c:v>11157.08069544757</c:v>
                </c:pt>
                <c:pt idx="9">
                  <c:v>10992.81031055264</c:v>
                </c:pt>
                <c:pt idx="10">
                  <c:v>10787.78789635052</c:v>
                </c:pt>
                <c:pt idx="11">
                  <c:v>10596.94904315694</c:v>
                </c:pt>
              </c:numCache>
            </c:numRef>
          </c:xVal>
          <c:yVal>
            <c:numRef>
              <c:f>LiveRegression!$E$43:$E$79</c:f>
              <c:numCache>
                <c:formatCode>General</c:formatCode>
                <c:ptCount val="37"/>
                <c:pt idx="0">
                  <c:v>-60.09886756961168</c:v>
                </c:pt>
                <c:pt idx="1">
                  <c:v>216.9296007290341</c:v>
                </c:pt>
                <c:pt idx="2">
                  <c:v>142.6273621142409</c:v>
                </c:pt>
                <c:pt idx="3">
                  <c:v>-114.4030227806907</c:v>
                </c:pt>
                <c:pt idx="4">
                  <c:v>-111.9654369828131</c:v>
                </c:pt>
                <c:pt idx="5">
                  <c:v>-128.7942901763909</c:v>
                </c:pt>
                <c:pt idx="6">
                  <c:v>34.7255342362787</c:v>
                </c:pt>
                <c:pt idx="7">
                  <c:v>108.5070659376343</c:v>
                </c:pt>
                <c:pt idx="8">
                  <c:v>263.0493045524254</c:v>
                </c:pt>
                <c:pt idx="9">
                  <c:v>-127.5103105526432</c:v>
                </c:pt>
                <c:pt idx="10">
                  <c:v>-237.1378963505194</c:v>
                </c:pt>
                <c:pt idx="11">
                  <c:v>14.0709568430575</c:v>
                </c:pt>
              </c:numCache>
            </c:numRef>
          </c:yVal>
          <c:smooth val="0"/>
        </c:ser>
        <c:dLbls>
          <c:showLegendKey val="0"/>
          <c:showVal val="0"/>
          <c:showCatName val="0"/>
          <c:showSerName val="0"/>
          <c:showPercent val="0"/>
          <c:showBubbleSize val="0"/>
        </c:dLbls>
        <c:axId val="-1178663280"/>
        <c:axId val="-1178660160"/>
      </c:scatterChart>
      <c:valAx>
        <c:axId val="-117866328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Predicted  y</a:t>
                </a:r>
              </a:p>
            </c:rich>
          </c:tx>
          <c:layout>
            <c:manualLayout>
              <c:xMode val="edge"/>
              <c:yMode val="edge"/>
              <c:x val="0.312348668280872"/>
              <c:y val="0.906252916302129"/>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178660160"/>
        <c:crossesAt val="0.0"/>
        <c:crossBetween val="midCat"/>
      </c:valAx>
      <c:valAx>
        <c:axId val="-1178660160"/>
        <c:scaling>
          <c:orientation val="minMax"/>
        </c:scaling>
        <c:delete val="0"/>
        <c:axPos val="l"/>
        <c:majorGridlines>
          <c:spPr>
            <a:ln w="3175">
              <a:solidFill>
                <a:srgbClr val="808080"/>
              </a:solidFill>
              <a:prstDash val="solid"/>
            </a:ln>
          </c:spPr>
        </c:majorGridlines>
        <c:title>
          <c:tx>
            <c:rich>
              <a:bodyPr/>
              <a:lstStyle/>
              <a:p>
                <a:pPr>
                  <a:defRPr sz="1000" b="1" i="0" u="none" strike="noStrike" baseline="0">
                    <a:solidFill>
                      <a:srgbClr val="000000"/>
                    </a:solidFill>
                    <a:latin typeface="Calibri"/>
                    <a:ea typeface="Calibri"/>
                    <a:cs typeface="Calibri"/>
                  </a:defRPr>
                </a:pPr>
                <a:r>
                  <a:rPr lang="en-US"/>
                  <a:t>Observed y</a:t>
                </a:r>
              </a:p>
            </c:rich>
          </c:tx>
          <c:layout>
            <c:manualLayout>
              <c:xMode val="edge"/>
              <c:yMode val="edge"/>
              <c:x val="0.0145278450363196"/>
              <c:y val="0.486112933799942"/>
            </c:manualLayout>
          </c:layout>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178663280"/>
        <c:crossesAt val="0.0"/>
        <c:crossBetween val="midCat"/>
      </c:valAx>
      <c:spPr>
        <a:solidFill>
          <a:srgbClr val="FFFFFF"/>
        </a:solidFill>
        <a:ln w="25400">
          <a:noFill/>
        </a:ln>
      </c:spPr>
    </c:plotArea>
    <c:legend>
      <c:legendPos val="r"/>
      <c:layout>
        <c:manualLayout>
          <c:xMode val="edge"/>
          <c:yMode val="edge"/>
          <c:x val="0.704600484261501"/>
          <c:y val="0.583335156022164"/>
          <c:w val="0.232445520581114"/>
          <c:h val="0.0833336978710995"/>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3175">
      <a:solidFill>
        <a:srgbClr val="808080"/>
      </a:solidFill>
      <a:prstDash val="solid"/>
    </a:ln>
  </c:spPr>
  <c:txPr>
    <a:bodyPr/>
    <a:lstStyle/>
    <a:p>
      <a:pPr>
        <a:defRPr sz="1100" b="0" i="0" u="none" strike="noStrike" baseline="0">
          <a:solidFill>
            <a:srgbClr val="000000"/>
          </a:solidFill>
          <a:latin typeface="Calibri"/>
          <a:ea typeface="Calibri"/>
          <a:cs typeface="Calibri"/>
        </a:defRPr>
      </a:pPr>
      <a:endParaRPr lang="en-US"/>
    </a:p>
  </c:txPr>
  <c:printSettings>
    <c:headerFooter alignWithMargins="0"/>
    <c:pageMargins b="1.0" l="0.75" r="0.75" t="1.0" header="0.511805555555556" footer="0.511805555555556"/>
    <c:pageSetup firstPageNumber="0"/>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Sheet1!$F$15</c:f>
              <c:strCache>
                <c:ptCount val="1"/>
                <c:pt idx="0">
                  <c:v>predicted</c:v>
                </c:pt>
              </c:strCache>
            </c:strRef>
          </c:tx>
          <c:spPr>
            <a:ln w="19050" cap="rnd">
              <a:solidFill>
                <a:schemeClr val="accent2"/>
              </a:solidFill>
              <a:round/>
            </a:ln>
            <a:effectLst/>
          </c:spPr>
          <c:marker>
            <c:symbol val="none"/>
          </c:marker>
          <c:cat>
            <c:numRef>
              <c:f>Sheet1!$B$16:$B$27</c:f>
              <c:numCache>
                <c:formatCode>General</c:formatCode>
                <c:ptCount val="12"/>
                <c:pt idx="0">
                  <c:v>0.5</c:v>
                </c:pt>
                <c:pt idx="1">
                  <c:v>1.5</c:v>
                </c:pt>
                <c:pt idx="2">
                  <c:v>2.5</c:v>
                </c:pt>
                <c:pt idx="3">
                  <c:v>3.5</c:v>
                </c:pt>
                <c:pt idx="4">
                  <c:v>4.5</c:v>
                </c:pt>
                <c:pt idx="5">
                  <c:v>5.5</c:v>
                </c:pt>
                <c:pt idx="6">
                  <c:v>6.5</c:v>
                </c:pt>
                <c:pt idx="7">
                  <c:v>7.5</c:v>
                </c:pt>
                <c:pt idx="8">
                  <c:v>8.5</c:v>
                </c:pt>
                <c:pt idx="9">
                  <c:v>9.5</c:v>
                </c:pt>
                <c:pt idx="10">
                  <c:v>10.5</c:v>
                </c:pt>
                <c:pt idx="11">
                  <c:v>11.5</c:v>
                </c:pt>
              </c:numCache>
            </c:numRef>
          </c:cat>
          <c:val>
            <c:numRef>
              <c:f>Sheet1!$F$16:$F$27</c:f>
              <c:numCache>
                <c:formatCode>General</c:formatCode>
                <c:ptCount val="12"/>
                <c:pt idx="0">
                  <c:v>33.44861470926934</c:v>
                </c:pt>
                <c:pt idx="1">
                  <c:v>36.39199038224341</c:v>
                </c:pt>
                <c:pt idx="2">
                  <c:v>45.59412586909375</c:v>
                </c:pt>
                <c:pt idx="3">
                  <c:v>58.58931639747704</c:v>
                </c:pt>
                <c:pt idx="4">
                  <c:v>71.89551115982441</c:v>
                </c:pt>
                <c:pt idx="5">
                  <c:v>81.94732601523362</c:v>
                </c:pt>
                <c:pt idx="6">
                  <c:v>86.05138529073065</c:v>
                </c:pt>
                <c:pt idx="7">
                  <c:v>83.10800961775661</c:v>
                </c:pt>
                <c:pt idx="8">
                  <c:v>73.90587413090626</c:v>
                </c:pt>
                <c:pt idx="9">
                  <c:v>60.91068360252297</c:v>
                </c:pt>
                <c:pt idx="10">
                  <c:v>47.6044888401756</c:v>
                </c:pt>
                <c:pt idx="11">
                  <c:v>37.55267398476637</c:v>
                </c:pt>
              </c:numCache>
            </c:numRef>
          </c:val>
          <c:smooth val="0"/>
        </c:ser>
        <c:dLbls>
          <c:showLegendKey val="0"/>
          <c:showVal val="0"/>
          <c:showCatName val="0"/>
          <c:showSerName val="0"/>
          <c:showPercent val="0"/>
          <c:showBubbleSize val="0"/>
        </c:dLbls>
        <c:marker val="1"/>
        <c:smooth val="0"/>
        <c:axId val="-1178146704"/>
        <c:axId val="-1178734000"/>
      </c:lineChart>
      <c:scatterChart>
        <c:scatterStyle val="lineMarker"/>
        <c:varyColors val="0"/>
        <c:ser>
          <c:idx val="0"/>
          <c:order val="0"/>
          <c:tx>
            <c:strRef>
              <c:f>Sheet1!$C$15</c:f>
              <c:strCache>
                <c:ptCount val="1"/>
                <c:pt idx="0">
                  <c:v>High (F)</c:v>
                </c:pt>
              </c:strCache>
            </c:strRef>
          </c:tx>
          <c:spPr>
            <a:ln w="25400" cap="rnd">
              <a:noFill/>
              <a:round/>
            </a:ln>
            <a:effectLst/>
          </c:spPr>
          <c:marker>
            <c:symbol val="circle"/>
            <c:size val="5"/>
            <c:spPr>
              <a:solidFill>
                <a:schemeClr val="accent1"/>
              </a:solidFill>
              <a:ln w="9525">
                <a:solidFill>
                  <a:schemeClr val="accent1"/>
                </a:solidFill>
              </a:ln>
              <a:effectLst/>
            </c:spPr>
          </c:marker>
          <c:xVal>
            <c:numRef>
              <c:f>Sheet1!$B$16:$B$27</c:f>
              <c:numCache>
                <c:formatCode>General</c:formatCode>
                <c:ptCount val="12"/>
                <c:pt idx="0">
                  <c:v>0.5</c:v>
                </c:pt>
                <c:pt idx="1">
                  <c:v>1.5</c:v>
                </c:pt>
                <c:pt idx="2">
                  <c:v>2.5</c:v>
                </c:pt>
                <c:pt idx="3">
                  <c:v>3.5</c:v>
                </c:pt>
                <c:pt idx="4">
                  <c:v>4.5</c:v>
                </c:pt>
                <c:pt idx="5">
                  <c:v>5.5</c:v>
                </c:pt>
                <c:pt idx="6">
                  <c:v>6.5</c:v>
                </c:pt>
                <c:pt idx="7">
                  <c:v>7.5</c:v>
                </c:pt>
                <c:pt idx="8">
                  <c:v>8.5</c:v>
                </c:pt>
                <c:pt idx="9">
                  <c:v>9.5</c:v>
                </c:pt>
                <c:pt idx="10">
                  <c:v>10.5</c:v>
                </c:pt>
                <c:pt idx="11">
                  <c:v>11.5</c:v>
                </c:pt>
              </c:numCache>
            </c:numRef>
          </c:xVal>
          <c:yVal>
            <c:numRef>
              <c:f>Sheet1!$C$16:$C$27</c:f>
              <c:numCache>
                <c:formatCode>General</c:formatCode>
                <c:ptCount val="12"/>
                <c:pt idx="0">
                  <c:v>32.0</c:v>
                </c:pt>
                <c:pt idx="1">
                  <c:v>36.0</c:v>
                </c:pt>
                <c:pt idx="2">
                  <c:v>47.0</c:v>
                </c:pt>
                <c:pt idx="3">
                  <c:v>60.0</c:v>
                </c:pt>
                <c:pt idx="4">
                  <c:v>72.0</c:v>
                </c:pt>
                <c:pt idx="5">
                  <c:v>81.0</c:v>
                </c:pt>
                <c:pt idx="6">
                  <c:v>85.0</c:v>
                </c:pt>
                <c:pt idx="7">
                  <c:v>82.0</c:v>
                </c:pt>
                <c:pt idx="8">
                  <c:v>75.0</c:v>
                </c:pt>
                <c:pt idx="9">
                  <c:v>63.0</c:v>
                </c:pt>
                <c:pt idx="10">
                  <c:v>48.0</c:v>
                </c:pt>
                <c:pt idx="11">
                  <c:v>36.0</c:v>
                </c:pt>
              </c:numCache>
            </c:numRef>
          </c:yVal>
          <c:smooth val="0"/>
        </c:ser>
        <c:dLbls>
          <c:showLegendKey val="0"/>
          <c:showVal val="0"/>
          <c:showCatName val="0"/>
          <c:showSerName val="0"/>
          <c:showPercent val="0"/>
          <c:showBubbleSize val="0"/>
        </c:dLbls>
        <c:axId val="-1178146704"/>
        <c:axId val="-1178734000"/>
      </c:scatterChart>
      <c:catAx>
        <c:axId val="-1178146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734000"/>
        <c:crosses val="autoZero"/>
        <c:auto val="1"/>
        <c:lblAlgn val="ctr"/>
        <c:lblOffset val="100"/>
        <c:noMultiLvlLbl val="1"/>
      </c:catAx>
      <c:valAx>
        <c:axId val="-1178734000"/>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1467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Sheet1!$G$15</c:f>
              <c:strCache>
                <c:ptCount val="1"/>
                <c:pt idx="0">
                  <c:v>residuals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Sheet1!$B$16:$B$27</c:f>
              <c:numCache>
                <c:formatCode>General</c:formatCode>
                <c:ptCount val="12"/>
                <c:pt idx="0">
                  <c:v>0.5</c:v>
                </c:pt>
                <c:pt idx="1">
                  <c:v>1.5</c:v>
                </c:pt>
                <c:pt idx="2">
                  <c:v>2.5</c:v>
                </c:pt>
                <c:pt idx="3">
                  <c:v>3.5</c:v>
                </c:pt>
                <c:pt idx="4">
                  <c:v>4.5</c:v>
                </c:pt>
                <c:pt idx="5">
                  <c:v>5.5</c:v>
                </c:pt>
                <c:pt idx="6">
                  <c:v>6.5</c:v>
                </c:pt>
                <c:pt idx="7">
                  <c:v>7.5</c:v>
                </c:pt>
                <c:pt idx="8">
                  <c:v>8.5</c:v>
                </c:pt>
                <c:pt idx="9">
                  <c:v>9.5</c:v>
                </c:pt>
                <c:pt idx="10">
                  <c:v>10.5</c:v>
                </c:pt>
                <c:pt idx="11">
                  <c:v>11.5</c:v>
                </c:pt>
              </c:numCache>
            </c:numRef>
          </c:xVal>
          <c:yVal>
            <c:numRef>
              <c:f>Sheet1!$G$16:$G$27</c:f>
              <c:numCache>
                <c:formatCode>General</c:formatCode>
                <c:ptCount val="12"/>
                <c:pt idx="0">
                  <c:v>-1.448614709269343</c:v>
                </c:pt>
                <c:pt idx="1">
                  <c:v>-0.391990382243406</c:v>
                </c:pt>
                <c:pt idx="2">
                  <c:v>1.405874130906248</c:v>
                </c:pt>
                <c:pt idx="3">
                  <c:v>1.410683602522958</c:v>
                </c:pt>
                <c:pt idx="4">
                  <c:v>0.104488840175591</c:v>
                </c:pt>
                <c:pt idx="5">
                  <c:v>-0.947326015233628</c:v>
                </c:pt>
                <c:pt idx="6">
                  <c:v>-1.05138529073065</c:v>
                </c:pt>
                <c:pt idx="7">
                  <c:v>-1.108009617756608</c:v>
                </c:pt>
                <c:pt idx="8">
                  <c:v>1.094125869093745</c:v>
                </c:pt>
                <c:pt idx="9">
                  <c:v>2.089316397477027</c:v>
                </c:pt>
                <c:pt idx="10">
                  <c:v>0.395511159824409</c:v>
                </c:pt>
                <c:pt idx="11">
                  <c:v>-1.552673984766372</c:v>
                </c:pt>
              </c:numCache>
            </c:numRef>
          </c:yVal>
          <c:smooth val="0"/>
        </c:ser>
        <c:dLbls>
          <c:showLegendKey val="0"/>
          <c:showVal val="0"/>
          <c:showCatName val="0"/>
          <c:showSerName val="0"/>
          <c:showPercent val="0"/>
          <c:showBubbleSize val="0"/>
        </c:dLbls>
        <c:axId val="-1175814240"/>
        <c:axId val="-1175812192"/>
      </c:scatterChart>
      <c:valAx>
        <c:axId val="-117581424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812192"/>
        <c:crosses val="autoZero"/>
        <c:crossBetween val="midCat"/>
      </c:valAx>
      <c:valAx>
        <c:axId val="-1175812192"/>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8142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Sheet2!$C$15</c:f>
              <c:strCache>
                <c:ptCount val="1"/>
                <c:pt idx="0">
                  <c:v>High (F)</c:v>
                </c:pt>
              </c:strCache>
            </c:strRef>
          </c:tx>
          <c:spPr>
            <a:ln w="25400" cap="rnd">
              <a:noFill/>
              <a:round/>
            </a:ln>
            <a:effectLst/>
          </c:spPr>
          <c:marker>
            <c:symbol val="circle"/>
            <c:size val="5"/>
            <c:spPr>
              <a:solidFill>
                <a:schemeClr val="accent1"/>
              </a:solidFill>
              <a:ln w="9525">
                <a:solidFill>
                  <a:schemeClr val="accent1"/>
                </a:solidFill>
              </a:ln>
              <a:effectLst/>
            </c:spPr>
          </c:marker>
          <c:xVal>
            <c:numRef>
              <c:f>Sheet2!$B$16:$B$27</c:f>
              <c:numCache>
                <c:formatCode>General</c:formatCode>
                <c:ptCount val="12"/>
                <c:pt idx="0">
                  <c:v>0.5</c:v>
                </c:pt>
                <c:pt idx="1">
                  <c:v>1.5</c:v>
                </c:pt>
                <c:pt idx="2">
                  <c:v>2.5</c:v>
                </c:pt>
                <c:pt idx="3">
                  <c:v>3.5</c:v>
                </c:pt>
                <c:pt idx="4">
                  <c:v>4.5</c:v>
                </c:pt>
                <c:pt idx="5">
                  <c:v>5.5</c:v>
                </c:pt>
                <c:pt idx="6">
                  <c:v>6.5</c:v>
                </c:pt>
                <c:pt idx="7">
                  <c:v>7.5</c:v>
                </c:pt>
                <c:pt idx="8">
                  <c:v>8.5</c:v>
                </c:pt>
                <c:pt idx="9">
                  <c:v>9.5</c:v>
                </c:pt>
                <c:pt idx="10">
                  <c:v>10.5</c:v>
                </c:pt>
                <c:pt idx="11">
                  <c:v>11.5</c:v>
                </c:pt>
              </c:numCache>
            </c:numRef>
          </c:xVal>
          <c:yVal>
            <c:numRef>
              <c:f>Sheet2!$C$16:$C$27</c:f>
              <c:numCache>
                <c:formatCode>General</c:formatCode>
                <c:ptCount val="12"/>
                <c:pt idx="0">
                  <c:v>32.0</c:v>
                </c:pt>
                <c:pt idx="1">
                  <c:v>36.0</c:v>
                </c:pt>
                <c:pt idx="2">
                  <c:v>47.0</c:v>
                </c:pt>
                <c:pt idx="3">
                  <c:v>60.0</c:v>
                </c:pt>
                <c:pt idx="4">
                  <c:v>72.0</c:v>
                </c:pt>
                <c:pt idx="5">
                  <c:v>81.0</c:v>
                </c:pt>
                <c:pt idx="6">
                  <c:v>85.0</c:v>
                </c:pt>
                <c:pt idx="7">
                  <c:v>82.0</c:v>
                </c:pt>
                <c:pt idx="8">
                  <c:v>75.0</c:v>
                </c:pt>
                <c:pt idx="9">
                  <c:v>63.0</c:v>
                </c:pt>
                <c:pt idx="10">
                  <c:v>48.0</c:v>
                </c:pt>
                <c:pt idx="11">
                  <c:v>36.0</c:v>
                </c:pt>
              </c:numCache>
            </c:numRef>
          </c:yVal>
          <c:smooth val="0"/>
        </c:ser>
        <c:dLbls>
          <c:showLegendKey val="0"/>
          <c:showVal val="0"/>
          <c:showCatName val="0"/>
          <c:showSerName val="0"/>
          <c:showPercent val="0"/>
          <c:showBubbleSize val="0"/>
        </c:dLbls>
        <c:axId val="-1144206256"/>
        <c:axId val="-1175778656"/>
      </c:scatterChart>
      <c:scatterChart>
        <c:scatterStyle val="lineMarker"/>
        <c:varyColors val="0"/>
        <c:ser>
          <c:idx val="1"/>
          <c:order val="1"/>
          <c:tx>
            <c:strRef>
              <c:f>Sheet2!$H$15</c:f>
              <c:strCache>
                <c:ptCount val="1"/>
                <c:pt idx="0">
                  <c:v>prediction</c:v>
                </c:pt>
              </c:strCache>
            </c:strRef>
          </c:tx>
          <c:spPr>
            <a:ln w="19050" cap="rnd">
              <a:solidFill>
                <a:schemeClr val="accent2"/>
              </a:solidFill>
              <a:round/>
            </a:ln>
            <a:effectLst/>
          </c:spPr>
          <c:marker>
            <c:symbol val="circle"/>
            <c:size val="5"/>
            <c:spPr>
              <a:noFill/>
              <a:ln w="9525">
                <a:solidFill>
                  <a:schemeClr val="accent2"/>
                </a:solidFill>
              </a:ln>
              <a:effectLst/>
            </c:spPr>
          </c:marker>
          <c:xVal>
            <c:numRef>
              <c:f>Sheet2!$B$16:$B$27</c:f>
              <c:numCache>
                <c:formatCode>General</c:formatCode>
                <c:ptCount val="12"/>
                <c:pt idx="0">
                  <c:v>0.5</c:v>
                </c:pt>
                <c:pt idx="1">
                  <c:v>1.5</c:v>
                </c:pt>
                <c:pt idx="2">
                  <c:v>2.5</c:v>
                </c:pt>
                <c:pt idx="3">
                  <c:v>3.5</c:v>
                </c:pt>
                <c:pt idx="4">
                  <c:v>4.5</c:v>
                </c:pt>
                <c:pt idx="5">
                  <c:v>5.5</c:v>
                </c:pt>
                <c:pt idx="6">
                  <c:v>6.5</c:v>
                </c:pt>
                <c:pt idx="7">
                  <c:v>7.5</c:v>
                </c:pt>
                <c:pt idx="8">
                  <c:v>8.5</c:v>
                </c:pt>
                <c:pt idx="9">
                  <c:v>9.5</c:v>
                </c:pt>
                <c:pt idx="10">
                  <c:v>10.5</c:v>
                </c:pt>
                <c:pt idx="11">
                  <c:v>11.5</c:v>
                </c:pt>
              </c:numCache>
            </c:numRef>
          </c:xVal>
          <c:yVal>
            <c:numRef>
              <c:f>Sheet2!$H$16:$H$27</c:f>
              <c:numCache>
                <c:formatCode>General</c:formatCode>
                <c:ptCount val="12"/>
                <c:pt idx="0">
                  <c:v>31.86528137593601</c:v>
                </c:pt>
                <c:pt idx="1">
                  <c:v>35.97532371557674</c:v>
                </c:pt>
                <c:pt idx="2">
                  <c:v>46.76079253576042</c:v>
                </c:pt>
                <c:pt idx="3">
                  <c:v>60.17264973081038</c:v>
                </c:pt>
                <c:pt idx="4">
                  <c:v>72.31217782649107</c:v>
                </c:pt>
                <c:pt idx="5">
                  <c:v>80.78065934856695</c:v>
                </c:pt>
                <c:pt idx="6">
                  <c:v>84.46805195739732</c:v>
                </c:pt>
                <c:pt idx="7">
                  <c:v>82.69134295108994</c:v>
                </c:pt>
                <c:pt idx="8">
                  <c:v>75.07254079757291</c:v>
                </c:pt>
                <c:pt idx="9">
                  <c:v>62.49401693585631</c:v>
                </c:pt>
                <c:pt idx="10">
                  <c:v>48.02115550684226</c:v>
                </c:pt>
                <c:pt idx="11">
                  <c:v>36.3860073180997</c:v>
                </c:pt>
              </c:numCache>
            </c:numRef>
          </c:yVal>
          <c:smooth val="0"/>
        </c:ser>
        <c:dLbls>
          <c:showLegendKey val="0"/>
          <c:showVal val="0"/>
          <c:showCatName val="0"/>
          <c:showSerName val="0"/>
          <c:showPercent val="0"/>
          <c:showBubbleSize val="0"/>
        </c:dLbls>
        <c:axId val="-1144094752"/>
        <c:axId val="-1144096528"/>
      </c:scatterChart>
      <c:valAx>
        <c:axId val="-11442062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778656"/>
        <c:crosses val="autoZero"/>
        <c:crossBetween val="midCat"/>
      </c:valAx>
      <c:valAx>
        <c:axId val="-117577865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206256"/>
        <c:crosses val="autoZero"/>
        <c:crossBetween val="midCat"/>
      </c:valAx>
      <c:valAx>
        <c:axId val="-1144096528"/>
        <c:scaling>
          <c:orientation val="minMax"/>
        </c:scaling>
        <c:delete val="0"/>
        <c:axPos val="r"/>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094752"/>
        <c:crosses val="max"/>
        <c:crossBetween val="midCat"/>
      </c:valAx>
      <c:valAx>
        <c:axId val="-1144094752"/>
        <c:scaling>
          <c:orientation val="minMax"/>
        </c:scaling>
        <c:delete val="0"/>
        <c:axPos val="t"/>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096528"/>
        <c:crosses val="max"/>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Sheet2!$I$15</c:f>
              <c:strCache>
                <c:ptCount val="1"/>
                <c:pt idx="0">
                  <c:v>residuals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Sheet2!$B$16:$B$27</c:f>
              <c:numCache>
                <c:formatCode>General</c:formatCode>
                <c:ptCount val="12"/>
                <c:pt idx="0">
                  <c:v>0.5</c:v>
                </c:pt>
                <c:pt idx="1">
                  <c:v>1.5</c:v>
                </c:pt>
                <c:pt idx="2">
                  <c:v>2.5</c:v>
                </c:pt>
                <c:pt idx="3">
                  <c:v>3.5</c:v>
                </c:pt>
                <c:pt idx="4">
                  <c:v>4.5</c:v>
                </c:pt>
                <c:pt idx="5">
                  <c:v>5.5</c:v>
                </c:pt>
                <c:pt idx="6">
                  <c:v>6.5</c:v>
                </c:pt>
                <c:pt idx="7">
                  <c:v>7.5</c:v>
                </c:pt>
                <c:pt idx="8">
                  <c:v>8.5</c:v>
                </c:pt>
                <c:pt idx="9">
                  <c:v>9.5</c:v>
                </c:pt>
                <c:pt idx="10">
                  <c:v>10.5</c:v>
                </c:pt>
                <c:pt idx="11">
                  <c:v>11.5</c:v>
                </c:pt>
              </c:numCache>
            </c:numRef>
          </c:xVal>
          <c:yVal>
            <c:numRef>
              <c:f>Sheet2!$I$16:$I$27</c:f>
              <c:numCache>
                <c:formatCode>General</c:formatCode>
                <c:ptCount val="12"/>
                <c:pt idx="0">
                  <c:v>0.134718624063993</c:v>
                </c:pt>
                <c:pt idx="1">
                  <c:v>0.0246762844232577</c:v>
                </c:pt>
                <c:pt idx="2">
                  <c:v>0.239207464239577</c:v>
                </c:pt>
                <c:pt idx="3">
                  <c:v>-0.172649730810377</c:v>
                </c:pt>
                <c:pt idx="4">
                  <c:v>-0.312177826491066</c:v>
                </c:pt>
                <c:pt idx="5">
                  <c:v>0.219340651433043</c:v>
                </c:pt>
                <c:pt idx="6">
                  <c:v>0.531948042602679</c:v>
                </c:pt>
                <c:pt idx="7">
                  <c:v>-0.691342951089936</c:v>
                </c:pt>
                <c:pt idx="8">
                  <c:v>-0.0725407975729126</c:v>
                </c:pt>
                <c:pt idx="9">
                  <c:v>0.505983064143692</c:v>
                </c:pt>
                <c:pt idx="10">
                  <c:v>-0.0211555068422626</c:v>
                </c:pt>
                <c:pt idx="11">
                  <c:v>-0.386007318099701</c:v>
                </c:pt>
              </c:numCache>
            </c:numRef>
          </c:yVal>
          <c:smooth val="0"/>
        </c:ser>
        <c:dLbls>
          <c:showLegendKey val="0"/>
          <c:showVal val="0"/>
          <c:showCatName val="0"/>
          <c:showSerName val="0"/>
          <c:showPercent val="0"/>
          <c:showBubbleSize val="0"/>
        </c:dLbls>
        <c:axId val="-1176246896"/>
        <c:axId val="-1176244848"/>
      </c:scatterChart>
      <c:valAx>
        <c:axId val="-117624689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244848"/>
        <c:crosses val="autoZero"/>
        <c:crossBetween val="midCat"/>
      </c:valAx>
      <c:valAx>
        <c:axId val="-117624484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2468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Sheet3!$C$12</c:f>
              <c:strCache>
                <c:ptCount val="1"/>
                <c:pt idx="0">
                  <c:v>Problem 1 Residuals</c:v>
                </c:pt>
              </c:strCache>
            </c:strRef>
          </c:tx>
          <c:spPr>
            <a:ln w="25400" cap="rnd">
              <a:noFill/>
              <a:round/>
            </a:ln>
            <a:effectLst/>
          </c:spPr>
          <c:marker>
            <c:symbol val="circle"/>
            <c:size val="5"/>
            <c:spPr>
              <a:solidFill>
                <a:schemeClr val="accent1"/>
              </a:solidFill>
              <a:ln w="9525">
                <a:solidFill>
                  <a:schemeClr val="accent1"/>
                </a:solidFill>
              </a:ln>
              <a:effectLst/>
            </c:spPr>
          </c:marker>
          <c:xVal>
            <c:numRef>
              <c:f>Sheet3!$B$13:$B$24</c:f>
              <c:numCache>
                <c:formatCode>General</c:formatCode>
                <c:ptCount val="12"/>
                <c:pt idx="0">
                  <c:v>0.5</c:v>
                </c:pt>
                <c:pt idx="1">
                  <c:v>1.5</c:v>
                </c:pt>
                <c:pt idx="2">
                  <c:v>2.5</c:v>
                </c:pt>
                <c:pt idx="3">
                  <c:v>3.5</c:v>
                </c:pt>
                <c:pt idx="4">
                  <c:v>4.5</c:v>
                </c:pt>
                <c:pt idx="5">
                  <c:v>5.5</c:v>
                </c:pt>
                <c:pt idx="6">
                  <c:v>6.5</c:v>
                </c:pt>
                <c:pt idx="7">
                  <c:v>7.5</c:v>
                </c:pt>
                <c:pt idx="8">
                  <c:v>8.5</c:v>
                </c:pt>
                <c:pt idx="9">
                  <c:v>9.5</c:v>
                </c:pt>
                <c:pt idx="10">
                  <c:v>10.5</c:v>
                </c:pt>
                <c:pt idx="11">
                  <c:v>11.5</c:v>
                </c:pt>
              </c:numCache>
            </c:numRef>
          </c:xVal>
          <c:yVal>
            <c:numRef>
              <c:f>Sheet3!$C$13:$C$24</c:f>
              <c:numCache>
                <c:formatCode>General</c:formatCode>
                <c:ptCount val="12"/>
                <c:pt idx="0">
                  <c:v>-1.44861470926935</c:v>
                </c:pt>
                <c:pt idx="1">
                  <c:v>-0.391990382243414</c:v>
                </c:pt>
                <c:pt idx="2">
                  <c:v>1.405874130906248</c:v>
                </c:pt>
                <c:pt idx="3">
                  <c:v>1.410683602522965</c:v>
                </c:pt>
                <c:pt idx="4">
                  <c:v>0.104488840175605</c:v>
                </c:pt>
                <c:pt idx="5">
                  <c:v>-0.947326015233628</c:v>
                </c:pt>
                <c:pt idx="6">
                  <c:v>-1.05138529073065</c:v>
                </c:pt>
                <c:pt idx="7">
                  <c:v>-1.108009617756593</c:v>
                </c:pt>
                <c:pt idx="8">
                  <c:v>1.094125869093745</c:v>
                </c:pt>
                <c:pt idx="9">
                  <c:v>2.08931639747702</c:v>
                </c:pt>
                <c:pt idx="10">
                  <c:v>0.395511159824394</c:v>
                </c:pt>
                <c:pt idx="11">
                  <c:v>-1.552673984766386</c:v>
                </c:pt>
              </c:numCache>
            </c:numRef>
          </c:yVal>
          <c:smooth val="0"/>
        </c:ser>
        <c:ser>
          <c:idx val="1"/>
          <c:order val="1"/>
          <c:tx>
            <c:strRef>
              <c:f>Sheet3!$I$12</c:f>
              <c:strCache>
                <c:ptCount val="1"/>
                <c:pt idx="0">
                  <c:v>predicted</c:v>
                </c:pt>
              </c:strCache>
            </c:strRef>
          </c:tx>
          <c:spPr>
            <a:ln w="19050" cap="rnd">
              <a:solidFill>
                <a:schemeClr val="accent2"/>
              </a:solidFill>
              <a:round/>
            </a:ln>
            <a:effectLst/>
          </c:spPr>
          <c:marker>
            <c:symbol val="circle"/>
            <c:size val="5"/>
            <c:spPr>
              <a:noFill/>
              <a:ln w="9525">
                <a:solidFill>
                  <a:schemeClr val="accent2"/>
                </a:solidFill>
              </a:ln>
              <a:effectLst/>
            </c:spPr>
          </c:marker>
          <c:xVal>
            <c:numRef>
              <c:f>Sheet3!$B$13:$B$24</c:f>
              <c:numCache>
                <c:formatCode>General</c:formatCode>
                <c:ptCount val="12"/>
                <c:pt idx="0">
                  <c:v>0.5</c:v>
                </c:pt>
                <c:pt idx="1">
                  <c:v>1.5</c:v>
                </c:pt>
                <c:pt idx="2">
                  <c:v>2.5</c:v>
                </c:pt>
                <c:pt idx="3">
                  <c:v>3.5</c:v>
                </c:pt>
                <c:pt idx="4">
                  <c:v>4.5</c:v>
                </c:pt>
                <c:pt idx="5">
                  <c:v>5.5</c:v>
                </c:pt>
                <c:pt idx="6">
                  <c:v>6.5</c:v>
                </c:pt>
                <c:pt idx="7">
                  <c:v>7.5</c:v>
                </c:pt>
                <c:pt idx="8">
                  <c:v>8.5</c:v>
                </c:pt>
                <c:pt idx="9">
                  <c:v>9.5</c:v>
                </c:pt>
                <c:pt idx="10">
                  <c:v>10.5</c:v>
                </c:pt>
                <c:pt idx="11">
                  <c:v>11.5</c:v>
                </c:pt>
              </c:numCache>
            </c:numRef>
          </c:xVal>
          <c:yVal>
            <c:numRef>
              <c:f>Sheet3!$I$13:$I$24</c:f>
              <c:numCache>
                <c:formatCode>General</c:formatCode>
                <c:ptCount val="12"/>
                <c:pt idx="0">
                  <c:v>-1.58333333333334</c:v>
                </c:pt>
                <c:pt idx="1">
                  <c:v>-0.416666666666668</c:v>
                </c:pt>
                <c:pt idx="2">
                  <c:v>1.166666666666669</c:v>
                </c:pt>
                <c:pt idx="3">
                  <c:v>1.583333333333338</c:v>
                </c:pt>
                <c:pt idx="4">
                  <c:v>0.416666666666672</c:v>
                </c:pt>
                <c:pt idx="5">
                  <c:v>-1.166666666666661</c:v>
                </c:pt>
                <c:pt idx="6">
                  <c:v>-1.583333333333331</c:v>
                </c:pt>
                <c:pt idx="7">
                  <c:v>-0.416666666666672</c:v>
                </c:pt>
                <c:pt idx="8">
                  <c:v>1.166666666666657</c:v>
                </c:pt>
                <c:pt idx="9">
                  <c:v>1.583333333333319</c:v>
                </c:pt>
                <c:pt idx="10">
                  <c:v>0.416666666666652</c:v>
                </c:pt>
                <c:pt idx="11">
                  <c:v>-1.166666666666677</c:v>
                </c:pt>
              </c:numCache>
            </c:numRef>
          </c:yVal>
          <c:smooth val="0"/>
        </c:ser>
        <c:dLbls>
          <c:showLegendKey val="0"/>
          <c:showVal val="0"/>
          <c:showCatName val="0"/>
          <c:showSerName val="0"/>
          <c:showPercent val="0"/>
          <c:showBubbleSize val="0"/>
        </c:dLbls>
        <c:axId val="-1176214496"/>
        <c:axId val="-1176212448"/>
      </c:scatterChart>
      <c:valAx>
        <c:axId val="-1176214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212448"/>
        <c:crosses val="autoZero"/>
        <c:crossBetween val="midCat"/>
      </c:valAx>
      <c:valAx>
        <c:axId val="-117621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214496"/>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Sheet3!$J$12</c:f>
              <c:strCache>
                <c:ptCount val="1"/>
                <c:pt idx="0">
                  <c:v>new resids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Sheet3!$B$13:$B$24</c:f>
              <c:numCache>
                <c:formatCode>General</c:formatCode>
                <c:ptCount val="12"/>
                <c:pt idx="0">
                  <c:v>0.5</c:v>
                </c:pt>
                <c:pt idx="1">
                  <c:v>1.5</c:v>
                </c:pt>
                <c:pt idx="2">
                  <c:v>2.5</c:v>
                </c:pt>
                <c:pt idx="3">
                  <c:v>3.5</c:v>
                </c:pt>
                <c:pt idx="4">
                  <c:v>4.5</c:v>
                </c:pt>
                <c:pt idx="5">
                  <c:v>5.5</c:v>
                </c:pt>
                <c:pt idx="6">
                  <c:v>6.5</c:v>
                </c:pt>
                <c:pt idx="7">
                  <c:v>7.5</c:v>
                </c:pt>
                <c:pt idx="8">
                  <c:v>8.5</c:v>
                </c:pt>
                <c:pt idx="9">
                  <c:v>9.5</c:v>
                </c:pt>
                <c:pt idx="10">
                  <c:v>10.5</c:v>
                </c:pt>
                <c:pt idx="11">
                  <c:v>11.5</c:v>
                </c:pt>
              </c:numCache>
            </c:numRef>
          </c:xVal>
          <c:yVal>
            <c:numRef>
              <c:f>Sheet3!$J$13:$J$24</c:f>
              <c:numCache>
                <c:formatCode>General</c:formatCode>
                <c:ptCount val="12"/>
                <c:pt idx="0">
                  <c:v>0.13471862406399</c:v>
                </c:pt>
                <c:pt idx="1">
                  <c:v>0.0246762844232544</c:v>
                </c:pt>
                <c:pt idx="2">
                  <c:v>0.239207464239579</c:v>
                </c:pt>
                <c:pt idx="3">
                  <c:v>-0.172649730810372</c:v>
                </c:pt>
                <c:pt idx="4">
                  <c:v>-0.312177826491067</c:v>
                </c:pt>
                <c:pt idx="5">
                  <c:v>0.219340651433033</c:v>
                </c:pt>
                <c:pt idx="6">
                  <c:v>0.531948042602681</c:v>
                </c:pt>
                <c:pt idx="7">
                  <c:v>-0.691342951089921</c:v>
                </c:pt>
                <c:pt idx="8">
                  <c:v>-0.0725407975729122</c:v>
                </c:pt>
                <c:pt idx="9">
                  <c:v>0.505983064143702</c:v>
                </c:pt>
                <c:pt idx="10">
                  <c:v>-0.0211555068422571</c:v>
                </c:pt>
                <c:pt idx="11">
                  <c:v>-0.386007318099709</c:v>
                </c:pt>
              </c:numCache>
            </c:numRef>
          </c:yVal>
          <c:smooth val="0"/>
        </c:ser>
        <c:dLbls>
          <c:showLegendKey val="0"/>
          <c:showVal val="0"/>
          <c:showCatName val="0"/>
          <c:showSerName val="0"/>
          <c:showPercent val="0"/>
          <c:showBubbleSize val="0"/>
        </c:dLbls>
        <c:axId val="-1175755904"/>
        <c:axId val="-1175753856"/>
      </c:scatterChart>
      <c:valAx>
        <c:axId val="-117575590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753856"/>
        <c:crosses val="autoZero"/>
        <c:crossBetween val="midCat"/>
      </c:valAx>
      <c:valAx>
        <c:axId val="-117575385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7559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Sheet4!$B$13</c:f>
              <c:strCache>
                <c:ptCount val="1"/>
                <c:pt idx="0">
                  <c:v>value</c:v>
                </c:pt>
              </c:strCache>
            </c:strRef>
          </c:tx>
          <c:xVal>
            <c:numRef>
              <c:f>Sheet4!$A$14:$A$49</c:f>
              <c:numCache>
                <c:formatCode>General</c:formatCode>
                <c:ptCount val="36"/>
                <c:pt idx="0">
                  <c:v>0.0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numCache>
            </c:numRef>
          </c:xVal>
          <c:yVal>
            <c:numRef>
              <c:f>Sheet4!$B$14:$B$49</c:f>
              <c:numCache>
                <c:formatCode>General</c:formatCode>
                <c:ptCount val="36"/>
                <c:pt idx="0">
                  <c:v>22.91328498266205</c:v>
                </c:pt>
                <c:pt idx="1">
                  <c:v>24.15948360645246</c:v>
                </c:pt>
                <c:pt idx="2">
                  <c:v>31.2107492108868</c:v>
                </c:pt>
                <c:pt idx="3">
                  <c:v>33.10131257179016</c:v>
                </c:pt>
                <c:pt idx="4">
                  <c:v>16.89159611854173</c:v>
                </c:pt>
                <c:pt idx="5">
                  <c:v>12.39461561914798</c:v>
                </c:pt>
                <c:pt idx="6">
                  <c:v>30.737548499967</c:v>
                </c:pt>
                <c:pt idx="7">
                  <c:v>13.5472017854801</c:v>
                </c:pt>
                <c:pt idx="8">
                  <c:v>12.9446596749564</c:v>
                </c:pt>
                <c:pt idx="9">
                  <c:v>13.40975759817769</c:v>
                </c:pt>
                <c:pt idx="10">
                  <c:v>15.15337494243776</c:v>
                </c:pt>
                <c:pt idx="11">
                  <c:v>10.68321400661329</c:v>
                </c:pt>
                <c:pt idx="12">
                  <c:v>25.32670929310526</c:v>
                </c:pt>
                <c:pt idx="13">
                  <c:v>13.24030896153011</c:v>
                </c:pt>
                <c:pt idx="14">
                  <c:v>21.77748750258104</c:v>
                </c:pt>
                <c:pt idx="15">
                  <c:v>31.16563034747761</c:v>
                </c:pt>
                <c:pt idx="16">
                  <c:v>28.6262964578158</c:v>
                </c:pt>
                <c:pt idx="17">
                  <c:v>17.34746180931077</c:v>
                </c:pt>
                <c:pt idx="18">
                  <c:v>26.58804157145929</c:v>
                </c:pt>
                <c:pt idx="19">
                  <c:v>21.57908727731794</c:v>
                </c:pt>
                <c:pt idx="20">
                  <c:v>9.99704228277422</c:v>
                </c:pt>
                <c:pt idx="21">
                  <c:v>20.2409730098737</c:v>
                </c:pt>
                <c:pt idx="22">
                  <c:v>10.69425308811412</c:v>
                </c:pt>
                <c:pt idx="23">
                  <c:v>15.0201927977161</c:v>
                </c:pt>
                <c:pt idx="24">
                  <c:v>19.158051217181</c:v>
                </c:pt>
                <c:pt idx="25">
                  <c:v>16.20760493357032</c:v>
                </c:pt>
                <c:pt idx="26">
                  <c:v>26.227181692248</c:v>
                </c:pt>
                <c:pt idx="27">
                  <c:v>31.07207645242624</c:v>
                </c:pt>
                <c:pt idx="28">
                  <c:v>17.3558607304536</c:v>
                </c:pt>
                <c:pt idx="29">
                  <c:v>23.10718120882264</c:v>
                </c:pt>
                <c:pt idx="30">
                  <c:v>19.72125275289581</c:v>
                </c:pt>
                <c:pt idx="31">
                  <c:v>14.82343728219216</c:v>
                </c:pt>
                <c:pt idx="32">
                  <c:v>13.55950658482054</c:v>
                </c:pt>
                <c:pt idx="33">
                  <c:v>21.21744681833855</c:v>
                </c:pt>
                <c:pt idx="34">
                  <c:v>16.23502720216212</c:v>
                </c:pt>
                <c:pt idx="35">
                  <c:v>20.40080387714256</c:v>
                </c:pt>
              </c:numCache>
            </c:numRef>
          </c:yVal>
          <c:smooth val="0"/>
        </c:ser>
        <c:ser>
          <c:idx val="1"/>
          <c:order val="1"/>
          <c:tx>
            <c:strRef>
              <c:f>Sheet4!$G$13</c:f>
              <c:strCache>
                <c:ptCount val="1"/>
                <c:pt idx="0">
                  <c:v>pred.value</c:v>
                </c:pt>
              </c:strCache>
            </c:strRef>
          </c:tx>
          <c:xVal>
            <c:numRef>
              <c:f>Sheet4!$A$14:$A$49</c:f>
              <c:numCache>
                <c:formatCode>General</c:formatCode>
                <c:ptCount val="36"/>
                <c:pt idx="0">
                  <c:v>0.0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numCache>
            </c:numRef>
          </c:xVal>
          <c:yVal>
            <c:numRef>
              <c:f>Sheet4!$G$14:$G$49</c:f>
              <c:numCache>
                <c:formatCode>General</c:formatCode>
                <c:ptCount val="36"/>
                <c:pt idx="0">
                  <c:v>19.86427048378773</c:v>
                </c:pt>
                <c:pt idx="1">
                  <c:v>22.6707729041486</c:v>
                </c:pt>
                <c:pt idx="2">
                  <c:v>24.74553502756661</c:v>
                </c:pt>
                <c:pt idx="3">
                  <c:v>25.53262601858522</c:v>
                </c:pt>
                <c:pt idx="4">
                  <c:v>24.82114548179118</c:v>
                </c:pt>
                <c:pt idx="5">
                  <c:v>22.80173405244892</c:v>
                </c:pt>
                <c:pt idx="6">
                  <c:v>20.01549139223688</c:v>
                </c:pt>
                <c:pt idx="7">
                  <c:v>17.20898897187601</c:v>
                </c:pt>
                <c:pt idx="8">
                  <c:v>15.134226848458</c:v>
                </c:pt>
                <c:pt idx="9">
                  <c:v>14.3471358574394</c:v>
                </c:pt>
                <c:pt idx="10">
                  <c:v>15.05861639423343</c:v>
                </c:pt>
                <c:pt idx="11">
                  <c:v>17.07802782357568</c:v>
                </c:pt>
                <c:pt idx="12">
                  <c:v>19.86427048378773</c:v>
                </c:pt>
                <c:pt idx="13">
                  <c:v>22.6707729041486</c:v>
                </c:pt>
                <c:pt idx="14">
                  <c:v>24.74553502756661</c:v>
                </c:pt>
                <c:pt idx="15">
                  <c:v>25.53262601858522</c:v>
                </c:pt>
                <c:pt idx="16">
                  <c:v>24.82114548179118</c:v>
                </c:pt>
                <c:pt idx="17">
                  <c:v>22.80173405244892</c:v>
                </c:pt>
                <c:pt idx="18">
                  <c:v>20.01549139223688</c:v>
                </c:pt>
                <c:pt idx="19">
                  <c:v>17.20898897187601</c:v>
                </c:pt>
                <c:pt idx="20">
                  <c:v>15.134226848458</c:v>
                </c:pt>
                <c:pt idx="21">
                  <c:v>14.3471358574394</c:v>
                </c:pt>
                <c:pt idx="22">
                  <c:v>15.05861639423343</c:v>
                </c:pt>
                <c:pt idx="23">
                  <c:v>17.07802782357568</c:v>
                </c:pt>
                <c:pt idx="24">
                  <c:v>19.86427048378773</c:v>
                </c:pt>
                <c:pt idx="25">
                  <c:v>22.6707729041486</c:v>
                </c:pt>
                <c:pt idx="26">
                  <c:v>24.74553502756661</c:v>
                </c:pt>
                <c:pt idx="27">
                  <c:v>25.53262601858522</c:v>
                </c:pt>
                <c:pt idx="28">
                  <c:v>24.82114548179118</c:v>
                </c:pt>
                <c:pt idx="29">
                  <c:v>22.80173405244892</c:v>
                </c:pt>
                <c:pt idx="30">
                  <c:v>20.01549139223689</c:v>
                </c:pt>
                <c:pt idx="31">
                  <c:v>17.20898897187601</c:v>
                </c:pt>
                <c:pt idx="32">
                  <c:v>15.13422684845801</c:v>
                </c:pt>
                <c:pt idx="33">
                  <c:v>14.3471358574394</c:v>
                </c:pt>
                <c:pt idx="34">
                  <c:v>15.05861639423343</c:v>
                </c:pt>
                <c:pt idx="35">
                  <c:v>17.07802782357569</c:v>
                </c:pt>
              </c:numCache>
            </c:numRef>
          </c:yVal>
          <c:smooth val="0"/>
        </c:ser>
        <c:dLbls>
          <c:showLegendKey val="0"/>
          <c:showVal val="0"/>
          <c:showCatName val="0"/>
          <c:showSerName val="0"/>
          <c:showPercent val="0"/>
          <c:showBubbleSize val="0"/>
        </c:dLbls>
        <c:axId val="-1176380656"/>
        <c:axId val="-1176375616"/>
      </c:scatterChart>
      <c:valAx>
        <c:axId val="-1176380656"/>
        <c:scaling>
          <c:orientation val="minMax"/>
        </c:scaling>
        <c:delete val="0"/>
        <c:axPos val="b"/>
        <c:numFmt formatCode="General" sourceLinked="1"/>
        <c:majorTickMark val="out"/>
        <c:minorTickMark val="none"/>
        <c:tickLblPos val="nextTo"/>
        <c:crossAx val="-1176375616"/>
        <c:crosses val="autoZero"/>
        <c:crossBetween val="midCat"/>
      </c:valAx>
      <c:valAx>
        <c:axId val="-1176375616"/>
        <c:scaling>
          <c:orientation val="minMax"/>
          <c:max val="40.0"/>
          <c:min val="0.0"/>
        </c:scaling>
        <c:delete val="0"/>
        <c:axPos val="l"/>
        <c:majorGridlines/>
        <c:numFmt formatCode="General" sourceLinked="1"/>
        <c:majorTickMark val="out"/>
        <c:minorTickMark val="none"/>
        <c:tickLblPos val="nextTo"/>
        <c:crossAx val="-117638065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Sheet4!$C$13</c:f>
              <c:strCache>
                <c:ptCount val="1"/>
                <c:pt idx="0">
                  <c:v>month.avg.</c:v>
                </c:pt>
              </c:strCache>
            </c:strRef>
          </c:tx>
          <c:xVal>
            <c:numRef>
              <c:f>Sheet4!$A$14:$A$25</c:f>
              <c:numCache>
                <c:formatCode>General</c:formatCode>
                <c:ptCount val="12"/>
                <c:pt idx="0">
                  <c:v>0.0</c:v>
                </c:pt>
                <c:pt idx="1">
                  <c:v>1.0</c:v>
                </c:pt>
                <c:pt idx="2">
                  <c:v>2.0</c:v>
                </c:pt>
                <c:pt idx="3">
                  <c:v>3.0</c:v>
                </c:pt>
                <c:pt idx="4">
                  <c:v>4.0</c:v>
                </c:pt>
                <c:pt idx="5">
                  <c:v>5.0</c:v>
                </c:pt>
                <c:pt idx="6">
                  <c:v>6.0</c:v>
                </c:pt>
                <c:pt idx="7">
                  <c:v>7.0</c:v>
                </c:pt>
                <c:pt idx="8">
                  <c:v>8.0</c:v>
                </c:pt>
                <c:pt idx="9">
                  <c:v>9.0</c:v>
                </c:pt>
                <c:pt idx="10">
                  <c:v>10.0</c:v>
                </c:pt>
                <c:pt idx="11">
                  <c:v>11.0</c:v>
                </c:pt>
              </c:numCache>
            </c:numRef>
          </c:xVal>
          <c:yVal>
            <c:numRef>
              <c:f>Sheet4!$C$14:$C$25</c:f>
              <c:numCache>
                <c:formatCode>General</c:formatCode>
                <c:ptCount val="12"/>
                <c:pt idx="0">
                  <c:v>22.4660151643161</c:v>
                </c:pt>
                <c:pt idx="1">
                  <c:v>17.86913250051763</c:v>
                </c:pt>
                <c:pt idx="2">
                  <c:v>26.40513946857195</c:v>
                </c:pt>
                <c:pt idx="3">
                  <c:v>31.779673123898</c:v>
                </c:pt>
                <c:pt idx="4">
                  <c:v>20.95791776893705</c:v>
                </c:pt>
                <c:pt idx="5">
                  <c:v>17.61641954576046</c:v>
                </c:pt>
                <c:pt idx="6">
                  <c:v>25.68228094144071</c:v>
                </c:pt>
                <c:pt idx="7">
                  <c:v>16.6499087816634</c:v>
                </c:pt>
                <c:pt idx="8">
                  <c:v>12.16706951418372</c:v>
                </c:pt>
                <c:pt idx="9">
                  <c:v>18.28939247546332</c:v>
                </c:pt>
                <c:pt idx="10">
                  <c:v>14.027551744238</c:v>
                </c:pt>
                <c:pt idx="11">
                  <c:v>15.36807022715732</c:v>
                </c:pt>
              </c:numCache>
            </c:numRef>
          </c:yVal>
          <c:smooth val="0"/>
        </c:ser>
        <c:ser>
          <c:idx val="1"/>
          <c:order val="1"/>
          <c:tx>
            <c:strRef>
              <c:f>Sheet4!$H$13</c:f>
              <c:strCache>
                <c:ptCount val="1"/>
                <c:pt idx="0">
                  <c:v>pred.avg</c:v>
                </c:pt>
              </c:strCache>
            </c:strRef>
          </c:tx>
          <c:xVal>
            <c:numRef>
              <c:f>Sheet4!$A$14:$A$25</c:f>
              <c:numCache>
                <c:formatCode>General</c:formatCode>
                <c:ptCount val="12"/>
                <c:pt idx="0">
                  <c:v>0.0</c:v>
                </c:pt>
                <c:pt idx="1">
                  <c:v>1.0</c:v>
                </c:pt>
                <c:pt idx="2">
                  <c:v>2.0</c:v>
                </c:pt>
                <c:pt idx="3">
                  <c:v>3.0</c:v>
                </c:pt>
                <c:pt idx="4">
                  <c:v>4.0</c:v>
                </c:pt>
                <c:pt idx="5">
                  <c:v>5.0</c:v>
                </c:pt>
                <c:pt idx="6">
                  <c:v>6.0</c:v>
                </c:pt>
                <c:pt idx="7">
                  <c:v>7.0</c:v>
                </c:pt>
                <c:pt idx="8">
                  <c:v>8.0</c:v>
                </c:pt>
                <c:pt idx="9">
                  <c:v>9.0</c:v>
                </c:pt>
                <c:pt idx="10">
                  <c:v>10.0</c:v>
                </c:pt>
                <c:pt idx="11">
                  <c:v>11.0</c:v>
                </c:pt>
              </c:numCache>
            </c:numRef>
          </c:xVal>
          <c:yVal>
            <c:numRef>
              <c:f>Sheet4!$H$14:$H$25</c:f>
              <c:numCache>
                <c:formatCode>General</c:formatCode>
                <c:ptCount val="12"/>
                <c:pt idx="0">
                  <c:v>19.86427048378773</c:v>
                </c:pt>
                <c:pt idx="1">
                  <c:v>22.6707729041486</c:v>
                </c:pt>
                <c:pt idx="2">
                  <c:v>24.74553502756661</c:v>
                </c:pt>
                <c:pt idx="3">
                  <c:v>25.53262601858522</c:v>
                </c:pt>
                <c:pt idx="4">
                  <c:v>24.82114548179118</c:v>
                </c:pt>
                <c:pt idx="5">
                  <c:v>22.80173405244892</c:v>
                </c:pt>
                <c:pt idx="6">
                  <c:v>20.01549139223688</c:v>
                </c:pt>
                <c:pt idx="7">
                  <c:v>17.20898897187601</c:v>
                </c:pt>
                <c:pt idx="8">
                  <c:v>15.13422684845801</c:v>
                </c:pt>
                <c:pt idx="9">
                  <c:v>14.3471358574394</c:v>
                </c:pt>
                <c:pt idx="10">
                  <c:v>15.05861639423343</c:v>
                </c:pt>
                <c:pt idx="11">
                  <c:v>17.07802782357569</c:v>
                </c:pt>
              </c:numCache>
            </c:numRef>
          </c:yVal>
          <c:smooth val="0"/>
        </c:ser>
        <c:dLbls>
          <c:showLegendKey val="0"/>
          <c:showVal val="0"/>
          <c:showCatName val="0"/>
          <c:showSerName val="0"/>
          <c:showPercent val="0"/>
          <c:showBubbleSize val="0"/>
        </c:dLbls>
        <c:axId val="-1176331984"/>
        <c:axId val="-1176329936"/>
      </c:scatterChart>
      <c:valAx>
        <c:axId val="-1176331984"/>
        <c:scaling>
          <c:orientation val="minMax"/>
        </c:scaling>
        <c:delete val="0"/>
        <c:axPos val="b"/>
        <c:numFmt formatCode="General" sourceLinked="1"/>
        <c:majorTickMark val="out"/>
        <c:minorTickMark val="none"/>
        <c:tickLblPos val="nextTo"/>
        <c:crossAx val="-1176329936"/>
        <c:crosses val="autoZero"/>
        <c:crossBetween val="midCat"/>
      </c:valAx>
      <c:valAx>
        <c:axId val="-1176329936"/>
        <c:scaling>
          <c:orientation val="minMax"/>
          <c:max val="40.0"/>
          <c:min val="0.0"/>
        </c:scaling>
        <c:delete val="0"/>
        <c:axPos val="l"/>
        <c:majorGridlines/>
        <c:numFmt formatCode="General" sourceLinked="1"/>
        <c:majorTickMark val="out"/>
        <c:minorTickMark val="none"/>
        <c:tickLblPos val="nextTo"/>
        <c:crossAx val="-117633198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 vs. value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Sheet5!$B$9</c:f>
              <c:strCache>
                <c:ptCount val="1"/>
                <c:pt idx="0">
                  <c:v>value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Sheet5!$A$10:$A$57</c:f>
              <c:numCache>
                <c:formatCode>General</c:formatCode>
                <c:ptCount val="48"/>
                <c:pt idx="0">
                  <c:v>0.0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numCache>
            </c:numRef>
          </c:xVal>
          <c:yVal>
            <c:numRef>
              <c:f>Sheet5!$B$10:$B$57</c:f>
              <c:numCache>
                <c:formatCode>General</c:formatCode>
                <c:ptCount val="48"/>
                <c:pt idx="0">
                  <c:v>8.55372024915563</c:v>
                </c:pt>
                <c:pt idx="1">
                  <c:v>8.699638802055451</c:v>
                </c:pt>
                <c:pt idx="2">
                  <c:v>8.621923196083536</c:v>
                </c:pt>
                <c:pt idx="3">
                  <c:v>9.16977654449274</c:v>
                </c:pt>
                <c:pt idx="4">
                  <c:v>11.02860201538451</c:v>
                </c:pt>
                <c:pt idx="5">
                  <c:v>13.10700061505422</c:v>
                </c:pt>
                <c:pt idx="6">
                  <c:v>13.99871733219556</c:v>
                </c:pt>
                <c:pt idx="7">
                  <c:v>15.4624681879557</c:v>
                </c:pt>
                <c:pt idx="8">
                  <c:v>16.26937204769515</c:v>
                </c:pt>
                <c:pt idx="9">
                  <c:v>16.77380798907031</c:v>
                </c:pt>
                <c:pt idx="10">
                  <c:v>15.48743192217928</c:v>
                </c:pt>
                <c:pt idx="11">
                  <c:v>16.40100941796968</c:v>
                </c:pt>
                <c:pt idx="12">
                  <c:v>12.89149880999063</c:v>
                </c:pt>
                <c:pt idx="13">
                  <c:v>13.6866053067822</c:v>
                </c:pt>
                <c:pt idx="14">
                  <c:v>11.60390679565887</c:v>
                </c:pt>
                <c:pt idx="15">
                  <c:v>12.72292078384203</c:v>
                </c:pt>
                <c:pt idx="16">
                  <c:v>14.33916283207035</c:v>
                </c:pt>
                <c:pt idx="17">
                  <c:v>15.64086948284201</c:v>
                </c:pt>
                <c:pt idx="18">
                  <c:v>16.84434338809059</c:v>
                </c:pt>
                <c:pt idx="19">
                  <c:v>20.99737788979279</c:v>
                </c:pt>
                <c:pt idx="20">
                  <c:v>19.56055089017113</c:v>
                </c:pt>
                <c:pt idx="21">
                  <c:v>19.45244911983479</c:v>
                </c:pt>
                <c:pt idx="22">
                  <c:v>19.02308236787671</c:v>
                </c:pt>
                <c:pt idx="23">
                  <c:v>18.77313325295384</c:v>
                </c:pt>
                <c:pt idx="24">
                  <c:v>19.4897084103684</c:v>
                </c:pt>
                <c:pt idx="25">
                  <c:v>18.28050789737158</c:v>
                </c:pt>
                <c:pt idx="26">
                  <c:v>17.65943315700621</c:v>
                </c:pt>
                <c:pt idx="27">
                  <c:v>18.60880849517331</c:v>
                </c:pt>
                <c:pt idx="28">
                  <c:v>19.48797476263212</c:v>
                </c:pt>
                <c:pt idx="29">
                  <c:v>20.86098087713042</c:v>
                </c:pt>
                <c:pt idx="30">
                  <c:v>21.81288876266591</c:v>
                </c:pt>
                <c:pt idx="31">
                  <c:v>24.95732295094001</c:v>
                </c:pt>
                <c:pt idx="32">
                  <c:v>24.47152067922982</c:v>
                </c:pt>
                <c:pt idx="33">
                  <c:v>26.03864032827317</c:v>
                </c:pt>
                <c:pt idx="34">
                  <c:v>23.43644243248662</c:v>
                </c:pt>
                <c:pt idx="35">
                  <c:v>23.7974888555923</c:v>
                </c:pt>
                <c:pt idx="36">
                  <c:v>20.99689205725968</c:v>
                </c:pt>
                <c:pt idx="37">
                  <c:v>21.13857382690719</c:v>
                </c:pt>
                <c:pt idx="38">
                  <c:v>21.38072554284127</c:v>
                </c:pt>
                <c:pt idx="39">
                  <c:v>23.4103205070202</c:v>
                </c:pt>
                <c:pt idx="40">
                  <c:v>23.75118208175012</c:v>
                </c:pt>
                <c:pt idx="41">
                  <c:v>25.33157010096739</c:v>
                </c:pt>
                <c:pt idx="42">
                  <c:v>28.01348730473523</c:v>
                </c:pt>
                <c:pt idx="43">
                  <c:v>29.03233234808225</c:v>
                </c:pt>
                <c:pt idx="44">
                  <c:v>29.78851088520578</c:v>
                </c:pt>
                <c:pt idx="45">
                  <c:v>29.71976669934297</c:v>
                </c:pt>
                <c:pt idx="46">
                  <c:v>31.60335592953129</c:v>
                </c:pt>
                <c:pt idx="47">
                  <c:v>27.82348865119455</c:v>
                </c:pt>
              </c:numCache>
            </c:numRef>
          </c:yVal>
          <c:smooth val="0"/>
        </c:ser>
        <c:dLbls>
          <c:showLegendKey val="0"/>
          <c:showVal val="0"/>
          <c:showCatName val="0"/>
          <c:showSerName val="0"/>
          <c:showPercent val="0"/>
          <c:showBubbleSize val="0"/>
        </c:dLbls>
        <c:axId val="-1176284576"/>
        <c:axId val="-1176282528"/>
      </c:scatterChart>
      <c:valAx>
        <c:axId val="-1176284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282528"/>
        <c:crosses val="autoZero"/>
        <c:crossBetween val="midCat"/>
      </c:valAx>
      <c:valAx>
        <c:axId val="-117628252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2845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a:t>
            </a:r>
            <a:r>
              <a:rPr lang="en-US" baseline="0"/>
              <a:t> Points with Predicted Curve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Sheet5!$B$9</c:f>
              <c:strCache>
                <c:ptCount val="1"/>
                <c:pt idx="0">
                  <c:v>value</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Sheet5!$A$10:$A$57</c:f>
              <c:numCache>
                <c:formatCode>General</c:formatCode>
                <c:ptCount val="48"/>
                <c:pt idx="0">
                  <c:v>0.0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numCache>
            </c:numRef>
          </c:xVal>
          <c:yVal>
            <c:numRef>
              <c:f>Sheet5!$B$10:$B$57</c:f>
              <c:numCache>
                <c:formatCode>General</c:formatCode>
                <c:ptCount val="48"/>
                <c:pt idx="0">
                  <c:v>8.55372024915563</c:v>
                </c:pt>
                <c:pt idx="1">
                  <c:v>8.699638802055451</c:v>
                </c:pt>
                <c:pt idx="2">
                  <c:v>8.621923196083536</c:v>
                </c:pt>
                <c:pt idx="3">
                  <c:v>9.16977654449274</c:v>
                </c:pt>
                <c:pt idx="4">
                  <c:v>11.02860201538451</c:v>
                </c:pt>
                <c:pt idx="5">
                  <c:v>13.10700061505422</c:v>
                </c:pt>
                <c:pt idx="6">
                  <c:v>13.99871733219556</c:v>
                </c:pt>
                <c:pt idx="7">
                  <c:v>15.4624681879557</c:v>
                </c:pt>
                <c:pt idx="8">
                  <c:v>16.26937204769515</c:v>
                </c:pt>
                <c:pt idx="9">
                  <c:v>16.77380798907031</c:v>
                </c:pt>
                <c:pt idx="10">
                  <c:v>15.48743192217928</c:v>
                </c:pt>
                <c:pt idx="11">
                  <c:v>16.40100941796968</c:v>
                </c:pt>
                <c:pt idx="12">
                  <c:v>12.89149880999063</c:v>
                </c:pt>
                <c:pt idx="13">
                  <c:v>13.6866053067822</c:v>
                </c:pt>
                <c:pt idx="14">
                  <c:v>11.60390679565887</c:v>
                </c:pt>
                <c:pt idx="15">
                  <c:v>12.72292078384203</c:v>
                </c:pt>
                <c:pt idx="16">
                  <c:v>14.33916283207035</c:v>
                </c:pt>
                <c:pt idx="17">
                  <c:v>15.64086948284201</c:v>
                </c:pt>
                <c:pt idx="18">
                  <c:v>16.84434338809059</c:v>
                </c:pt>
                <c:pt idx="19">
                  <c:v>20.99737788979279</c:v>
                </c:pt>
                <c:pt idx="20">
                  <c:v>19.56055089017113</c:v>
                </c:pt>
                <c:pt idx="21">
                  <c:v>19.45244911983479</c:v>
                </c:pt>
                <c:pt idx="22">
                  <c:v>19.02308236787671</c:v>
                </c:pt>
                <c:pt idx="23">
                  <c:v>18.77313325295384</c:v>
                </c:pt>
                <c:pt idx="24">
                  <c:v>19.4897084103684</c:v>
                </c:pt>
                <c:pt idx="25">
                  <c:v>18.28050789737158</c:v>
                </c:pt>
                <c:pt idx="26">
                  <c:v>17.65943315700621</c:v>
                </c:pt>
                <c:pt idx="27">
                  <c:v>18.60880849517331</c:v>
                </c:pt>
                <c:pt idx="28">
                  <c:v>19.48797476263212</c:v>
                </c:pt>
                <c:pt idx="29">
                  <c:v>20.86098087713042</c:v>
                </c:pt>
                <c:pt idx="30">
                  <c:v>21.81288876266591</c:v>
                </c:pt>
                <c:pt idx="31">
                  <c:v>24.95732295094001</c:v>
                </c:pt>
                <c:pt idx="32">
                  <c:v>24.47152067922982</c:v>
                </c:pt>
                <c:pt idx="33">
                  <c:v>26.03864032827317</c:v>
                </c:pt>
                <c:pt idx="34">
                  <c:v>23.43644243248662</c:v>
                </c:pt>
                <c:pt idx="35">
                  <c:v>23.7974888555923</c:v>
                </c:pt>
                <c:pt idx="36">
                  <c:v>20.99689205725968</c:v>
                </c:pt>
                <c:pt idx="37">
                  <c:v>21.13857382690719</c:v>
                </c:pt>
                <c:pt idx="38">
                  <c:v>21.38072554284127</c:v>
                </c:pt>
                <c:pt idx="39">
                  <c:v>23.4103205070202</c:v>
                </c:pt>
                <c:pt idx="40">
                  <c:v>23.75118208175012</c:v>
                </c:pt>
                <c:pt idx="41">
                  <c:v>25.33157010096739</c:v>
                </c:pt>
                <c:pt idx="42">
                  <c:v>28.01348730473523</c:v>
                </c:pt>
                <c:pt idx="43">
                  <c:v>29.03233234808225</c:v>
                </c:pt>
                <c:pt idx="44">
                  <c:v>29.78851088520578</c:v>
                </c:pt>
                <c:pt idx="45">
                  <c:v>29.71976669934297</c:v>
                </c:pt>
                <c:pt idx="46">
                  <c:v>31.60335592953129</c:v>
                </c:pt>
                <c:pt idx="47">
                  <c:v>27.82348865119455</c:v>
                </c:pt>
              </c:numCache>
            </c:numRef>
          </c:yVal>
          <c:smooth val="0"/>
        </c:ser>
        <c:ser>
          <c:idx val="1"/>
          <c:order val="1"/>
          <c:tx>
            <c:strRef>
              <c:f>Sheet5!$G$9</c:f>
              <c:strCache>
                <c:ptCount val="1"/>
                <c:pt idx="0">
                  <c:v>predicted</c:v>
                </c:pt>
              </c:strCache>
            </c:strRef>
          </c:tx>
          <c:spPr>
            <a:ln w="19050" cap="rnd">
              <a:solidFill>
                <a:schemeClr val="accent2"/>
              </a:solidFill>
              <a:round/>
            </a:ln>
            <a:effectLst/>
          </c:spPr>
          <c:marker>
            <c:symbol val="circle"/>
            <c:size val="5"/>
            <c:spPr>
              <a:noFill/>
              <a:ln w="9525">
                <a:solidFill>
                  <a:schemeClr val="accent2"/>
                </a:solidFill>
              </a:ln>
              <a:effectLst/>
            </c:spPr>
          </c:marker>
          <c:xVal>
            <c:numRef>
              <c:f>Sheet5!$A$10:$A$57</c:f>
              <c:numCache>
                <c:formatCode>General</c:formatCode>
                <c:ptCount val="48"/>
                <c:pt idx="0">
                  <c:v>0.0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numCache>
            </c:numRef>
          </c:xVal>
          <c:yVal>
            <c:numRef>
              <c:f>Sheet5!$G$10:$G$57</c:f>
              <c:numCache>
                <c:formatCode>General</c:formatCode>
                <c:ptCount val="48"/>
                <c:pt idx="0">
                  <c:v>8.754169821826325</c:v>
                </c:pt>
                <c:pt idx="1">
                  <c:v>9.29255313856802</c:v>
                </c:pt>
                <c:pt idx="2">
                  <c:v>10.11336403895895</c:v>
                </c:pt>
                <c:pt idx="3">
                  <c:v>11.09723458079631</c:v>
                </c:pt>
                <c:pt idx="4">
                  <c:v>12.0811051226337</c:v>
                </c:pt>
                <c:pt idx="5">
                  <c:v>12.90191602302467</c:v>
                </c:pt>
                <c:pt idx="6">
                  <c:v>13.44029933976637</c:v>
                </c:pt>
                <c:pt idx="7">
                  <c:v>13.65256337361514</c:v>
                </c:pt>
                <c:pt idx="8">
                  <c:v>13.58239982381467</c:v>
                </c:pt>
                <c:pt idx="9">
                  <c:v>13.34917663256775</c:v>
                </c:pt>
                <c:pt idx="10">
                  <c:v>13.11595344132082</c:v>
                </c:pt>
                <c:pt idx="11">
                  <c:v>13.04578989152035</c:v>
                </c:pt>
                <c:pt idx="12">
                  <c:v>13.25805392536912</c:v>
                </c:pt>
                <c:pt idx="13">
                  <c:v>13.79643724211082</c:v>
                </c:pt>
                <c:pt idx="14">
                  <c:v>14.61724814250175</c:v>
                </c:pt>
                <c:pt idx="15">
                  <c:v>15.60111868433914</c:v>
                </c:pt>
                <c:pt idx="16">
                  <c:v>16.58498922617654</c:v>
                </c:pt>
                <c:pt idx="17">
                  <c:v>17.40580012656747</c:v>
                </c:pt>
                <c:pt idx="18">
                  <c:v>17.94418344330916</c:v>
                </c:pt>
                <c:pt idx="19">
                  <c:v>18.15644747715794</c:v>
                </c:pt>
                <c:pt idx="20">
                  <c:v>18.08628392735747</c:v>
                </c:pt>
                <c:pt idx="21">
                  <c:v>17.85306073611054</c:v>
                </c:pt>
                <c:pt idx="22">
                  <c:v>17.61983754486361</c:v>
                </c:pt>
                <c:pt idx="23">
                  <c:v>17.54967399506315</c:v>
                </c:pt>
                <c:pt idx="24">
                  <c:v>17.76193802891192</c:v>
                </c:pt>
                <c:pt idx="25">
                  <c:v>18.30032134565362</c:v>
                </c:pt>
                <c:pt idx="26">
                  <c:v>19.12113224604455</c:v>
                </c:pt>
                <c:pt idx="27">
                  <c:v>20.10500278788194</c:v>
                </c:pt>
                <c:pt idx="28">
                  <c:v>21.08887332971933</c:v>
                </c:pt>
                <c:pt idx="29">
                  <c:v>21.90968423011027</c:v>
                </c:pt>
                <c:pt idx="30">
                  <c:v>22.44806754685196</c:v>
                </c:pt>
                <c:pt idx="31">
                  <c:v>22.66033158070073</c:v>
                </c:pt>
                <c:pt idx="32">
                  <c:v>22.59016803090027</c:v>
                </c:pt>
                <c:pt idx="33">
                  <c:v>22.35694483965334</c:v>
                </c:pt>
                <c:pt idx="34">
                  <c:v>22.12372164840641</c:v>
                </c:pt>
                <c:pt idx="35">
                  <c:v>22.05355809860595</c:v>
                </c:pt>
                <c:pt idx="36">
                  <c:v>22.26582213245472</c:v>
                </c:pt>
                <c:pt idx="37">
                  <c:v>22.80420544919641</c:v>
                </c:pt>
                <c:pt idx="38">
                  <c:v>23.62501634958734</c:v>
                </c:pt>
                <c:pt idx="39">
                  <c:v>24.60888689142474</c:v>
                </c:pt>
                <c:pt idx="40">
                  <c:v>25.59275743326214</c:v>
                </c:pt>
                <c:pt idx="41">
                  <c:v>26.41356833365306</c:v>
                </c:pt>
                <c:pt idx="42">
                  <c:v>26.95195165039476</c:v>
                </c:pt>
                <c:pt idx="43">
                  <c:v>27.16421568424353</c:v>
                </c:pt>
                <c:pt idx="44">
                  <c:v>27.09405213444307</c:v>
                </c:pt>
                <c:pt idx="45">
                  <c:v>26.86082894319614</c:v>
                </c:pt>
                <c:pt idx="46">
                  <c:v>26.62760575194922</c:v>
                </c:pt>
                <c:pt idx="47">
                  <c:v>26.55744220214875</c:v>
                </c:pt>
              </c:numCache>
            </c:numRef>
          </c:yVal>
          <c:smooth val="0"/>
        </c:ser>
        <c:dLbls>
          <c:showLegendKey val="0"/>
          <c:showVal val="0"/>
          <c:showCatName val="0"/>
          <c:showSerName val="0"/>
          <c:showPercent val="0"/>
          <c:showBubbleSize val="0"/>
        </c:dLbls>
        <c:axId val="-1196516656"/>
        <c:axId val="-1196514608"/>
      </c:scatterChart>
      <c:valAx>
        <c:axId val="-119651665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514608"/>
        <c:crosses val="autoZero"/>
        <c:crossBetween val="midCat"/>
      </c:valAx>
      <c:valAx>
        <c:axId val="-119651460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516656"/>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Sheet5!$H$9</c:f>
              <c:strCache>
                <c:ptCount val="1"/>
                <c:pt idx="0">
                  <c:v>residuals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Sheet5!$A$10:$A$57</c:f>
              <c:numCache>
                <c:formatCode>General</c:formatCode>
                <c:ptCount val="48"/>
                <c:pt idx="0">
                  <c:v>0.0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numCache>
            </c:numRef>
          </c:xVal>
          <c:yVal>
            <c:numRef>
              <c:f>Sheet5!$H$10:$H$57</c:f>
              <c:numCache>
                <c:formatCode>General</c:formatCode>
                <c:ptCount val="48"/>
                <c:pt idx="0">
                  <c:v>-0.200449572670694</c:v>
                </c:pt>
                <c:pt idx="1">
                  <c:v>-0.592914336512568</c:v>
                </c:pt>
                <c:pt idx="2">
                  <c:v>-1.491440842875415</c:v>
                </c:pt>
                <c:pt idx="3">
                  <c:v>-1.927458036303571</c:v>
                </c:pt>
                <c:pt idx="4">
                  <c:v>-1.052503107249196</c:v>
                </c:pt>
                <c:pt idx="5">
                  <c:v>0.205084592029545</c:v>
                </c:pt>
                <c:pt idx="6">
                  <c:v>0.558417992429193</c:v>
                </c:pt>
                <c:pt idx="7">
                  <c:v>1.809904814340562</c:v>
                </c:pt>
                <c:pt idx="8">
                  <c:v>2.686972223880481</c:v>
                </c:pt>
                <c:pt idx="9">
                  <c:v>3.42463135650256</c:v>
                </c:pt>
                <c:pt idx="10">
                  <c:v>2.371478480858466</c:v>
                </c:pt>
                <c:pt idx="11">
                  <c:v>3.35521952644933</c:v>
                </c:pt>
                <c:pt idx="12">
                  <c:v>-0.366555115378494</c:v>
                </c:pt>
                <c:pt idx="13">
                  <c:v>-0.109831935328629</c:v>
                </c:pt>
                <c:pt idx="14">
                  <c:v>-3.013341346842878</c:v>
                </c:pt>
                <c:pt idx="15">
                  <c:v>-2.878197900497106</c:v>
                </c:pt>
                <c:pt idx="16">
                  <c:v>-2.245826394106185</c:v>
                </c:pt>
                <c:pt idx="17">
                  <c:v>-1.764930643725457</c:v>
                </c:pt>
                <c:pt idx="18">
                  <c:v>-1.099840055218578</c:v>
                </c:pt>
                <c:pt idx="19">
                  <c:v>2.840930412634854</c:v>
                </c:pt>
                <c:pt idx="20">
                  <c:v>1.474266962813658</c:v>
                </c:pt>
                <c:pt idx="21">
                  <c:v>1.599388383724246</c:v>
                </c:pt>
                <c:pt idx="22">
                  <c:v>1.4032448230131</c:v>
                </c:pt>
                <c:pt idx="23">
                  <c:v>1.223459257890692</c:v>
                </c:pt>
                <c:pt idx="24">
                  <c:v>1.72777038145648</c:v>
                </c:pt>
                <c:pt idx="25">
                  <c:v>-0.01981344828204</c:v>
                </c:pt>
                <c:pt idx="26">
                  <c:v>-1.461699089038333</c:v>
                </c:pt>
                <c:pt idx="27">
                  <c:v>-1.496194292708637</c:v>
                </c:pt>
                <c:pt idx="28">
                  <c:v>-1.600898567087217</c:v>
                </c:pt>
                <c:pt idx="29">
                  <c:v>-1.04870335297985</c:v>
                </c:pt>
                <c:pt idx="30">
                  <c:v>-0.635178784186049</c:v>
                </c:pt>
                <c:pt idx="31">
                  <c:v>2.296991370239279</c:v>
                </c:pt>
                <c:pt idx="32">
                  <c:v>1.881352648329543</c:v>
                </c:pt>
                <c:pt idx="33">
                  <c:v>3.68169548861983</c:v>
                </c:pt>
                <c:pt idx="34">
                  <c:v>1.312720784080209</c:v>
                </c:pt>
                <c:pt idx="35">
                  <c:v>1.743930756986352</c:v>
                </c:pt>
                <c:pt idx="36">
                  <c:v>-1.268930075195048</c:v>
                </c:pt>
                <c:pt idx="37">
                  <c:v>-1.665631622289226</c:v>
                </c:pt>
                <c:pt idx="38">
                  <c:v>-2.24429080674608</c:v>
                </c:pt>
                <c:pt idx="39">
                  <c:v>-1.198566384404543</c:v>
                </c:pt>
                <c:pt idx="40">
                  <c:v>-1.841575351512017</c:v>
                </c:pt>
                <c:pt idx="41">
                  <c:v>-1.081998232685674</c:v>
                </c:pt>
                <c:pt idx="42">
                  <c:v>1.061535654340464</c:v>
                </c:pt>
                <c:pt idx="43">
                  <c:v>1.86811666383872</c:v>
                </c:pt>
                <c:pt idx="44">
                  <c:v>2.694458750762717</c:v>
                </c:pt>
                <c:pt idx="45">
                  <c:v>2.858937756146833</c:v>
                </c:pt>
                <c:pt idx="46">
                  <c:v>4.975750177582067</c:v>
                </c:pt>
                <c:pt idx="47">
                  <c:v>1.266046449045806</c:v>
                </c:pt>
              </c:numCache>
            </c:numRef>
          </c:yVal>
          <c:smooth val="0"/>
        </c:ser>
        <c:dLbls>
          <c:showLegendKey val="0"/>
          <c:showVal val="0"/>
          <c:showCatName val="0"/>
          <c:showSerName val="0"/>
          <c:showPercent val="0"/>
          <c:showBubbleSize val="0"/>
        </c:dLbls>
        <c:axId val="-1228290656"/>
        <c:axId val="-1228288608"/>
      </c:scatterChart>
      <c:valAx>
        <c:axId val="-122829065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288608"/>
        <c:crosses val="autoZero"/>
        <c:crossBetween val="midCat"/>
      </c:valAx>
      <c:valAx>
        <c:axId val="-122828860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2906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4" Type="http://schemas.openxmlformats.org/officeDocument/2006/relationships/chart" Target="../charts/chart6.xml"/><Relationship Id="rId5" Type="http://schemas.openxmlformats.org/officeDocument/2006/relationships/chart" Target="../charts/chart7.xml"/><Relationship Id="rId6" Type="http://schemas.openxmlformats.org/officeDocument/2006/relationships/chart" Target="../charts/chart8.xml"/><Relationship Id="rId7" Type="http://schemas.openxmlformats.org/officeDocument/2006/relationships/chart" Target="../charts/chart9.xml"/><Relationship Id="rId8" Type="http://schemas.openxmlformats.org/officeDocument/2006/relationships/chart" Target="../charts/chart10.xml"/><Relationship Id="rId9" Type="http://schemas.openxmlformats.org/officeDocument/2006/relationships/chart" Target="../charts/chart11.xml"/><Relationship Id="rId1" Type="http://schemas.openxmlformats.org/officeDocument/2006/relationships/chart" Target="../charts/chart3.xml"/><Relationship Id="rId2"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 Id="rId2"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 Id="rId2" Type="http://schemas.openxmlformats.org/officeDocument/2006/relationships/chart" Target="../charts/chart1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6.xml"/><Relationship Id="rId2" Type="http://schemas.openxmlformats.org/officeDocument/2006/relationships/chart" Target="../charts/chart1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8.xml"/><Relationship Id="rId2" Type="http://schemas.openxmlformats.org/officeDocument/2006/relationships/chart" Target="../charts/chart1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0.xml"/><Relationship Id="rId2" Type="http://schemas.openxmlformats.org/officeDocument/2006/relationships/chart" Target="../charts/chart21.xml"/><Relationship Id="rId3"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11</xdr:col>
      <xdr:colOff>60325</xdr:colOff>
      <xdr:row>0</xdr:row>
      <xdr:rowOff>41275</xdr:rowOff>
    </xdr:from>
    <xdr:to>
      <xdr:col>18</xdr:col>
      <xdr:colOff>365125</xdr:colOff>
      <xdr:row>14</xdr:row>
      <xdr:rowOff>117475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63500</xdr:colOff>
      <xdr:row>19</xdr:row>
      <xdr:rowOff>104775</xdr:rowOff>
    </xdr:from>
    <xdr:to>
      <xdr:col>20</xdr:col>
      <xdr:colOff>368300</xdr:colOff>
      <xdr:row>33</xdr:row>
      <xdr:rowOff>133350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0</xdr:colOff>
      <xdr:row>86</xdr:row>
      <xdr:rowOff>85725</xdr:rowOff>
    </xdr:from>
    <xdr:to>
      <xdr:col>20</xdr:col>
      <xdr:colOff>19050</xdr:colOff>
      <xdr:row>100</xdr:row>
      <xdr:rowOff>161925</xdr:rowOff>
    </xdr:to>
    <xdr:graphicFrame macro="">
      <xdr:nvGraphicFramePr>
        <xdr:cNvPr id="2"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71</xdr:row>
      <xdr:rowOff>85725</xdr:rowOff>
    </xdr:from>
    <xdr:to>
      <xdr:col>20</xdr:col>
      <xdr:colOff>57150</xdr:colOff>
      <xdr:row>85</xdr:row>
      <xdr:rowOff>114300</xdr:rowOff>
    </xdr:to>
    <xdr:graphicFrame macro="">
      <xdr:nvGraphicFramePr>
        <xdr:cNvPr id="3"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101</xdr:row>
      <xdr:rowOff>85725</xdr:rowOff>
    </xdr:from>
    <xdr:to>
      <xdr:col>20</xdr:col>
      <xdr:colOff>19050</xdr:colOff>
      <xdr:row>115</xdr:row>
      <xdr:rowOff>161925</xdr:rowOff>
    </xdr:to>
    <xdr:graphicFrame macro="">
      <xdr:nvGraphicFramePr>
        <xdr:cNvPr id="4"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116</xdr:row>
      <xdr:rowOff>85725</xdr:rowOff>
    </xdr:from>
    <xdr:to>
      <xdr:col>20</xdr:col>
      <xdr:colOff>19050</xdr:colOff>
      <xdr:row>130</xdr:row>
      <xdr:rowOff>161925</xdr:rowOff>
    </xdr:to>
    <xdr:graphicFrame macro="">
      <xdr:nvGraphicFramePr>
        <xdr:cNvPr id="5"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0</xdr:colOff>
      <xdr:row>131</xdr:row>
      <xdr:rowOff>85725</xdr:rowOff>
    </xdr:from>
    <xdr:to>
      <xdr:col>20</xdr:col>
      <xdr:colOff>19050</xdr:colOff>
      <xdr:row>145</xdr:row>
      <xdr:rowOff>161925</xdr:rowOff>
    </xdr:to>
    <xdr:graphicFrame macro="">
      <xdr:nvGraphicFramePr>
        <xdr:cNvPr id="6"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0</xdr:colOff>
      <xdr:row>146</xdr:row>
      <xdr:rowOff>85725</xdr:rowOff>
    </xdr:from>
    <xdr:to>
      <xdr:col>20</xdr:col>
      <xdr:colOff>19050</xdr:colOff>
      <xdr:row>160</xdr:row>
      <xdr:rowOff>161925</xdr:rowOff>
    </xdr:to>
    <xdr:graphicFrame macro="">
      <xdr:nvGraphicFramePr>
        <xdr:cNvPr id="7"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0</xdr:colOff>
      <xdr:row>161</xdr:row>
      <xdr:rowOff>85725</xdr:rowOff>
    </xdr:from>
    <xdr:to>
      <xdr:col>20</xdr:col>
      <xdr:colOff>19050</xdr:colOff>
      <xdr:row>175</xdr:row>
      <xdr:rowOff>161925</xdr:rowOff>
    </xdr:to>
    <xdr:graphicFrame macro="">
      <xdr:nvGraphicFramePr>
        <xdr:cNvPr id="8"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0</xdr:colOff>
      <xdr:row>0</xdr:row>
      <xdr:rowOff>28575</xdr:rowOff>
    </xdr:from>
    <xdr:to>
      <xdr:col>24</xdr:col>
      <xdr:colOff>495300</xdr:colOff>
      <xdr:row>14</xdr:row>
      <xdr:rowOff>19050</xdr:rowOff>
    </xdr:to>
    <xdr:graphicFrame macro="">
      <xdr:nvGraphicFramePr>
        <xdr:cNvPr id="9"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0</xdr:colOff>
      <xdr:row>56</xdr:row>
      <xdr:rowOff>85725</xdr:rowOff>
    </xdr:from>
    <xdr:to>
      <xdr:col>20</xdr:col>
      <xdr:colOff>0</xdr:colOff>
      <xdr:row>70</xdr:row>
      <xdr:rowOff>161925</xdr:rowOff>
    </xdr:to>
    <xdr:graphicFrame macro="">
      <xdr:nvGraphicFramePr>
        <xdr:cNvPr id="10"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0.73277</cdr:x>
      <cdr:y>0.23934</cdr:y>
    </cdr:from>
    <cdr:to>
      <cdr:x>0.93552</cdr:x>
      <cdr:y>0.55092</cdr:y>
    </cdr:to>
    <cdr:sp macro="" textlink="" fLocksText="0">
      <cdr:nvSpPr>
        <cdr:cNvPr id="6145" name="TextBox 1"/>
        <cdr:cNvSpPr txBox="1">
          <a:spLocks xmlns:a="http://schemas.openxmlformats.org/drawingml/2006/main" noChangeArrowheads="1"/>
        </cdr:cNvSpPr>
      </cdr:nvSpPr>
      <cdr:spPr bwMode="auto">
        <a:xfrm xmlns:a="http://schemas.openxmlformats.org/drawingml/2006/main">
          <a:off x="2906690" y="662019"/>
          <a:ext cx="803401" cy="857700"/>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vertOverflow="clip" wrap="square" lIns="20160" tIns="20160" rIns="20160" bIns="20160" anchor="t"/>
        <a:lstStyle xmlns:a="http://schemas.openxmlformats.org/drawingml/2006/main"/>
        <a:p xmlns:a="http://schemas.openxmlformats.org/drawingml/2006/main">
          <a:pPr algn="l" rtl="0">
            <a:defRPr sz="1000"/>
          </a:pPr>
          <a:r>
            <a:rPr lang="en-US" sz="1100" b="0" i="0" u="none" strike="noStrike" baseline="0">
              <a:solidFill>
                <a:srgbClr val="000000"/>
              </a:solidFill>
              <a:latin typeface="Calibri"/>
            </a:rPr>
            <a:t>Lag-1 Plot</a:t>
          </a:r>
        </a:p>
      </cdr:txBody>
    </cdr:sp>
  </cdr:relSizeAnchor>
</c:userShapes>
</file>

<file path=xl/drawings/drawing4.xml><?xml version="1.0" encoding="utf-8"?>
<xdr:wsDr xmlns:xdr="http://schemas.openxmlformats.org/drawingml/2006/spreadsheetDrawing" xmlns:a="http://schemas.openxmlformats.org/drawingml/2006/main">
  <xdr:twoCellAnchor>
    <xdr:from>
      <xdr:col>7</xdr:col>
      <xdr:colOff>156633</xdr:colOff>
      <xdr:row>16</xdr:row>
      <xdr:rowOff>90109</xdr:rowOff>
    </xdr:from>
    <xdr:to>
      <xdr:col>13</xdr:col>
      <xdr:colOff>143933</xdr:colOff>
      <xdr:row>29</xdr:row>
      <xdr:rowOff>183847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317500</xdr:colOff>
      <xdr:row>28</xdr:row>
      <xdr:rowOff>171450</xdr:rowOff>
    </xdr:from>
    <xdr:to>
      <xdr:col>7</xdr:col>
      <xdr:colOff>38100</xdr:colOff>
      <xdr:row>43</xdr:row>
      <xdr:rowOff>57150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7055</xdr:colOff>
      <xdr:row>15</xdr:row>
      <xdr:rowOff>201788</xdr:rowOff>
    </xdr:from>
    <xdr:to>
      <xdr:col>16</xdr:col>
      <xdr:colOff>557389</xdr:colOff>
      <xdr:row>29</xdr:row>
      <xdr:rowOff>108655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409222</xdr:colOff>
      <xdr:row>28</xdr:row>
      <xdr:rowOff>32455</xdr:rowOff>
    </xdr:from>
    <xdr:to>
      <xdr:col>9</xdr:col>
      <xdr:colOff>14111</xdr:colOff>
      <xdr:row>42</xdr:row>
      <xdr:rowOff>108655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149412</xdr:colOff>
      <xdr:row>12</xdr:row>
      <xdr:rowOff>55282</xdr:rowOff>
    </xdr:from>
    <xdr:to>
      <xdr:col>15</xdr:col>
      <xdr:colOff>455706</xdr:colOff>
      <xdr:row>25</xdr:row>
      <xdr:rowOff>183776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149411</xdr:colOff>
      <xdr:row>28</xdr:row>
      <xdr:rowOff>92635</xdr:rowOff>
    </xdr:from>
    <xdr:to>
      <xdr:col>7</xdr:col>
      <xdr:colOff>336176</xdr:colOff>
      <xdr:row>42</xdr:row>
      <xdr:rowOff>116541</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304800</xdr:colOff>
      <xdr:row>27</xdr:row>
      <xdr:rowOff>104775</xdr:rowOff>
    </xdr:from>
    <xdr:to>
      <xdr:col>8</xdr:col>
      <xdr:colOff>0</xdr:colOff>
      <xdr:row>41</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95250</xdr:colOff>
      <xdr:row>27</xdr:row>
      <xdr:rowOff>76200</xdr:rowOff>
    </xdr:from>
    <xdr:to>
      <xdr:col>17</xdr:col>
      <xdr:colOff>400050</xdr:colOff>
      <xdr:row>41</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517116</xdr:colOff>
      <xdr:row>16</xdr:row>
      <xdr:rowOff>96191</xdr:rowOff>
    </xdr:from>
    <xdr:to>
      <xdr:col>15</xdr:col>
      <xdr:colOff>361254</xdr:colOff>
      <xdr:row>30</xdr:row>
      <xdr:rowOff>175733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523798</xdr:colOff>
      <xdr:row>31</xdr:row>
      <xdr:rowOff>26918</xdr:rowOff>
    </xdr:from>
    <xdr:to>
      <xdr:col>15</xdr:col>
      <xdr:colOff>321753</xdr:colOff>
      <xdr:row>45</xdr:row>
      <xdr:rowOff>103118</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447842</xdr:colOff>
      <xdr:row>45</xdr:row>
      <xdr:rowOff>183998</xdr:rowOff>
    </xdr:from>
    <xdr:to>
      <xdr:col>15</xdr:col>
      <xdr:colOff>243974</xdr:colOff>
      <xdr:row>60</xdr:row>
      <xdr:rowOff>69698</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9" Type="http://schemas.openxmlformats.org/officeDocument/2006/relationships/hyperlink" Target="http://www.weather.com/outlook/recreation/ski/wxclimatology/daily/48197?climoMonth=9" TargetMode="External"/><Relationship Id="rId20" Type="http://schemas.openxmlformats.org/officeDocument/2006/relationships/hyperlink" Target="http://www.weather.com/outlook/recreation/ski/wxclimatology/daily/92115?climoMonth=7" TargetMode="External"/><Relationship Id="rId21" Type="http://schemas.openxmlformats.org/officeDocument/2006/relationships/hyperlink" Target="http://www.weather.com/outlook/recreation/ski/wxclimatology/daily/92115?climoMonth=8" TargetMode="External"/><Relationship Id="rId22" Type="http://schemas.openxmlformats.org/officeDocument/2006/relationships/hyperlink" Target="http://www.weather.com/outlook/recreation/ski/wxclimatology/daily/92115?climoMonth=9" TargetMode="External"/><Relationship Id="rId23" Type="http://schemas.openxmlformats.org/officeDocument/2006/relationships/hyperlink" Target="http://www.weather.com/outlook/recreation/ski/wxclimatology/daily/92115?climoMonth=10" TargetMode="External"/><Relationship Id="rId24" Type="http://schemas.openxmlformats.org/officeDocument/2006/relationships/hyperlink" Target="http://www.weather.com/outlook/recreation/ski/wxclimatology/daily/92115?climoMonth=11" TargetMode="External"/><Relationship Id="rId25" Type="http://schemas.openxmlformats.org/officeDocument/2006/relationships/hyperlink" Target="http://www.weather.com/outlook/recreation/ski/wxclimatology/daily/92115?climoMonth=12" TargetMode="External"/><Relationship Id="rId26" Type="http://schemas.openxmlformats.org/officeDocument/2006/relationships/hyperlink" Target="http://www.weather.com/outlook/recreation/ski/wxclimatology/monthly/92115" TargetMode="External"/><Relationship Id="rId27" Type="http://schemas.openxmlformats.org/officeDocument/2006/relationships/drawing" Target="../drawings/drawing4.xml"/><Relationship Id="rId10" Type="http://schemas.openxmlformats.org/officeDocument/2006/relationships/hyperlink" Target="http://www.weather.com/outlook/recreation/ski/wxclimatology/daily/48197?climoMonth=10" TargetMode="External"/><Relationship Id="rId11" Type="http://schemas.openxmlformats.org/officeDocument/2006/relationships/hyperlink" Target="http://www.weather.com/outlook/recreation/ski/wxclimatology/daily/48197?climoMonth=11" TargetMode="External"/><Relationship Id="rId12" Type="http://schemas.openxmlformats.org/officeDocument/2006/relationships/hyperlink" Target="http://www.weather.com/outlook/recreation/ski/wxclimatology/daily/48197?climoMonth=12" TargetMode="External"/><Relationship Id="rId13" Type="http://schemas.openxmlformats.org/officeDocument/2006/relationships/hyperlink" Target="http://www.weather.com/outlook/recreation/ski/wxclimatology/monthly/48197" TargetMode="External"/><Relationship Id="rId14" Type="http://schemas.openxmlformats.org/officeDocument/2006/relationships/hyperlink" Target="http://www.weather.com/outlook/recreation/ski/wxclimatology/daily/92115?climoMonth=1" TargetMode="External"/><Relationship Id="rId15" Type="http://schemas.openxmlformats.org/officeDocument/2006/relationships/hyperlink" Target="http://www.weather.com/outlook/recreation/ski/wxclimatology/daily/92115?climoMonth=2" TargetMode="External"/><Relationship Id="rId16" Type="http://schemas.openxmlformats.org/officeDocument/2006/relationships/hyperlink" Target="http://www.weather.com/outlook/recreation/ski/wxclimatology/daily/92115?climoMonth=3" TargetMode="External"/><Relationship Id="rId17" Type="http://schemas.openxmlformats.org/officeDocument/2006/relationships/hyperlink" Target="http://www.weather.com/outlook/recreation/ski/wxclimatology/daily/92115?climoMonth=4" TargetMode="External"/><Relationship Id="rId18" Type="http://schemas.openxmlformats.org/officeDocument/2006/relationships/hyperlink" Target="http://www.weather.com/outlook/recreation/ski/wxclimatology/daily/92115?climoMonth=5" TargetMode="External"/><Relationship Id="rId19" Type="http://schemas.openxmlformats.org/officeDocument/2006/relationships/hyperlink" Target="http://www.weather.com/outlook/recreation/ski/wxclimatology/daily/92115?climoMonth=6" TargetMode="External"/><Relationship Id="rId1" Type="http://schemas.openxmlformats.org/officeDocument/2006/relationships/hyperlink" Target="http://www.weather.com/outlook/recreation/ski/wxclimatology/daily/48197?climoMonth=1" TargetMode="External"/><Relationship Id="rId2" Type="http://schemas.openxmlformats.org/officeDocument/2006/relationships/hyperlink" Target="http://www.weather.com/outlook/recreation/ski/wxclimatology/daily/48197?climoMonth=2" TargetMode="External"/><Relationship Id="rId3" Type="http://schemas.openxmlformats.org/officeDocument/2006/relationships/hyperlink" Target="http://www.weather.com/outlook/recreation/ski/wxclimatology/daily/48197?climoMonth=3" TargetMode="External"/><Relationship Id="rId4" Type="http://schemas.openxmlformats.org/officeDocument/2006/relationships/hyperlink" Target="http://www.weather.com/outlook/recreation/ski/wxclimatology/daily/48197?climoMonth=4" TargetMode="External"/><Relationship Id="rId5" Type="http://schemas.openxmlformats.org/officeDocument/2006/relationships/hyperlink" Target="http://www.weather.com/outlook/recreation/ski/wxclimatology/daily/48197?climoMonth=5" TargetMode="External"/><Relationship Id="rId6" Type="http://schemas.openxmlformats.org/officeDocument/2006/relationships/hyperlink" Target="http://www.weather.com/outlook/recreation/ski/wxclimatology/daily/48197?climoMonth=6" TargetMode="External"/><Relationship Id="rId7" Type="http://schemas.openxmlformats.org/officeDocument/2006/relationships/hyperlink" Target="http://www.weather.com/outlook/recreation/ski/wxclimatology/daily/48197?climoMonth=7" TargetMode="External"/><Relationship Id="rId8" Type="http://schemas.openxmlformats.org/officeDocument/2006/relationships/hyperlink" Target="http://www.weather.com/outlook/recreation/ski/wxclimatology/daily/48197?climoMonth=8"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190" zoomScaleNormal="190" zoomScalePageLayoutView="190" workbookViewId="0">
      <selection activeCell="A5" sqref="A5"/>
    </sheetView>
  </sheetViews>
  <sheetFormatPr baseColWidth="10" defaultColWidth="8.83203125" defaultRowHeight="15" x14ac:dyDescent="0.2"/>
  <sheetData>
    <row r="1" spans="1:1" x14ac:dyDescent="0.2">
      <c r="A1" t="s">
        <v>218</v>
      </c>
    </row>
    <row r="2" spans="1:1" x14ac:dyDescent="0.2">
      <c r="A2" t="s">
        <v>219</v>
      </c>
    </row>
    <row r="3" spans="1:1" x14ac:dyDescent="0.2">
      <c r="A3" t="s">
        <v>220</v>
      </c>
    </row>
    <row r="4" spans="1:1" x14ac:dyDescent="0.2">
      <c r="A4" t="s">
        <v>221</v>
      </c>
    </row>
    <row r="6" spans="1:1" x14ac:dyDescent="0.2">
      <c r="A6" t="s">
        <v>222</v>
      </c>
    </row>
    <row r="7" spans="1:1" x14ac:dyDescent="0.2">
      <c r="A7" t="s">
        <v>223</v>
      </c>
    </row>
    <row r="8" spans="1:1" x14ac:dyDescent="0.2">
      <c r="A8" t="s">
        <v>225</v>
      </c>
    </row>
    <row r="9" spans="1:1" x14ac:dyDescent="0.2">
      <c r="A9" t="s">
        <v>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zoomScale="200" zoomScaleNormal="200" zoomScalePageLayoutView="200" workbookViewId="0">
      <selection activeCell="G5" sqref="G5"/>
    </sheetView>
  </sheetViews>
  <sheetFormatPr baseColWidth="10" defaultColWidth="8.83203125" defaultRowHeight="15" x14ac:dyDescent="0.2"/>
  <cols>
    <col min="3" max="3" width="10.5" customWidth="1"/>
  </cols>
  <sheetData>
    <row r="1" spans="1:11" x14ac:dyDescent="0.2">
      <c r="A1" t="s">
        <v>217</v>
      </c>
    </row>
    <row r="2" spans="1:11" x14ac:dyDescent="0.2">
      <c r="A2" t="s">
        <v>31</v>
      </c>
    </row>
    <row r="3" spans="1:11" x14ac:dyDescent="0.2">
      <c r="A3" t="s">
        <v>32</v>
      </c>
    </row>
    <row r="4" spans="1:11" x14ac:dyDescent="0.2">
      <c r="A4" t="s">
        <v>33</v>
      </c>
    </row>
    <row r="5" spans="1:11" x14ac:dyDescent="0.2">
      <c r="A5" t="s">
        <v>34</v>
      </c>
    </row>
    <row r="6" spans="1:11" x14ac:dyDescent="0.2">
      <c r="A6" t="s">
        <v>35</v>
      </c>
    </row>
    <row r="7" spans="1:11" x14ac:dyDescent="0.2">
      <c r="A7" t="s">
        <v>36</v>
      </c>
    </row>
    <row r="8" spans="1:11" x14ac:dyDescent="0.2">
      <c r="A8" t="s">
        <v>43</v>
      </c>
    </row>
    <row r="9" spans="1:11" x14ac:dyDescent="0.2">
      <c r="A9" t="s">
        <v>37</v>
      </c>
    </row>
    <row r="10" spans="1:11" x14ac:dyDescent="0.2">
      <c r="A10" t="s">
        <v>38</v>
      </c>
    </row>
    <row r="11" spans="1:11" x14ac:dyDescent="0.2">
      <c r="B11" t="s">
        <v>39</v>
      </c>
    </row>
    <row r="12" spans="1:11" x14ac:dyDescent="0.2">
      <c r="A12" t="s">
        <v>40</v>
      </c>
    </row>
    <row r="13" spans="1:11" x14ac:dyDescent="0.2">
      <c r="A13" t="s">
        <v>41</v>
      </c>
    </row>
    <row r="14" spans="1:11" x14ac:dyDescent="0.2">
      <c r="A14" t="s">
        <v>211</v>
      </c>
      <c r="J14" t="s">
        <v>47</v>
      </c>
    </row>
    <row r="15" spans="1:11" ht="16" thickBot="1" x14ac:dyDescent="0.25">
      <c r="A15" t="s">
        <v>1</v>
      </c>
    </row>
    <row r="16" spans="1:11" x14ac:dyDescent="0.2">
      <c r="A16" t="s">
        <v>2</v>
      </c>
      <c r="B16" t="s">
        <v>42</v>
      </c>
      <c r="C16" t="s">
        <v>4</v>
      </c>
      <c r="D16" t="s">
        <v>44</v>
      </c>
      <c r="E16" t="s">
        <v>45</v>
      </c>
      <c r="F16" t="s">
        <v>46</v>
      </c>
      <c r="G16" s="5" t="s">
        <v>73</v>
      </c>
      <c r="H16" s="5" t="s">
        <v>74</v>
      </c>
      <c r="J16" s="6" t="s">
        <v>48</v>
      </c>
      <c r="K16" s="6"/>
    </row>
    <row r="17" spans="1:18" x14ac:dyDescent="0.2">
      <c r="A17" t="s">
        <v>5</v>
      </c>
      <c r="B17">
        <v>0.5</v>
      </c>
      <c r="C17" s="2">
        <v>10411.33</v>
      </c>
      <c r="D17">
        <v>1</v>
      </c>
      <c r="E17">
        <f>SIN(2*PI()*$B17/12)</f>
        <v>0.25881904510252074</v>
      </c>
      <c r="F17">
        <f>COS(2*PI()*$B17/12)</f>
        <v>0.96592582628906831</v>
      </c>
      <c r="G17" s="3">
        <v>10471.428867569606</v>
      </c>
      <c r="H17" s="3">
        <v>-60.098867569606227</v>
      </c>
      <c r="J17" s="3" t="s">
        <v>49</v>
      </c>
      <c r="K17" s="3">
        <v>0.99990502744678611</v>
      </c>
    </row>
    <row r="18" spans="1:18" x14ac:dyDescent="0.2">
      <c r="A18" t="s">
        <v>6</v>
      </c>
      <c r="B18">
        <v>1.5</v>
      </c>
      <c r="C18" s="2">
        <v>10661.79</v>
      </c>
      <c r="D18">
        <v>1</v>
      </c>
      <c r="E18">
        <f t="shared" ref="E18:E28" si="0">SIN(2*PI()*$B18/12)</f>
        <v>0.70710678118654746</v>
      </c>
      <c r="F18">
        <f t="shared" ref="F18:F28" si="1">COS(2*PI()*$B18/12)</f>
        <v>0.70710678118654757</v>
      </c>
      <c r="G18" s="3">
        <v>10444.860399270961</v>
      </c>
      <c r="H18" s="3">
        <v>216.92960072903952</v>
      </c>
      <c r="J18" s="3" t="s">
        <v>50</v>
      </c>
      <c r="K18" s="3">
        <v>0.99981006391335814</v>
      </c>
    </row>
    <row r="19" spans="1:18" x14ac:dyDescent="0.2">
      <c r="A19" t="s">
        <v>7</v>
      </c>
      <c r="B19">
        <v>2.5</v>
      </c>
      <c r="C19" s="2">
        <v>10666.99</v>
      </c>
      <c r="D19">
        <v>1</v>
      </c>
      <c r="E19">
        <f t="shared" si="0"/>
        <v>0.96592582628906831</v>
      </c>
      <c r="F19">
        <f t="shared" si="1"/>
        <v>0.25881904510252074</v>
      </c>
      <c r="G19" s="3">
        <v>10524.362637885755</v>
      </c>
      <c r="H19" s="3">
        <v>142.62736211424453</v>
      </c>
      <c r="J19" s="3" t="s">
        <v>51</v>
      </c>
      <c r="K19" s="3">
        <v>0.88865674478299317</v>
      </c>
    </row>
    <row r="20" spans="1:18" x14ac:dyDescent="0.2">
      <c r="A20" t="s">
        <v>8</v>
      </c>
      <c r="B20">
        <v>3.5</v>
      </c>
      <c r="C20" s="2">
        <v>10574.23</v>
      </c>
      <c r="D20">
        <v>1</v>
      </c>
      <c r="E20">
        <f t="shared" si="0"/>
        <v>0.96592582628906831</v>
      </c>
      <c r="F20">
        <f t="shared" si="1"/>
        <v>-0.25881904510252063</v>
      </c>
      <c r="G20" s="3">
        <v>10688.633022780687</v>
      </c>
      <c r="H20" s="3">
        <v>-114.40302278068702</v>
      </c>
      <c r="J20" s="3" t="s">
        <v>52</v>
      </c>
      <c r="K20" s="3">
        <v>172.59168435697248</v>
      </c>
    </row>
    <row r="21" spans="1:18" ht="16" thickBot="1" x14ac:dyDescent="0.25">
      <c r="A21" t="s">
        <v>9</v>
      </c>
      <c r="B21">
        <v>4.5</v>
      </c>
      <c r="C21" s="2">
        <v>10781.69</v>
      </c>
      <c r="D21">
        <v>1</v>
      </c>
      <c r="E21">
        <f t="shared" si="0"/>
        <v>0.70710678118654757</v>
      </c>
      <c r="F21">
        <f t="shared" si="1"/>
        <v>-0.70710678118654746</v>
      </c>
      <c r="G21" s="3">
        <v>10893.655436982812</v>
      </c>
      <c r="H21" s="3">
        <v>-111.9654369828113</v>
      </c>
      <c r="J21" s="4" t="s">
        <v>53</v>
      </c>
      <c r="K21" s="4">
        <v>12</v>
      </c>
    </row>
    <row r="22" spans="1:18" x14ac:dyDescent="0.2">
      <c r="A22" t="s">
        <v>10</v>
      </c>
      <c r="B22">
        <v>5.5</v>
      </c>
      <c r="C22" s="2">
        <v>10955.7</v>
      </c>
      <c r="D22">
        <v>1</v>
      </c>
      <c r="E22">
        <f t="shared" si="0"/>
        <v>0.25881904510252102</v>
      </c>
      <c r="F22">
        <f t="shared" si="1"/>
        <v>-0.9659258262890682</v>
      </c>
      <c r="G22" s="3">
        <v>11084.494290176388</v>
      </c>
      <c r="H22" s="3">
        <v>-128.79429017638722</v>
      </c>
    </row>
    <row r="23" spans="1:18" ht="16" thickBot="1" x14ac:dyDescent="0.25">
      <c r="A23" t="s">
        <v>11</v>
      </c>
      <c r="B23">
        <v>6.5</v>
      </c>
      <c r="C23" s="2">
        <v>11244.74</v>
      </c>
      <c r="D23">
        <v>1</v>
      </c>
      <c r="E23">
        <f t="shared" si="0"/>
        <v>-0.25881904510252079</v>
      </c>
      <c r="F23">
        <f t="shared" si="1"/>
        <v>-0.96592582628906831</v>
      </c>
      <c r="G23" s="3">
        <v>11210.014465763719</v>
      </c>
      <c r="H23" s="3">
        <v>34.72553423628051</v>
      </c>
      <c r="J23" t="s">
        <v>54</v>
      </c>
    </row>
    <row r="24" spans="1:18" x14ac:dyDescent="0.2">
      <c r="A24" t="s">
        <v>12</v>
      </c>
      <c r="B24">
        <v>7.5</v>
      </c>
      <c r="C24" s="2">
        <v>11345.09</v>
      </c>
      <c r="D24">
        <v>1</v>
      </c>
      <c r="E24">
        <f t="shared" si="0"/>
        <v>-0.70710678118654713</v>
      </c>
      <c r="F24">
        <f t="shared" si="1"/>
        <v>-0.70710678118654791</v>
      </c>
      <c r="G24" s="3">
        <v>11236.582934062364</v>
      </c>
      <c r="H24" s="3">
        <v>108.50706593763607</v>
      </c>
      <c r="J24" s="5"/>
      <c r="K24" s="5" t="s">
        <v>59</v>
      </c>
      <c r="L24" s="5" t="s">
        <v>60</v>
      </c>
      <c r="M24" s="5" t="s">
        <v>61</v>
      </c>
      <c r="N24" s="5" t="s">
        <v>62</v>
      </c>
      <c r="O24" s="5" t="s">
        <v>63</v>
      </c>
    </row>
    <row r="25" spans="1:18" x14ac:dyDescent="0.2">
      <c r="A25" t="s">
        <v>13</v>
      </c>
      <c r="B25">
        <v>8.5</v>
      </c>
      <c r="C25" s="2">
        <v>11420.13</v>
      </c>
      <c r="D25">
        <v>1</v>
      </c>
      <c r="E25">
        <f t="shared" si="0"/>
        <v>-0.96592582628906831</v>
      </c>
      <c r="F25">
        <f t="shared" si="1"/>
        <v>-0.25881904510252063</v>
      </c>
      <c r="G25" s="3">
        <v>11157.08069544757</v>
      </c>
      <c r="H25" s="3">
        <v>263.04930455242902</v>
      </c>
      <c r="J25" s="3" t="s">
        <v>55</v>
      </c>
      <c r="K25" s="3">
        <v>3</v>
      </c>
      <c r="L25" s="3">
        <v>1411212003.8120172</v>
      </c>
      <c r="M25" s="3">
        <v>470404001.27067238</v>
      </c>
      <c r="N25" s="3">
        <v>15791.786830878165</v>
      </c>
      <c r="O25" s="3">
        <v>1.9995292768594174E-15</v>
      </c>
    </row>
    <row r="26" spans="1:18" x14ac:dyDescent="0.2">
      <c r="A26" t="s">
        <v>14</v>
      </c>
      <c r="B26">
        <v>9.5</v>
      </c>
      <c r="C26" s="2">
        <v>10865.3</v>
      </c>
      <c r="D26">
        <v>1</v>
      </c>
      <c r="E26">
        <f t="shared" si="0"/>
        <v>-0.96592582628906842</v>
      </c>
      <c r="F26">
        <f t="shared" si="1"/>
        <v>0.2588190451025203</v>
      </c>
      <c r="G26" s="3">
        <v>10992.810310552639</v>
      </c>
      <c r="H26" s="3">
        <v>-127.51031055263957</v>
      </c>
      <c r="J26" s="3" t="s">
        <v>56</v>
      </c>
      <c r="K26" s="3">
        <v>9</v>
      </c>
      <c r="L26" s="3">
        <v>268091.0055825914</v>
      </c>
      <c r="M26" s="3">
        <v>29787.889509176821</v>
      </c>
      <c r="N26" s="3"/>
      <c r="O26" s="3"/>
    </row>
    <row r="27" spans="1:18" ht="16" thickBot="1" x14ac:dyDescent="0.25">
      <c r="A27" t="s">
        <v>15</v>
      </c>
      <c r="B27">
        <v>10.5</v>
      </c>
      <c r="C27" s="2">
        <v>10550.65</v>
      </c>
      <c r="D27">
        <v>1</v>
      </c>
      <c r="E27">
        <f t="shared" si="0"/>
        <v>-0.70710678118654768</v>
      </c>
      <c r="F27">
        <f t="shared" si="1"/>
        <v>0.70710678118654735</v>
      </c>
      <c r="G27" s="3">
        <v>10787.787896350514</v>
      </c>
      <c r="H27" s="3">
        <v>-237.13789635051398</v>
      </c>
      <c r="J27" s="4" t="s">
        <v>57</v>
      </c>
      <c r="K27" s="4">
        <v>12</v>
      </c>
      <c r="L27" s="4">
        <v>1411480094.8175998</v>
      </c>
      <c r="M27" s="4"/>
      <c r="N27" s="4"/>
      <c r="O27" s="4"/>
    </row>
    <row r="28" spans="1:18" ht="16" thickBot="1" x14ac:dyDescent="0.25">
      <c r="A28" t="s">
        <v>16</v>
      </c>
      <c r="B28">
        <v>11.5</v>
      </c>
      <c r="C28" s="2">
        <v>10611.02</v>
      </c>
      <c r="D28">
        <v>1</v>
      </c>
      <c r="E28">
        <f t="shared" si="0"/>
        <v>-0.25881904510252157</v>
      </c>
      <c r="F28">
        <f t="shared" si="1"/>
        <v>0.96592582628906809</v>
      </c>
      <c r="G28" s="4">
        <v>10596.949043156937</v>
      </c>
      <c r="H28" s="4">
        <v>14.070956843062959</v>
      </c>
    </row>
    <row r="29" spans="1:18" x14ac:dyDescent="0.2">
      <c r="C29" s="1">
        <f>SUM(C17:C28)*365/(2002-1995)</f>
        <v>6783194.4142857138</v>
      </c>
      <c r="E29" s="2"/>
      <c r="J29" s="5"/>
      <c r="K29" s="5" t="s">
        <v>64</v>
      </c>
      <c r="L29" s="5" t="s">
        <v>52</v>
      </c>
      <c r="M29" s="5" t="s">
        <v>65</v>
      </c>
      <c r="N29" s="5" t="s">
        <v>66</v>
      </c>
      <c r="O29" s="5" t="s">
        <v>67</v>
      </c>
      <c r="P29" s="5" t="s">
        <v>68</v>
      </c>
      <c r="Q29" s="5" t="s">
        <v>69</v>
      </c>
      <c r="R29" s="5" t="s">
        <v>70</v>
      </c>
    </row>
    <row r="30" spans="1:18" x14ac:dyDescent="0.2">
      <c r="J30" s="3" t="s">
        <v>58</v>
      </c>
      <c r="K30" s="3">
        <v>0</v>
      </c>
      <c r="L30" s="3" t="e">
        <v>#N/A</v>
      </c>
      <c r="M30" s="3" t="e">
        <v>#N/A</v>
      </c>
      <c r="N30" s="3" t="e">
        <v>#N/A</v>
      </c>
      <c r="O30" s="3" t="e">
        <v>#N/A</v>
      </c>
      <c r="P30" s="3" t="e">
        <v>#N/A</v>
      </c>
      <c r="Q30" s="3" t="e">
        <v>#N/A</v>
      </c>
      <c r="R30" s="3" t="e">
        <v>#N/A</v>
      </c>
    </row>
    <row r="31" spans="1:18" x14ac:dyDescent="0.2">
      <c r="G31" t="s">
        <v>212</v>
      </c>
      <c r="J31" s="3" t="s">
        <v>44</v>
      </c>
      <c r="K31" s="3">
        <v>10840.721666666663</v>
      </c>
      <c r="L31" s="3">
        <v>49.822927711694504</v>
      </c>
      <c r="M31" s="3">
        <v>217.58499880612425</v>
      </c>
      <c r="N31" s="3">
        <v>4.6544949964136006E-18</v>
      </c>
      <c r="O31" s="3">
        <v>10728.014374102488</v>
      </c>
      <c r="P31" s="3">
        <v>10953.428959230838</v>
      </c>
      <c r="Q31" s="3">
        <v>10728.014374102488</v>
      </c>
      <c r="R31" s="3">
        <v>10953.428959230838</v>
      </c>
    </row>
    <row r="32" spans="1:18" x14ac:dyDescent="0.2">
      <c r="G32" t="s">
        <v>213</v>
      </c>
      <c r="J32" s="3" t="s">
        <v>45</v>
      </c>
      <c r="K32" s="3">
        <v>-242.48635864028159</v>
      </c>
      <c r="L32" s="3">
        <v>70.460260087012657</v>
      </c>
      <c r="M32" s="3">
        <v>-3.4414627243900431</v>
      </c>
      <c r="N32" s="3">
        <v>7.373455895196424E-3</v>
      </c>
      <c r="O32" s="3">
        <v>-401.87854036288968</v>
      </c>
      <c r="P32" s="3">
        <v>-83.094176917673508</v>
      </c>
      <c r="Q32" s="3">
        <v>-401.87854036288968</v>
      </c>
      <c r="R32" s="3">
        <v>-83.094176917673508</v>
      </c>
    </row>
    <row r="33" spans="1:18" ht="16" thickBot="1" x14ac:dyDescent="0.25">
      <c r="A33" t="s">
        <v>1</v>
      </c>
      <c r="G33" t="s">
        <v>214</v>
      </c>
      <c r="J33" s="4" t="s">
        <v>46</v>
      </c>
      <c r="K33" s="4">
        <v>-317.34601452892059</v>
      </c>
      <c r="L33" s="4">
        <v>70.460260087012657</v>
      </c>
      <c r="M33" s="4">
        <v>-4.5039006971734734</v>
      </c>
      <c r="N33" s="4">
        <v>1.4806255712315163E-3</v>
      </c>
      <c r="O33" s="4">
        <v>-476.73819625152868</v>
      </c>
      <c r="P33" s="4">
        <v>-157.9538328063125</v>
      </c>
      <c r="Q33" s="4">
        <v>-476.73819625152868</v>
      </c>
      <c r="R33" s="4">
        <v>-157.9538328063125</v>
      </c>
    </row>
    <row r="34" spans="1:18" x14ac:dyDescent="0.2">
      <c r="A34" t="s">
        <v>2</v>
      </c>
      <c r="C34" t="s">
        <v>3</v>
      </c>
      <c r="E34" t="s">
        <v>4</v>
      </c>
      <c r="G34" t="s">
        <v>215</v>
      </c>
      <c r="J34" s="3" t="s">
        <v>75</v>
      </c>
      <c r="K34">
        <f>SQRT(K32^2+K33^2)</f>
        <v>399.38468556519933</v>
      </c>
    </row>
    <row r="35" spans="1:18" x14ac:dyDescent="0.2">
      <c r="A35" t="s">
        <v>5</v>
      </c>
      <c r="B35" t="s">
        <v>2</v>
      </c>
      <c r="C35" s="1">
        <v>2582009</v>
      </c>
      <c r="D35" t="s">
        <v>2</v>
      </c>
      <c r="E35" s="2">
        <v>10411.33</v>
      </c>
      <c r="J35" s="3" t="s">
        <v>76</v>
      </c>
      <c r="K35" s="7">
        <f>K34/K31</f>
        <v>3.6841153001210047E-2</v>
      </c>
    </row>
    <row r="36" spans="1:18" x14ac:dyDescent="0.2">
      <c r="A36" t="s">
        <v>6</v>
      </c>
      <c r="B36" t="s">
        <v>2</v>
      </c>
      <c r="C36" s="1">
        <v>2409565</v>
      </c>
      <c r="D36" t="s">
        <v>2</v>
      </c>
      <c r="E36" s="2">
        <v>10661.79</v>
      </c>
    </row>
    <row r="37" spans="1:18" x14ac:dyDescent="0.2">
      <c r="A37" t="s">
        <v>7</v>
      </c>
      <c r="B37" t="s">
        <v>2</v>
      </c>
      <c r="C37" s="1">
        <v>2645413</v>
      </c>
      <c r="D37" t="s">
        <v>2</v>
      </c>
      <c r="E37" s="2">
        <v>10666.99</v>
      </c>
      <c r="J37" t="s">
        <v>71</v>
      </c>
    </row>
    <row r="38" spans="1:18" ht="16" thickBot="1" x14ac:dyDescent="0.25">
      <c r="A38" t="s">
        <v>8</v>
      </c>
      <c r="B38" t="s">
        <v>2</v>
      </c>
      <c r="C38" s="1">
        <v>2537816</v>
      </c>
      <c r="D38" t="s">
        <v>2</v>
      </c>
      <c r="E38" s="2">
        <v>10574.23</v>
      </c>
    </row>
    <row r="39" spans="1:18" x14ac:dyDescent="0.2">
      <c r="A39" t="s">
        <v>9</v>
      </c>
      <c r="B39" t="s">
        <v>2</v>
      </c>
      <c r="C39" s="1">
        <v>2673858</v>
      </c>
      <c r="D39" t="s">
        <v>2</v>
      </c>
      <c r="E39" s="2">
        <v>10781.69</v>
      </c>
      <c r="J39" s="5" t="s">
        <v>72</v>
      </c>
      <c r="K39" s="5" t="s">
        <v>73</v>
      </c>
      <c r="L39" s="5" t="s">
        <v>74</v>
      </c>
    </row>
    <row r="40" spans="1:18" x14ac:dyDescent="0.2">
      <c r="A40" t="s">
        <v>10</v>
      </c>
      <c r="B40" t="s">
        <v>2</v>
      </c>
      <c r="C40" s="1">
        <v>2629368</v>
      </c>
      <c r="D40" t="s">
        <v>2</v>
      </c>
      <c r="E40" s="2">
        <v>10955.7</v>
      </c>
      <c r="J40" s="3">
        <v>1</v>
      </c>
      <c r="K40" s="3">
        <v>10471.428867569606</v>
      </c>
      <c r="L40" s="3">
        <v>-60.098867569606227</v>
      </c>
    </row>
    <row r="41" spans="1:18" x14ac:dyDescent="0.2">
      <c r="A41" t="s">
        <v>11</v>
      </c>
      <c r="B41" t="s">
        <v>2</v>
      </c>
      <c r="C41" s="1">
        <v>2788695</v>
      </c>
      <c r="D41" t="s">
        <v>2</v>
      </c>
      <c r="E41" s="2">
        <v>11244.74</v>
      </c>
      <c r="J41" s="3">
        <v>2</v>
      </c>
      <c r="K41" s="3">
        <v>10444.860399270961</v>
      </c>
      <c r="L41" s="3">
        <v>216.92960072903952</v>
      </c>
    </row>
    <row r="42" spans="1:18" x14ac:dyDescent="0.2">
      <c r="A42" t="s">
        <v>12</v>
      </c>
      <c r="B42" t="s">
        <v>2</v>
      </c>
      <c r="C42" s="1">
        <v>2813582</v>
      </c>
      <c r="D42" t="s">
        <v>2</v>
      </c>
      <c r="E42" s="2">
        <v>11345.09</v>
      </c>
      <c r="J42" s="3">
        <v>3</v>
      </c>
      <c r="K42" s="3">
        <v>10524.362637885755</v>
      </c>
      <c r="L42" s="3">
        <v>142.62736211424453</v>
      </c>
    </row>
    <row r="43" spans="1:18" x14ac:dyDescent="0.2">
      <c r="A43" t="s">
        <v>13</v>
      </c>
      <c r="B43" t="s">
        <v>2</v>
      </c>
      <c r="C43" s="1">
        <v>2740831</v>
      </c>
      <c r="D43" t="s">
        <v>2</v>
      </c>
      <c r="E43" s="2">
        <v>11420.13</v>
      </c>
      <c r="J43" s="3">
        <v>4</v>
      </c>
      <c r="K43" s="3">
        <v>10688.633022780687</v>
      </c>
      <c r="L43" s="3">
        <v>-114.40302278068702</v>
      </c>
    </row>
    <row r="44" spans="1:18" x14ac:dyDescent="0.2">
      <c r="A44" t="s">
        <v>14</v>
      </c>
      <c r="B44" t="s">
        <v>2</v>
      </c>
      <c r="C44" s="1">
        <v>2694594</v>
      </c>
      <c r="D44" t="s">
        <v>2</v>
      </c>
      <c r="E44" s="2">
        <v>10865.3</v>
      </c>
      <c r="J44" s="3">
        <v>5</v>
      </c>
      <c r="K44" s="3">
        <v>10893.655436982812</v>
      </c>
      <c r="L44" s="3">
        <v>-111.9654369828113</v>
      </c>
    </row>
    <row r="45" spans="1:18" x14ac:dyDescent="0.2">
      <c r="A45" t="s">
        <v>15</v>
      </c>
      <c r="B45" t="s">
        <v>2</v>
      </c>
      <c r="C45" s="1">
        <v>2532156</v>
      </c>
      <c r="D45" t="s">
        <v>2</v>
      </c>
      <c r="E45" s="2">
        <v>10550.65</v>
      </c>
      <c r="J45" s="3">
        <v>6</v>
      </c>
      <c r="K45" s="3">
        <v>11084.494290176388</v>
      </c>
      <c r="L45" s="3">
        <v>-128.79429017638722</v>
      </c>
    </row>
    <row r="46" spans="1:18" x14ac:dyDescent="0.2">
      <c r="A46" t="s">
        <v>16</v>
      </c>
      <c r="B46" t="s">
        <v>2</v>
      </c>
      <c r="C46" s="1">
        <v>2631533</v>
      </c>
      <c r="D46" t="s">
        <v>2</v>
      </c>
      <c r="E46" s="2">
        <v>10611.02</v>
      </c>
      <c r="J46" s="3">
        <v>7</v>
      </c>
      <c r="K46" s="3">
        <v>11210.014465763719</v>
      </c>
      <c r="L46" s="3">
        <v>34.72553423628051</v>
      </c>
    </row>
    <row r="47" spans="1:18" x14ac:dyDescent="0.2">
      <c r="A47" t="s">
        <v>17</v>
      </c>
      <c r="B47" t="s">
        <v>2</v>
      </c>
      <c r="C47" s="1">
        <v>31679420</v>
      </c>
      <c r="D47" t="s">
        <v>2</v>
      </c>
      <c r="E47" s="2">
        <v>10841.69</v>
      </c>
      <c r="J47" s="3">
        <v>8</v>
      </c>
      <c r="K47" s="3">
        <v>11236.582934062364</v>
      </c>
      <c r="L47" s="3">
        <v>108.50706593763607</v>
      </c>
    </row>
    <row r="48" spans="1:18" x14ac:dyDescent="0.2">
      <c r="A48" t="s">
        <v>18</v>
      </c>
      <c r="J48" s="3">
        <v>9</v>
      </c>
      <c r="K48" s="3">
        <v>11157.08069544757</v>
      </c>
      <c r="L48" s="3">
        <v>263.04930455242902</v>
      </c>
    </row>
    <row r="49" spans="1:12" x14ac:dyDescent="0.2">
      <c r="J49" s="3">
        <v>10</v>
      </c>
      <c r="K49" s="3">
        <v>10992.810310552639</v>
      </c>
      <c r="L49" s="3">
        <v>-127.51031055263957</v>
      </c>
    </row>
    <row r="50" spans="1:12" x14ac:dyDescent="0.2">
      <c r="A50" t="s">
        <v>19</v>
      </c>
      <c r="J50" s="3">
        <v>11</v>
      </c>
      <c r="K50" s="3">
        <v>10787.787896350514</v>
      </c>
      <c r="L50" s="3">
        <v>-237.13789635051398</v>
      </c>
    </row>
    <row r="51" spans="1:12" ht="16" thickBot="1" x14ac:dyDescent="0.25">
      <c r="A51" t="s">
        <v>2</v>
      </c>
      <c r="C51" t="s">
        <v>20</v>
      </c>
      <c r="E51" t="s">
        <v>4</v>
      </c>
      <c r="J51" s="4">
        <v>12</v>
      </c>
      <c r="K51" s="4">
        <v>10596.949043156937</v>
      </c>
      <c r="L51" s="4">
        <v>14.070956843062959</v>
      </c>
    </row>
    <row r="52" spans="1:12" x14ac:dyDescent="0.2">
      <c r="A52" t="s">
        <v>5</v>
      </c>
      <c r="B52" t="s">
        <v>2</v>
      </c>
      <c r="C52" s="1">
        <v>1824419</v>
      </c>
      <c r="D52" t="s">
        <v>2</v>
      </c>
      <c r="E52" s="2">
        <v>7356.53</v>
      </c>
    </row>
    <row r="53" spans="1:12" x14ac:dyDescent="0.2">
      <c r="A53" t="s">
        <v>6</v>
      </c>
      <c r="B53" t="s">
        <v>2</v>
      </c>
      <c r="C53" s="1">
        <v>1600464</v>
      </c>
      <c r="D53" t="s">
        <v>2</v>
      </c>
      <c r="E53" s="2">
        <v>7081.7</v>
      </c>
    </row>
    <row r="54" spans="1:12" x14ac:dyDescent="0.2">
      <c r="A54" t="s">
        <v>7</v>
      </c>
      <c r="B54" t="s">
        <v>2</v>
      </c>
      <c r="C54" s="1">
        <v>1694060</v>
      </c>
      <c r="D54" t="s">
        <v>2</v>
      </c>
      <c r="E54" s="2">
        <v>6830.89</v>
      </c>
    </row>
    <row r="55" spans="1:12" x14ac:dyDescent="0.2">
      <c r="A55" t="s">
        <v>8</v>
      </c>
      <c r="B55" t="s">
        <v>2</v>
      </c>
      <c r="C55" s="1">
        <v>1553365</v>
      </c>
      <c r="D55" t="s">
        <v>2</v>
      </c>
      <c r="E55" s="2">
        <v>6472.35</v>
      </c>
    </row>
    <row r="56" spans="1:12" x14ac:dyDescent="0.2">
      <c r="A56" t="s">
        <v>9</v>
      </c>
      <c r="B56" t="s">
        <v>2</v>
      </c>
      <c r="C56" s="1">
        <v>1544836</v>
      </c>
      <c r="D56" t="s">
        <v>2</v>
      </c>
      <c r="E56" s="2">
        <v>6229.18</v>
      </c>
      <c r="G56" t="s">
        <v>77</v>
      </c>
    </row>
    <row r="57" spans="1:12" x14ac:dyDescent="0.2">
      <c r="A57" t="s">
        <v>10</v>
      </c>
      <c r="B57" t="s">
        <v>2</v>
      </c>
      <c r="C57" s="1">
        <v>1461902</v>
      </c>
      <c r="D57" t="s">
        <v>2</v>
      </c>
      <c r="E57" s="2">
        <v>6091.26</v>
      </c>
      <c r="G57" s="2">
        <f>MAX(E52:E63)-MIN(E52:E63)</f>
        <v>1389.71</v>
      </c>
    </row>
    <row r="58" spans="1:12" x14ac:dyDescent="0.2">
      <c r="A58" t="s">
        <v>11</v>
      </c>
      <c r="B58" t="s">
        <v>2</v>
      </c>
      <c r="C58" s="1">
        <v>1495354</v>
      </c>
      <c r="D58" t="s">
        <v>2</v>
      </c>
      <c r="E58" s="2">
        <v>6029.65</v>
      </c>
      <c r="G58" t="s">
        <v>78</v>
      </c>
    </row>
    <row r="59" spans="1:12" x14ac:dyDescent="0.2">
      <c r="A59" t="s">
        <v>12</v>
      </c>
      <c r="B59" t="s">
        <v>2</v>
      </c>
      <c r="C59" s="1">
        <v>1479771</v>
      </c>
      <c r="D59" t="s">
        <v>2</v>
      </c>
      <c r="E59" s="2">
        <v>5966.82</v>
      </c>
      <c r="G59" s="2">
        <f>AVERAGE(E52:E64)</f>
        <v>6490.8669230769219</v>
      </c>
    </row>
    <row r="60" spans="1:12" x14ac:dyDescent="0.2">
      <c r="A60" t="s">
        <v>13</v>
      </c>
      <c r="B60" t="s">
        <v>2</v>
      </c>
      <c r="C60" s="1">
        <v>1452281</v>
      </c>
      <c r="D60" t="s">
        <v>2</v>
      </c>
      <c r="E60" s="2">
        <v>6051.17</v>
      </c>
      <c r="G60" t="s">
        <v>76</v>
      </c>
    </row>
    <row r="61" spans="1:12" x14ac:dyDescent="0.2">
      <c r="A61" t="s">
        <v>14</v>
      </c>
      <c r="B61" t="s">
        <v>2</v>
      </c>
      <c r="C61" s="1">
        <v>1563801</v>
      </c>
      <c r="D61" t="s">
        <v>2</v>
      </c>
      <c r="E61" s="2">
        <v>6305.65</v>
      </c>
      <c r="G61">
        <f>G57/2/G59</f>
        <v>0.10705118564818948</v>
      </c>
    </row>
    <row r="62" spans="1:12" x14ac:dyDescent="0.2">
      <c r="A62" t="s">
        <v>15</v>
      </c>
      <c r="B62" t="s">
        <v>2</v>
      </c>
      <c r="C62" s="1">
        <v>1560398</v>
      </c>
      <c r="D62" t="s">
        <v>2</v>
      </c>
      <c r="E62" s="2">
        <v>6501.66</v>
      </c>
    </row>
    <row r="63" spans="1:12" x14ac:dyDescent="0.2">
      <c r="A63" t="s">
        <v>16</v>
      </c>
      <c r="B63" t="s">
        <v>2</v>
      </c>
      <c r="C63" s="1">
        <v>1729926</v>
      </c>
      <c r="D63" t="s">
        <v>2</v>
      </c>
      <c r="E63" s="2">
        <v>6975.51</v>
      </c>
    </row>
    <row r="64" spans="1:12" x14ac:dyDescent="0.2">
      <c r="A64" t="s">
        <v>17</v>
      </c>
      <c r="B64" t="s">
        <v>2</v>
      </c>
      <c r="C64" s="1">
        <v>18960577</v>
      </c>
      <c r="D64" t="s">
        <v>2</v>
      </c>
      <c r="E64" s="2">
        <v>6488.9</v>
      </c>
    </row>
    <row r="65" spans="1:1" x14ac:dyDescent="0.2">
      <c r="A65" t="s">
        <v>18</v>
      </c>
    </row>
    <row r="67" spans="1:1" x14ac:dyDescent="0.2">
      <c r="A67" t="s">
        <v>22</v>
      </c>
    </row>
    <row r="70" spans="1:1" x14ac:dyDescent="0.2">
      <c r="A70" t="s">
        <v>23</v>
      </c>
    </row>
    <row r="72" spans="1:1" x14ac:dyDescent="0.2">
      <c r="A72" t="s">
        <v>24</v>
      </c>
    </row>
    <row r="73" spans="1:1" x14ac:dyDescent="0.2">
      <c r="A73" t="s">
        <v>25</v>
      </c>
    </row>
    <row r="74" spans="1:1" x14ac:dyDescent="0.2">
      <c r="A74" t="s">
        <v>26</v>
      </c>
    </row>
    <row r="76" spans="1:1" x14ac:dyDescent="0.2">
      <c r="A76" t="s">
        <v>27</v>
      </c>
    </row>
    <row r="78" spans="1:1" x14ac:dyDescent="0.2">
      <c r="A78" t="s">
        <v>28</v>
      </c>
    </row>
    <row r="80" spans="1:1" x14ac:dyDescent="0.2">
      <c r="A80" t="s">
        <v>29</v>
      </c>
    </row>
    <row r="82" spans="1:1" x14ac:dyDescent="0.2">
      <c r="A82" t="s">
        <v>30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80"/>
  <sheetViews>
    <sheetView zoomScale="140" zoomScaleNormal="140" zoomScalePageLayoutView="140" workbookViewId="0">
      <selection activeCell="C5" sqref="C5"/>
    </sheetView>
  </sheetViews>
  <sheetFormatPr baseColWidth="10" defaultColWidth="8.83203125" defaultRowHeight="15" x14ac:dyDescent="0.2"/>
  <cols>
    <col min="1" max="1" width="17.1640625" style="30" customWidth="1"/>
    <col min="2" max="3" width="14.83203125" style="30" customWidth="1"/>
    <col min="4" max="4" width="13" style="30" customWidth="1"/>
    <col min="5" max="5" width="12.5" style="30" customWidth="1"/>
    <col min="6" max="6" width="12.1640625" style="30" customWidth="1"/>
    <col min="7" max="7" width="10" style="30" customWidth="1"/>
    <col min="8" max="9" width="11.5" style="30" customWidth="1"/>
    <col min="10" max="10" width="22.1640625" style="30" customWidth="1"/>
    <col min="11" max="11" width="11.1640625" style="30" customWidth="1"/>
    <col min="12" max="12" width="10.33203125" style="30" customWidth="1"/>
    <col min="13" max="18" width="9.33203125" style="30" customWidth="1"/>
    <col min="19" max="19" width="10.5" style="30" customWidth="1"/>
    <col min="20" max="20" width="11.5" style="30" customWidth="1"/>
    <col min="21" max="21" width="6.5" style="30" customWidth="1"/>
    <col min="22" max="22" width="11.5" style="30" customWidth="1"/>
    <col min="23" max="23" width="12.1640625" style="30" customWidth="1"/>
    <col min="24" max="24" width="13.33203125" style="30" customWidth="1"/>
    <col min="25" max="37" width="9.33203125" style="30" customWidth="1"/>
    <col min="38" max="51" width="8.83203125" style="31"/>
    <col min="52" max="52" width="32" style="30" customWidth="1"/>
    <col min="53" max="256" width="8.83203125" style="31"/>
    <col min="257" max="257" width="17.1640625" style="31" customWidth="1"/>
    <col min="258" max="259" width="14.83203125" style="31" customWidth="1"/>
    <col min="260" max="260" width="13" style="31" customWidth="1"/>
    <col min="261" max="261" width="12.5" style="31" customWidth="1"/>
    <col min="262" max="262" width="12.1640625" style="31" customWidth="1"/>
    <col min="263" max="263" width="10" style="31" customWidth="1"/>
    <col min="264" max="265" width="11.5" style="31" customWidth="1"/>
    <col min="266" max="266" width="22.1640625" style="31" customWidth="1"/>
    <col min="267" max="267" width="11.1640625" style="31" customWidth="1"/>
    <col min="268" max="268" width="10.33203125" style="31" customWidth="1"/>
    <col min="269" max="274" width="9.33203125" style="31" customWidth="1"/>
    <col min="275" max="275" width="10.5" style="31" customWidth="1"/>
    <col min="276" max="276" width="11.5" style="31" customWidth="1"/>
    <col min="277" max="277" width="6.5" style="31" customWidth="1"/>
    <col min="278" max="278" width="11.5" style="31" customWidth="1"/>
    <col min="279" max="279" width="12.1640625" style="31" customWidth="1"/>
    <col min="280" max="280" width="13.33203125" style="31" customWidth="1"/>
    <col min="281" max="293" width="9.33203125" style="31" customWidth="1"/>
    <col min="294" max="307" width="8.83203125" style="31"/>
    <col min="308" max="308" width="32" style="31" customWidth="1"/>
    <col min="309" max="512" width="8.83203125" style="31"/>
    <col min="513" max="513" width="17.1640625" style="31" customWidth="1"/>
    <col min="514" max="515" width="14.83203125" style="31" customWidth="1"/>
    <col min="516" max="516" width="13" style="31" customWidth="1"/>
    <col min="517" max="517" width="12.5" style="31" customWidth="1"/>
    <col min="518" max="518" width="12.1640625" style="31" customWidth="1"/>
    <col min="519" max="519" width="10" style="31" customWidth="1"/>
    <col min="520" max="521" width="11.5" style="31" customWidth="1"/>
    <col min="522" max="522" width="22.1640625" style="31" customWidth="1"/>
    <col min="523" max="523" width="11.1640625" style="31" customWidth="1"/>
    <col min="524" max="524" width="10.33203125" style="31" customWidth="1"/>
    <col min="525" max="530" width="9.33203125" style="31" customWidth="1"/>
    <col min="531" max="531" width="10.5" style="31" customWidth="1"/>
    <col min="532" max="532" width="11.5" style="31" customWidth="1"/>
    <col min="533" max="533" width="6.5" style="31" customWidth="1"/>
    <col min="534" max="534" width="11.5" style="31" customWidth="1"/>
    <col min="535" max="535" width="12.1640625" style="31" customWidth="1"/>
    <col min="536" max="536" width="13.33203125" style="31" customWidth="1"/>
    <col min="537" max="549" width="9.33203125" style="31" customWidth="1"/>
    <col min="550" max="563" width="8.83203125" style="31"/>
    <col min="564" max="564" width="32" style="31" customWidth="1"/>
    <col min="565" max="768" width="8.83203125" style="31"/>
    <col min="769" max="769" width="17.1640625" style="31" customWidth="1"/>
    <col min="770" max="771" width="14.83203125" style="31" customWidth="1"/>
    <col min="772" max="772" width="13" style="31" customWidth="1"/>
    <col min="773" max="773" width="12.5" style="31" customWidth="1"/>
    <col min="774" max="774" width="12.1640625" style="31" customWidth="1"/>
    <col min="775" max="775" width="10" style="31" customWidth="1"/>
    <col min="776" max="777" width="11.5" style="31" customWidth="1"/>
    <col min="778" max="778" width="22.1640625" style="31" customWidth="1"/>
    <col min="779" max="779" width="11.1640625" style="31" customWidth="1"/>
    <col min="780" max="780" width="10.33203125" style="31" customWidth="1"/>
    <col min="781" max="786" width="9.33203125" style="31" customWidth="1"/>
    <col min="787" max="787" width="10.5" style="31" customWidth="1"/>
    <col min="788" max="788" width="11.5" style="31" customWidth="1"/>
    <col min="789" max="789" width="6.5" style="31" customWidth="1"/>
    <col min="790" max="790" width="11.5" style="31" customWidth="1"/>
    <col min="791" max="791" width="12.1640625" style="31" customWidth="1"/>
    <col min="792" max="792" width="13.33203125" style="31" customWidth="1"/>
    <col min="793" max="805" width="9.33203125" style="31" customWidth="1"/>
    <col min="806" max="819" width="8.83203125" style="31"/>
    <col min="820" max="820" width="32" style="31" customWidth="1"/>
    <col min="821" max="1024" width="8.83203125" style="31"/>
    <col min="1025" max="1025" width="17.1640625" style="31" customWidth="1"/>
    <col min="1026" max="1027" width="14.83203125" style="31" customWidth="1"/>
    <col min="1028" max="1028" width="13" style="31" customWidth="1"/>
    <col min="1029" max="1029" width="12.5" style="31" customWidth="1"/>
    <col min="1030" max="1030" width="12.1640625" style="31" customWidth="1"/>
    <col min="1031" max="1031" width="10" style="31" customWidth="1"/>
    <col min="1032" max="1033" width="11.5" style="31" customWidth="1"/>
    <col min="1034" max="1034" width="22.1640625" style="31" customWidth="1"/>
    <col min="1035" max="1035" width="11.1640625" style="31" customWidth="1"/>
    <col min="1036" max="1036" width="10.33203125" style="31" customWidth="1"/>
    <col min="1037" max="1042" width="9.33203125" style="31" customWidth="1"/>
    <col min="1043" max="1043" width="10.5" style="31" customWidth="1"/>
    <col min="1044" max="1044" width="11.5" style="31" customWidth="1"/>
    <col min="1045" max="1045" width="6.5" style="31" customWidth="1"/>
    <col min="1046" max="1046" width="11.5" style="31" customWidth="1"/>
    <col min="1047" max="1047" width="12.1640625" style="31" customWidth="1"/>
    <col min="1048" max="1048" width="13.33203125" style="31" customWidth="1"/>
    <col min="1049" max="1061" width="9.33203125" style="31" customWidth="1"/>
    <col min="1062" max="1075" width="8.83203125" style="31"/>
    <col min="1076" max="1076" width="32" style="31" customWidth="1"/>
    <col min="1077" max="1280" width="8.83203125" style="31"/>
    <col min="1281" max="1281" width="17.1640625" style="31" customWidth="1"/>
    <col min="1282" max="1283" width="14.83203125" style="31" customWidth="1"/>
    <col min="1284" max="1284" width="13" style="31" customWidth="1"/>
    <col min="1285" max="1285" width="12.5" style="31" customWidth="1"/>
    <col min="1286" max="1286" width="12.1640625" style="31" customWidth="1"/>
    <col min="1287" max="1287" width="10" style="31" customWidth="1"/>
    <col min="1288" max="1289" width="11.5" style="31" customWidth="1"/>
    <col min="1290" max="1290" width="22.1640625" style="31" customWidth="1"/>
    <col min="1291" max="1291" width="11.1640625" style="31" customWidth="1"/>
    <col min="1292" max="1292" width="10.33203125" style="31" customWidth="1"/>
    <col min="1293" max="1298" width="9.33203125" style="31" customWidth="1"/>
    <col min="1299" max="1299" width="10.5" style="31" customWidth="1"/>
    <col min="1300" max="1300" width="11.5" style="31" customWidth="1"/>
    <col min="1301" max="1301" width="6.5" style="31" customWidth="1"/>
    <col min="1302" max="1302" width="11.5" style="31" customWidth="1"/>
    <col min="1303" max="1303" width="12.1640625" style="31" customWidth="1"/>
    <col min="1304" max="1304" width="13.33203125" style="31" customWidth="1"/>
    <col min="1305" max="1317" width="9.33203125" style="31" customWidth="1"/>
    <col min="1318" max="1331" width="8.83203125" style="31"/>
    <col min="1332" max="1332" width="32" style="31" customWidth="1"/>
    <col min="1333" max="1536" width="8.83203125" style="31"/>
    <col min="1537" max="1537" width="17.1640625" style="31" customWidth="1"/>
    <col min="1538" max="1539" width="14.83203125" style="31" customWidth="1"/>
    <col min="1540" max="1540" width="13" style="31" customWidth="1"/>
    <col min="1541" max="1541" width="12.5" style="31" customWidth="1"/>
    <col min="1542" max="1542" width="12.1640625" style="31" customWidth="1"/>
    <col min="1543" max="1543" width="10" style="31" customWidth="1"/>
    <col min="1544" max="1545" width="11.5" style="31" customWidth="1"/>
    <col min="1546" max="1546" width="22.1640625" style="31" customWidth="1"/>
    <col min="1547" max="1547" width="11.1640625" style="31" customWidth="1"/>
    <col min="1548" max="1548" width="10.33203125" style="31" customWidth="1"/>
    <col min="1549" max="1554" width="9.33203125" style="31" customWidth="1"/>
    <col min="1555" max="1555" width="10.5" style="31" customWidth="1"/>
    <col min="1556" max="1556" width="11.5" style="31" customWidth="1"/>
    <col min="1557" max="1557" width="6.5" style="31" customWidth="1"/>
    <col min="1558" max="1558" width="11.5" style="31" customWidth="1"/>
    <col min="1559" max="1559" width="12.1640625" style="31" customWidth="1"/>
    <col min="1560" max="1560" width="13.33203125" style="31" customWidth="1"/>
    <col min="1561" max="1573" width="9.33203125" style="31" customWidth="1"/>
    <col min="1574" max="1587" width="8.83203125" style="31"/>
    <col min="1588" max="1588" width="32" style="31" customWidth="1"/>
    <col min="1589" max="1792" width="8.83203125" style="31"/>
    <col min="1793" max="1793" width="17.1640625" style="31" customWidth="1"/>
    <col min="1794" max="1795" width="14.83203125" style="31" customWidth="1"/>
    <col min="1796" max="1796" width="13" style="31" customWidth="1"/>
    <col min="1797" max="1797" width="12.5" style="31" customWidth="1"/>
    <col min="1798" max="1798" width="12.1640625" style="31" customWidth="1"/>
    <col min="1799" max="1799" width="10" style="31" customWidth="1"/>
    <col min="1800" max="1801" width="11.5" style="31" customWidth="1"/>
    <col min="1802" max="1802" width="22.1640625" style="31" customWidth="1"/>
    <col min="1803" max="1803" width="11.1640625" style="31" customWidth="1"/>
    <col min="1804" max="1804" width="10.33203125" style="31" customWidth="1"/>
    <col min="1805" max="1810" width="9.33203125" style="31" customWidth="1"/>
    <col min="1811" max="1811" width="10.5" style="31" customWidth="1"/>
    <col min="1812" max="1812" width="11.5" style="31" customWidth="1"/>
    <col min="1813" max="1813" width="6.5" style="31" customWidth="1"/>
    <col min="1814" max="1814" width="11.5" style="31" customWidth="1"/>
    <col min="1815" max="1815" width="12.1640625" style="31" customWidth="1"/>
    <col min="1816" max="1816" width="13.33203125" style="31" customWidth="1"/>
    <col min="1817" max="1829" width="9.33203125" style="31" customWidth="1"/>
    <col min="1830" max="1843" width="8.83203125" style="31"/>
    <col min="1844" max="1844" width="32" style="31" customWidth="1"/>
    <col min="1845" max="2048" width="8.83203125" style="31"/>
    <col min="2049" max="2049" width="17.1640625" style="31" customWidth="1"/>
    <col min="2050" max="2051" width="14.83203125" style="31" customWidth="1"/>
    <col min="2052" max="2052" width="13" style="31" customWidth="1"/>
    <col min="2053" max="2053" width="12.5" style="31" customWidth="1"/>
    <col min="2054" max="2054" width="12.1640625" style="31" customWidth="1"/>
    <col min="2055" max="2055" width="10" style="31" customWidth="1"/>
    <col min="2056" max="2057" width="11.5" style="31" customWidth="1"/>
    <col min="2058" max="2058" width="22.1640625" style="31" customWidth="1"/>
    <col min="2059" max="2059" width="11.1640625" style="31" customWidth="1"/>
    <col min="2060" max="2060" width="10.33203125" style="31" customWidth="1"/>
    <col min="2061" max="2066" width="9.33203125" style="31" customWidth="1"/>
    <col min="2067" max="2067" width="10.5" style="31" customWidth="1"/>
    <col min="2068" max="2068" width="11.5" style="31" customWidth="1"/>
    <col min="2069" max="2069" width="6.5" style="31" customWidth="1"/>
    <col min="2070" max="2070" width="11.5" style="31" customWidth="1"/>
    <col min="2071" max="2071" width="12.1640625" style="31" customWidth="1"/>
    <col min="2072" max="2072" width="13.33203125" style="31" customWidth="1"/>
    <col min="2073" max="2085" width="9.33203125" style="31" customWidth="1"/>
    <col min="2086" max="2099" width="8.83203125" style="31"/>
    <col min="2100" max="2100" width="32" style="31" customWidth="1"/>
    <col min="2101" max="2304" width="8.83203125" style="31"/>
    <col min="2305" max="2305" width="17.1640625" style="31" customWidth="1"/>
    <col min="2306" max="2307" width="14.83203125" style="31" customWidth="1"/>
    <col min="2308" max="2308" width="13" style="31" customWidth="1"/>
    <col min="2309" max="2309" width="12.5" style="31" customWidth="1"/>
    <col min="2310" max="2310" width="12.1640625" style="31" customWidth="1"/>
    <col min="2311" max="2311" width="10" style="31" customWidth="1"/>
    <col min="2312" max="2313" width="11.5" style="31" customWidth="1"/>
    <col min="2314" max="2314" width="22.1640625" style="31" customWidth="1"/>
    <col min="2315" max="2315" width="11.1640625" style="31" customWidth="1"/>
    <col min="2316" max="2316" width="10.33203125" style="31" customWidth="1"/>
    <col min="2317" max="2322" width="9.33203125" style="31" customWidth="1"/>
    <col min="2323" max="2323" width="10.5" style="31" customWidth="1"/>
    <col min="2324" max="2324" width="11.5" style="31" customWidth="1"/>
    <col min="2325" max="2325" width="6.5" style="31" customWidth="1"/>
    <col min="2326" max="2326" width="11.5" style="31" customWidth="1"/>
    <col min="2327" max="2327" width="12.1640625" style="31" customWidth="1"/>
    <col min="2328" max="2328" width="13.33203125" style="31" customWidth="1"/>
    <col min="2329" max="2341" width="9.33203125" style="31" customWidth="1"/>
    <col min="2342" max="2355" width="8.83203125" style="31"/>
    <col min="2356" max="2356" width="32" style="31" customWidth="1"/>
    <col min="2357" max="2560" width="8.83203125" style="31"/>
    <col min="2561" max="2561" width="17.1640625" style="31" customWidth="1"/>
    <col min="2562" max="2563" width="14.83203125" style="31" customWidth="1"/>
    <col min="2564" max="2564" width="13" style="31" customWidth="1"/>
    <col min="2565" max="2565" width="12.5" style="31" customWidth="1"/>
    <col min="2566" max="2566" width="12.1640625" style="31" customWidth="1"/>
    <col min="2567" max="2567" width="10" style="31" customWidth="1"/>
    <col min="2568" max="2569" width="11.5" style="31" customWidth="1"/>
    <col min="2570" max="2570" width="22.1640625" style="31" customWidth="1"/>
    <col min="2571" max="2571" width="11.1640625" style="31" customWidth="1"/>
    <col min="2572" max="2572" width="10.33203125" style="31" customWidth="1"/>
    <col min="2573" max="2578" width="9.33203125" style="31" customWidth="1"/>
    <col min="2579" max="2579" width="10.5" style="31" customWidth="1"/>
    <col min="2580" max="2580" width="11.5" style="31" customWidth="1"/>
    <col min="2581" max="2581" width="6.5" style="31" customWidth="1"/>
    <col min="2582" max="2582" width="11.5" style="31" customWidth="1"/>
    <col min="2583" max="2583" width="12.1640625" style="31" customWidth="1"/>
    <col min="2584" max="2584" width="13.33203125" style="31" customWidth="1"/>
    <col min="2585" max="2597" width="9.33203125" style="31" customWidth="1"/>
    <col min="2598" max="2611" width="8.83203125" style="31"/>
    <col min="2612" max="2612" width="32" style="31" customWidth="1"/>
    <col min="2613" max="2816" width="8.83203125" style="31"/>
    <col min="2817" max="2817" width="17.1640625" style="31" customWidth="1"/>
    <col min="2818" max="2819" width="14.83203125" style="31" customWidth="1"/>
    <col min="2820" max="2820" width="13" style="31" customWidth="1"/>
    <col min="2821" max="2821" width="12.5" style="31" customWidth="1"/>
    <col min="2822" max="2822" width="12.1640625" style="31" customWidth="1"/>
    <col min="2823" max="2823" width="10" style="31" customWidth="1"/>
    <col min="2824" max="2825" width="11.5" style="31" customWidth="1"/>
    <col min="2826" max="2826" width="22.1640625" style="31" customWidth="1"/>
    <col min="2827" max="2827" width="11.1640625" style="31" customWidth="1"/>
    <col min="2828" max="2828" width="10.33203125" style="31" customWidth="1"/>
    <col min="2829" max="2834" width="9.33203125" style="31" customWidth="1"/>
    <col min="2835" max="2835" width="10.5" style="31" customWidth="1"/>
    <col min="2836" max="2836" width="11.5" style="31" customWidth="1"/>
    <col min="2837" max="2837" width="6.5" style="31" customWidth="1"/>
    <col min="2838" max="2838" width="11.5" style="31" customWidth="1"/>
    <col min="2839" max="2839" width="12.1640625" style="31" customWidth="1"/>
    <col min="2840" max="2840" width="13.33203125" style="31" customWidth="1"/>
    <col min="2841" max="2853" width="9.33203125" style="31" customWidth="1"/>
    <col min="2854" max="2867" width="8.83203125" style="31"/>
    <col min="2868" max="2868" width="32" style="31" customWidth="1"/>
    <col min="2869" max="3072" width="8.83203125" style="31"/>
    <col min="3073" max="3073" width="17.1640625" style="31" customWidth="1"/>
    <col min="3074" max="3075" width="14.83203125" style="31" customWidth="1"/>
    <col min="3076" max="3076" width="13" style="31" customWidth="1"/>
    <col min="3077" max="3077" width="12.5" style="31" customWidth="1"/>
    <col min="3078" max="3078" width="12.1640625" style="31" customWidth="1"/>
    <col min="3079" max="3079" width="10" style="31" customWidth="1"/>
    <col min="3080" max="3081" width="11.5" style="31" customWidth="1"/>
    <col min="3082" max="3082" width="22.1640625" style="31" customWidth="1"/>
    <col min="3083" max="3083" width="11.1640625" style="31" customWidth="1"/>
    <col min="3084" max="3084" width="10.33203125" style="31" customWidth="1"/>
    <col min="3085" max="3090" width="9.33203125" style="31" customWidth="1"/>
    <col min="3091" max="3091" width="10.5" style="31" customWidth="1"/>
    <col min="3092" max="3092" width="11.5" style="31" customWidth="1"/>
    <col min="3093" max="3093" width="6.5" style="31" customWidth="1"/>
    <col min="3094" max="3094" width="11.5" style="31" customWidth="1"/>
    <col min="3095" max="3095" width="12.1640625" style="31" customWidth="1"/>
    <col min="3096" max="3096" width="13.33203125" style="31" customWidth="1"/>
    <col min="3097" max="3109" width="9.33203125" style="31" customWidth="1"/>
    <col min="3110" max="3123" width="8.83203125" style="31"/>
    <col min="3124" max="3124" width="32" style="31" customWidth="1"/>
    <col min="3125" max="3328" width="8.83203125" style="31"/>
    <col min="3329" max="3329" width="17.1640625" style="31" customWidth="1"/>
    <col min="3330" max="3331" width="14.83203125" style="31" customWidth="1"/>
    <col min="3332" max="3332" width="13" style="31" customWidth="1"/>
    <col min="3333" max="3333" width="12.5" style="31" customWidth="1"/>
    <col min="3334" max="3334" width="12.1640625" style="31" customWidth="1"/>
    <col min="3335" max="3335" width="10" style="31" customWidth="1"/>
    <col min="3336" max="3337" width="11.5" style="31" customWidth="1"/>
    <col min="3338" max="3338" width="22.1640625" style="31" customWidth="1"/>
    <col min="3339" max="3339" width="11.1640625" style="31" customWidth="1"/>
    <col min="3340" max="3340" width="10.33203125" style="31" customWidth="1"/>
    <col min="3341" max="3346" width="9.33203125" style="31" customWidth="1"/>
    <col min="3347" max="3347" width="10.5" style="31" customWidth="1"/>
    <col min="3348" max="3348" width="11.5" style="31" customWidth="1"/>
    <col min="3349" max="3349" width="6.5" style="31" customWidth="1"/>
    <col min="3350" max="3350" width="11.5" style="31" customWidth="1"/>
    <col min="3351" max="3351" width="12.1640625" style="31" customWidth="1"/>
    <col min="3352" max="3352" width="13.33203125" style="31" customWidth="1"/>
    <col min="3353" max="3365" width="9.33203125" style="31" customWidth="1"/>
    <col min="3366" max="3379" width="8.83203125" style="31"/>
    <col min="3380" max="3380" width="32" style="31" customWidth="1"/>
    <col min="3381" max="3584" width="8.83203125" style="31"/>
    <col min="3585" max="3585" width="17.1640625" style="31" customWidth="1"/>
    <col min="3586" max="3587" width="14.83203125" style="31" customWidth="1"/>
    <col min="3588" max="3588" width="13" style="31" customWidth="1"/>
    <col min="3589" max="3589" width="12.5" style="31" customWidth="1"/>
    <col min="3590" max="3590" width="12.1640625" style="31" customWidth="1"/>
    <col min="3591" max="3591" width="10" style="31" customWidth="1"/>
    <col min="3592" max="3593" width="11.5" style="31" customWidth="1"/>
    <col min="3594" max="3594" width="22.1640625" style="31" customWidth="1"/>
    <col min="3595" max="3595" width="11.1640625" style="31" customWidth="1"/>
    <col min="3596" max="3596" width="10.33203125" style="31" customWidth="1"/>
    <col min="3597" max="3602" width="9.33203125" style="31" customWidth="1"/>
    <col min="3603" max="3603" width="10.5" style="31" customWidth="1"/>
    <col min="3604" max="3604" width="11.5" style="31" customWidth="1"/>
    <col min="3605" max="3605" width="6.5" style="31" customWidth="1"/>
    <col min="3606" max="3606" width="11.5" style="31" customWidth="1"/>
    <col min="3607" max="3607" width="12.1640625" style="31" customWidth="1"/>
    <col min="3608" max="3608" width="13.33203125" style="31" customWidth="1"/>
    <col min="3609" max="3621" width="9.33203125" style="31" customWidth="1"/>
    <col min="3622" max="3635" width="8.83203125" style="31"/>
    <col min="3636" max="3636" width="32" style="31" customWidth="1"/>
    <col min="3637" max="3840" width="8.83203125" style="31"/>
    <col min="3841" max="3841" width="17.1640625" style="31" customWidth="1"/>
    <col min="3842" max="3843" width="14.83203125" style="31" customWidth="1"/>
    <col min="3844" max="3844" width="13" style="31" customWidth="1"/>
    <col min="3845" max="3845" width="12.5" style="31" customWidth="1"/>
    <col min="3846" max="3846" width="12.1640625" style="31" customWidth="1"/>
    <col min="3847" max="3847" width="10" style="31" customWidth="1"/>
    <col min="3848" max="3849" width="11.5" style="31" customWidth="1"/>
    <col min="3850" max="3850" width="22.1640625" style="31" customWidth="1"/>
    <col min="3851" max="3851" width="11.1640625" style="31" customWidth="1"/>
    <col min="3852" max="3852" width="10.33203125" style="31" customWidth="1"/>
    <col min="3853" max="3858" width="9.33203125" style="31" customWidth="1"/>
    <col min="3859" max="3859" width="10.5" style="31" customWidth="1"/>
    <col min="3860" max="3860" width="11.5" style="31" customWidth="1"/>
    <col min="3861" max="3861" width="6.5" style="31" customWidth="1"/>
    <col min="3862" max="3862" width="11.5" style="31" customWidth="1"/>
    <col min="3863" max="3863" width="12.1640625" style="31" customWidth="1"/>
    <col min="3864" max="3864" width="13.33203125" style="31" customWidth="1"/>
    <col min="3865" max="3877" width="9.33203125" style="31" customWidth="1"/>
    <col min="3878" max="3891" width="8.83203125" style="31"/>
    <col min="3892" max="3892" width="32" style="31" customWidth="1"/>
    <col min="3893" max="4096" width="8.83203125" style="31"/>
    <col min="4097" max="4097" width="17.1640625" style="31" customWidth="1"/>
    <col min="4098" max="4099" width="14.83203125" style="31" customWidth="1"/>
    <col min="4100" max="4100" width="13" style="31" customWidth="1"/>
    <col min="4101" max="4101" width="12.5" style="31" customWidth="1"/>
    <col min="4102" max="4102" width="12.1640625" style="31" customWidth="1"/>
    <col min="4103" max="4103" width="10" style="31" customWidth="1"/>
    <col min="4104" max="4105" width="11.5" style="31" customWidth="1"/>
    <col min="4106" max="4106" width="22.1640625" style="31" customWidth="1"/>
    <col min="4107" max="4107" width="11.1640625" style="31" customWidth="1"/>
    <col min="4108" max="4108" width="10.33203125" style="31" customWidth="1"/>
    <col min="4109" max="4114" width="9.33203125" style="31" customWidth="1"/>
    <col min="4115" max="4115" width="10.5" style="31" customWidth="1"/>
    <col min="4116" max="4116" width="11.5" style="31" customWidth="1"/>
    <col min="4117" max="4117" width="6.5" style="31" customWidth="1"/>
    <col min="4118" max="4118" width="11.5" style="31" customWidth="1"/>
    <col min="4119" max="4119" width="12.1640625" style="31" customWidth="1"/>
    <col min="4120" max="4120" width="13.33203125" style="31" customWidth="1"/>
    <col min="4121" max="4133" width="9.33203125" style="31" customWidth="1"/>
    <col min="4134" max="4147" width="8.83203125" style="31"/>
    <col min="4148" max="4148" width="32" style="31" customWidth="1"/>
    <col min="4149" max="4352" width="8.83203125" style="31"/>
    <col min="4353" max="4353" width="17.1640625" style="31" customWidth="1"/>
    <col min="4354" max="4355" width="14.83203125" style="31" customWidth="1"/>
    <col min="4356" max="4356" width="13" style="31" customWidth="1"/>
    <col min="4357" max="4357" width="12.5" style="31" customWidth="1"/>
    <col min="4358" max="4358" width="12.1640625" style="31" customWidth="1"/>
    <col min="4359" max="4359" width="10" style="31" customWidth="1"/>
    <col min="4360" max="4361" width="11.5" style="31" customWidth="1"/>
    <col min="4362" max="4362" width="22.1640625" style="31" customWidth="1"/>
    <col min="4363" max="4363" width="11.1640625" style="31" customWidth="1"/>
    <col min="4364" max="4364" width="10.33203125" style="31" customWidth="1"/>
    <col min="4365" max="4370" width="9.33203125" style="31" customWidth="1"/>
    <col min="4371" max="4371" width="10.5" style="31" customWidth="1"/>
    <col min="4372" max="4372" width="11.5" style="31" customWidth="1"/>
    <col min="4373" max="4373" width="6.5" style="31" customWidth="1"/>
    <col min="4374" max="4374" width="11.5" style="31" customWidth="1"/>
    <col min="4375" max="4375" width="12.1640625" style="31" customWidth="1"/>
    <col min="4376" max="4376" width="13.33203125" style="31" customWidth="1"/>
    <col min="4377" max="4389" width="9.33203125" style="31" customWidth="1"/>
    <col min="4390" max="4403" width="8.83203125" style="31"/>
    <col min="4404" max="4404" width="32" style="31" customWidth="1"/>
    <col min="4405" max="4608" width="8.83203125" style="31"/>
    <col min="4609" max="4609" width="17.1640625" style="31" customWidth="1"/>
    <col min="4610" max="4611" width="14.83203125" style="31" customWidth="1"/>
    <col min="4612" max="4612" width="13" style="31" customWidth="1"/>
    <col min="4613" max="4613" width="12.5" style="31" customWidth="1"/>
    <col min="4614" max="4614" width="12.1640625" style="31" customWidth="1"/>
    <col min="4615" max="4615" width="10" style="31" customWidth="1"/>
    <col min="4616" max="4617" width="11.5" style="31" customWidth="1"/>
    <col min="4618" max="4618" width="22.1640625" style="31" customWidth="1"/>
    <col min="4619" max="4619" width="11.1640625" style="31" customWidth="1"/>
    <col min="4620" max="4620" width="10.33203125" style="31" customWidth="1"/>
    <col min="4621" max="4626" width="9.33203125" style="31" customWidth="1"/>
    <col min="4627" max="4627" width="10.5" style="31" customWidth="1"/>
    <col min="4628" max="4628" width="11.5" style="31" customWidth="1"/>
    <col min="4629" max="4629" width="6.5" style="31" customWidth="1"/>
    <col min="4630" max="4630" width="11.5" style="31" customWidth="1"/>
    <col min="4631" max="4631" width="12.1640625" style="31" customWidth="1"/>
    <col min="4632" max="4632" width="13.33203125" style="31" customWidth="1"/>
    <col min="4633" max="4645" width="9.33203125" style="31" customWidth="1"/>
    <col min="4646" max="4659" width="8.83203125" style="31"/>
    <col min="4660" max="4660" width="32" style="31" customWidth="1"/>
    <col min="4661" max="4864" width="8.83203125" style="31"/>
    <col min="4865" max="4865" width="17.1640625" style="31" customWidth="1"/>
    <col min="4866" max="4867" width="14.83203125" style="31" customWidth="1"/>
    <col min="4868" max="4868" width="13" style="31" customWidth="1"/>
    <col min="4869" max="4869" width="12.5" style="31" customWidth="1"/>
    <col min="4870" max="4870" width="12.1640625" style="31" customWidth="1"/>
    <col min="4871" max="4871" width="10" style="31" customWidth="1"/>
    <col min="4872" max="4873" width="11.5" style="31" customWidth="1"/>
    <col min="4874" max="4874" width="22.1640625" style="31" customWidth="1"/>
    <col min="4875" max="4875" width="11.1640625" style="31" customWidth="1"/>
    <col min="4876" max="4876" width="10.33203125" style="31" customWidth="1"/>
    <col min="4877" max="4882" width="9.33203125" style="31" customWidth="1"/>
    <col min="4883" max="4883" width="10.5" style="31" customWidth="1"/>
    <col min="4884" max="4884" width="11.5" style="31" customWidth="1"/>
    <col min="4885" max="4885" width="6.5" style="31" customWidth="1"/>
    <col min="4886" max="4886" width="11.5" style="31" customWidth="1"/>
    <col min="4887" max="4887" width="12.1640625" style="31" customWidth="1"/>
    <col min="4888" max="4888" width="13.33203125" style="31" customWidth="1"/>
    <col min="4889" max="4901" width="9.33203125" style="31" customWidth="1"/>
    <col min="4902" max="4915" width="8.83203125" style="31"/>
    <col min="4916" max="4916" width="32" style="31" customWidth="1"/>
    <col min="4917" max="5120" width="8.83203125" style="31"/>
    <col min="5121" max="5121" width="17.1640625" style="31" customWidth="1"/>
    <col min="5122" max="5123" width="14.83203125" style="31" customWidth="1"/>
    <col min="5124" max="5124" width="13" style="31" customWidth="1"/>
    <col min="5125" max="5125" width="12.5" style="31" customWidth="1"/>
    <col min="5126" max="5126" width="12.1640625" style="31" customWidth="1"/>
    <col min="5127" max="5127" width="10" style="31" customWidth="1"/>
    <col min="5128" max="5129" width="11.5" style="31" customWidth="1"/>
    <col min="5130" max="5130" width="22.1640625" style="31" customWidth="1"/>
    <col min="5131" max="5131" width="11.1640625" style="31" customWidth="1"/>
    <col min="5132" max="5132" width="10.33203125" style="31" customWidth="1"/>
    <col min="5133" max="5138" width="9.33203125" style="31" customWidth="1"/>
    <col min="5139" max="5139" width="10.5" style="31" customWidth="1"/>
    <col min="5140" max="5140" width="11.5" style="31" customWidth="1"/>
    <col min="5141" max="5141" width="6.5" style="31" customWidth="1"/>
    <col min="5142" max="5142" width="11.5" style="31" customWidth="1"/>
    <col min="5143" max="5143" width="12.1640625" style="31" customWidth="1"/>
    <col min="5144" max="5144" width="13.33203125" style="31" customWidth="1"/>
    <col min="5145" max="5157" width="9.33203125" style="31" customWidth="1"/>
    <col min="5158" max="5171" width="8.83203125" style="31"/>
    <col min="5172" max="5172" width="32" style="31" customWidth="1"/>
    <col min="5173" max="5376" width="8.83203125" style="31"/>
    <col min="5377" max="5377" width="17.1640625" style="31" customWidth="1"/>
    <col min="5378" max="5379" width="14.83203125" style="31" customWidth="1"/>
    <col min="5380" max="5380" width="13" style="31" customWidth="1"/>
    <col min="5381" max="5381" width="12.5" style="31" customWidth="1"/>
    <col min="5382" max="5382" width="12.1640625" style="31" customWidth="1"/>
    <col min="5383" max="5383" width="10" style="31" customWidth="1"/>
    <col min="5384" max="5385" width="11.5" style="31" customWidth="1"/>
    <col min="5386" max="5386" width="22.1640625" style="31" customWidth="1"/>
    <col min="5387" max="5387" width="11.1640625" style="31" customWidth="1"/>
    <col min="5388" max="5388" width="10.33203125" style="31" customWidth="1"/>
    <col min="5389" max="5394" width="9.33203125" style="31" customWidth="1"/>
    <col min="5395" max="5395" width="10.5" style="31" customWidth="1"/>
    <col min="5396" max="5396" width="11.5" style="31" customWidth="1"/>
    <col min="5397" max="5397" width="6.5" style="31" customWidth="1"/>
    <col min="5398" max="5398" width="11.5" style="31" customWidth="1"/>
    <col min="5399" max="5399" width="12.1640625" style="31" customWidth="1"/>
    <col min="5400" max="5400" width="13.33203125" style="31" customWidth="1"/>
    <col min="5401" max="5413" width="9.33203125" style="31" customWidth="1"/>
    <col min="5414" max="5427" width="8.83203125" style="31"/>
    <col min="5428" max="5428" width="32" style="31" customWidth="1"/>
    <col min="5429" max="5632" width="8.83203125" style="31"/>
    <col min="5633" max="5633" width="17.1640625" style="31" customWidth="1"/>
    <col min="5634" max="5635" width="14.83203125" style="31" customWidth="1"/>
    <col min="5636" max="5636" width="13" style="31" customWidth="1"/>
    <col min="5637" max="5637" width="12.5" style="31" customWidth="1"/>
    <col min="5638" max="5638" width="12.1640625" style="31" customWidth="1"/>
    <col min="5639" max="5639" width="10" style="31" customWidth="1"/>
    <col min="5640" max="5641" width="11.5" style="31" customWidth="1"/>
    <col min="5642" max="5642" width="22.1640625" style="31" customWidth="1"/>
    <col min="5643" max="5643" width="11.1640625" style="31" customWidth="1"/>
    <col min="5644" max="5644" width="10.33203125" style="31" customWidth="1"/>
    <col min="5645" max="5650" width="9.33203125" style="31" customWidth="1"/>
    <col min="5651" max="5651" width="10.5" style="31" customWidth="1"/>
    <col min="5652" max="5652" width="11.5" style="31" customWidth="1"/>
    <col min="5653" max="5653" width="6.5" style="31" customWidth="1"/>
    <col min="5654" max="5654" width="11.5" style="31" customWidth="1"/>
    <col min="5655" max="5655" width="12.1640625" style="31" customWidth="1"/>
    <col min="5656" max="5656" width="13.33203125" style="31" customWidth="1"/>
    <col min="5657" max="5669" width="9.33203125" style="31" customWidth="1"/>
    <col min="5670" max="5683" width="8.83203125" style="31"/>
    <col min="5684" max="5684" width="32" style="31" customWidth="1"/>
    <col min="5685" max="5888" width="8.83203125" style="31"/>
    <col min="5889" max="5889" width="17.1640625" style="31" customWidth="1"/>
    <col min="5890" max="5891" width="14.83203125" style="31" customWidth="1"/>
    <col min="5892" max="5892" width="13" style="31" customWidth="1"/>
    <col min="5893" max="5893" width="12.5" style="31" customWidth="1"/>
    <col min="5894" max="5894" width="12.1640625" style="31" customWidth="1"/>
    <col min="5895" max="5895" width="10" style="31" customWidth="1"/>
    <col min="5896" max="5897" width="11.5" style="31" customWidth="1"/>
    <col min="5898" max="5898" width="22.1640625" style="31" customWidth="1"/>
    <col min="5899" max="5899" width="11.1640625" style="31" customWidth="1"/>
    <col min="5900" max="5900" width="10.33203125" style="31" customWidth="1"/>
    <col min="5901" max="5906" width="9.33203125" style="31" customWidth="1"/>
    <col min="5907" max="5907" width="10.5" style="31" customWidth="1"/>
    <col min="5908" max="5908" width="11.5" style="31" customWidth="1"/>
    <col min="5909" max="5909" width="6.5" style="31" customWidth="1"/>
    <col min="5910" max="5910" width="11.5" style="31" customWidth="1"/>
    <col min="5911" max="5911" width="12.1640625" style="31" customWidth="1"/>
    <col min="5912" max="5912" width="13.33203125" style="31" customWidth="1"/>
    <col min="5913" max="5925" width="9.33203125" style="31" customWidth="1"/>
    <col min="5926" max="5939" width="8.83203125" style="31"/>
    <col min="5940" max="5940" width="32" style="31" customWidth="1"/>
    <col min="5941" max="6144" width="8.83203125" style="31"/>
    <col min="6145" max="6145" width="17.1640625" style="31" customWidth="1"/>
    <col min="6146" max="6147" width="14.83203125" style="31" customWidth="1"/>
    <col min="6148" max="6148" width="13" style="31" customWidth="1"/>
    <col min="6149" max="6149" width="12.5" style="31" customWidth="1"/>
    <col min="6150" max="6150" width="12.1640625" style="31" customWidth="1"/>
    <col min="6151" max="6151" width="10" style="31" customWidth="1"/>
    <col min="6152" max="6153" width="11.5" style="31" customWidth="1"/>
    <col min="6154" max="6154" width="22.1640625" style="31" customWidth="1"/>
    <col min="6155" max="6155" width="11.1640625" style="31" customWidth="1"/>
    <col min="6156" max="6156" width="10.33203125" style="31" customWidth="1"/>
    <col min="6157" max="6162" width="9.33203125" style="31" customWidth="1"/>
    <col min="6163" max="6163" width="10.5" style="31" customWidth="1"/>
    <col min="6164" max="6164" width="11.5" style="31" customWidth="1"/>
    <col min="6165" max="6165" width="6.5" style="31" customWidth="1"/>
    <col min="6166" max="6166" width="11.5" style="31" customWidth="1"/>
    <col min="6167" max="6167" width="12.1640625" style="31" customWidth="1"/>
    <col min="6168" max="6168" width="13.33203125" style="31" customWidth="1"/>
    <col min="6169" max="6181" width="9.33203125" style="31" customWidth="1"/>
    <col min="6182" max="6195" width="8.83203125" style="31"/>
    <col min="6196" max="6196" width="32" style="31" customWidth="1"/>
    <col min="6197" max="6400" width="8.83203125" style="31"/>
    <col min="6401" max="6401" width="17.1640625" style="31" customWidth="1"/>
    <col min="6402" max="6403" width="14.83203125" style="31" customWidth="1"/>
    <col min="6404" max="6404" width="13" style="31" customWidth="1"/>
    <col min="6405" max="6405" width="12.5" style="31" customWidth="1"/>
    <col min="6406" max="6406" width="12.1640625" style="31" customWidth="1"/>
    <col min="6407" max="6407" width="10" style="31" customWidth="1"/>
    <col min="6408" max="6409" width="11.5" style="31" customWidth="1"/>
    <col min="6410" max="6410" width="22.1640625" style="31" customWidth="1"/>
    <col min="6411" max="6411" width="11.1640625" style="31" customWidth="1"/>
    <col min="6412" max="6412" width="10.33203125" style="31" customWidth="1"/>
    <col min="6413" max="6418" width="9.33203125" style="31" customWidth="1"/>
    <col min="6419" max="6419" width="10.5" style="31" customWidth="1"/>
    <col min="6420" max="6420" width="11.5" style="31" customWidth="1"/>
    <col min="6421" max="6421" width="6.5" style="31" customWidth="1"/>
    <col min="6422" max="6422" width="11.5" style="31" customWidth="1"/>
    <col min="6423" max="6423" width="12.1640625" style="31" customWidth="1"/>
    <col min="6424" max="6424" width="13.33203125" style="31" customWidth="1"/>
    <col min="6425" max="6437" width="9.33203125" style="31" customWidth="1"/>
    <col min="6438" max="6451" width="8.83203125" style="31"/>
    <col min="6452" max="6452" width="32" style="31" customWidth="1"/>
    <col min="6453" max="6656" width="8.83203125" style="31"/>
    <col min="6657" max="6657" width="17.1640625" style="31" customWidth="1"/>
    <col min="6658" max="6659" width="14.83203125" style="31" customWidth="1"/>
    <col min="6660" max="6660" width="13" style="31" customWidth="1"/>
    <col min="6661" max="6661" width="12.5" style="31" customWidth="1"/>
    <col min="6662" max="6662" width="12.1640625" style="31" customWidth="1"/>
    <col min="6663" max="6663" width="10" style="31" customWidth="1"/>
    <col min="6664" max="6665" width="11.5" style="31" customWidth="1"/>
    <col min="6666" max="6666" width="22.1640625" style="31" customWidth="1"/>
    <col min="6667" max="6667" width="11.1640625" style="31" customWidth="1"/>
    <col min="6668" max="6668" width="10.33203125" style="31" customWidth="1"/>
    <col min="6669" max="6674" width="9.33203125" style="31" customWidth="1"/>
    <col min="6675" max="6675" width="10.5" style="31" customWidth="1"/>
    <col min="6676" max="6676" width="11.5" style="31" customWidth="1"/>
    <col min="6677" max="6677" width="6.5" style="31" customWidth="1"/>
    <col min="6678" max="6678" width="11.5" style="31" customWidth="1"/>
    <col min="6679" max="6679" width="12.1640625" style="31" customWidth="1"/>
    <col min="6680" max="6680" width="13.33203125" style="31" customWidth="1"/>
    <col min="6681" max="6693" width="9.33203125" style="31" customWidth="1"/>
    <col min="6694" max="6707" width="8.83203125" style="31"/>
    <col min="6708" max="6708" width="32" style="31" customWidth="1"/>
    <col min="6709" max="6912" width="8.83203125" style="31"/>
    <col min="6913" max="6913" width="17.1640625" style="31" customWidth="1"/>
    <col min="6914" max="6915" width="14.83203125" style="31" customWidth="1"/>
    <col min="6916" max="6916" width="13" style="31" customWidth="1"/>
    <col min="6917" max="6917" width="12.5" style="31" customWidth="1"/>
    <col min="6918" max="6918" width="12.1640625" style="31" customWidth="1"/>
    <col min="6919" max="6919" width="10" style="31" customWidth="1"/>
    <col min="6920" max="6921" width="11.5" style="31" customWidth="1"/>
    <col min="6922" max="6922" width="22.1640625" style="31" customWidth="1"/>
    <col min="6923" max="6923" width="11.1640625" style="31" customWidth="1"/>
    <col min="6924" max="6924" width="10.33203125" style="31" customWidth="1"/>
    <col min="6925" max="6930" width="9.33203125" style="31" customWidth="1"/>
    <col min="6931" max="6931" width="10.5" style="31" customWidth="1"/>
    <col min="6932" max="6932" width="11.5" style="31" customWidth="1"/>
    <col min="6933" max="6933" width="6.5" style="31" customWidth="1"/>
    <col min="6934" max="6934" width="11.5" style="31" customWidth="1"/>
    <col min="6935" max="6935" width="12.1640625" style="31" customWidth="1"/>
    <col min="6936" max="6936" width="13.33203125" style="31" customWidth="1"/>
    <col min="6937" max="6949" width="9.33203125" style="31" customWidth="1"/>
    <col min="6950" max="6963" width="8.83203125" style="31"/>
    <col min="6964" max="6964" width="32" style="31" customWidth="1"/>
    <col min="6965" max="7168" width="8.83203125" style="31"/>
    <col min="7169" max="7169" width="17.1640625" style="31" customWidth="1"/>
    <col min="7170" max="7171" width="14.83203125" style="31" customWidth="1"/>
    <col min="7172" max="7172" width="13" style="31" customWidth="1"/>
    <col min="7173" max="7173" width="12.5" style="31" customWidth="1"/>
    <col min="7174" max="7174" width="12.1640625" style="31" customWidth="1"/>
    <col min="7175" max="7175" width="10" style="31" customWidth="1"/>
    <col min="7176" max="7177" width="11.5" style="31" customWidth="1"/>
    <col min="7178" max="7178" width="22.1640625" style="31" customWidth="1"/>
    <col min="7179" max="7179" width="11.1640625" style="31" customWidth="1"/>
    <col min="7180" max="7180" width="10.33203125" style="31" customWidth="1"/>
    <col min="7181" max="7186" width="9.33203125" style="31" customWidth="1"/>
    <col min="7187" max="7187" width="10.5" style="31" customWidth="1"/>
    <col min="7188" max="7188" width="11.5" style="31" customWidth="1"/>
    <col min="7189" max="7189" width="6.5" style="31" customWidth="1"/>
    <col min="7190" max="7190" width="11.5" style="31" customWidth="1"/>
    <col min="7191" max="7191" width="12.1640625" style="31" customWidth="1"/>
    <col min="7192" max="7192" width="13.33203125" style="31" customWidth="1"/>
    <col min="7193" max="7205" width="9.33203125" style="31" customWidth="1"/>
    <col min="7206" max="7219" width="8.83203125" style="31"/>
    <col min="7220" max="7220" width="32" style="31" customWidth="1"/>
    <col min="7221" max="7424" width="8.83203125" style="31"/>
    <col min="7425" max="7425" width="17.1640625" style="31" customWidth="1"/>
    <col min="7426" max="7427" width="14.83203125" style="31" customWidth="1"/>
    <col min="7428" max="7428" width="13" style="31" customWidth="1"/>
    <col min="7429" max="7429" width="12.5" style="31" customWidth="1"/>
    <col min="7430" max="7430" width="12.1640625" style="31" customWidth="1"/>
    <col min="7431" max="7431" width="10" style="31" customWidth="1"/>
    <col min="7432" max="7433" width="11.5" style="31" customWidth="1"/>
    <col min="7434" max="7434" width="22.1640625" style="31" customWidth="1"/>
    <col min="7435" max="7435" width="11.1640625" style="31" customWidth="1"/>
    <col min="7436" max="7436" width="10.33203125" style="31" customWidth="1"/>
    <col min="7437" max="7442" width="9.33203125" style="31" customWidth="1"/>
    <col min="7443" max="7443" width="10.5" style="31" customWidth="1"/>
    <col min="7444" max="7444" width="11.5" style="31" customWidth="1"/>
    <col min="7445" max="7445" width="6.5" style="31" customWidth="1"/>
    <col min="7446" max="7446" width="11.5" style="31" customWidth="1"/>
    <col min="7447" max="7447" width="12.1640625" style="31" customWidth="1"/>
    <col min="7448" max="7448" width="13.33203125" style="31" customWidth="1"/>
    <col min="7449" max="7461" width="9.33203125" style="31" customWidth="1"/>
    <col min="7462" max="7475" width="8.83203125" style="31"/>
    <col min="7476" max="7476" width="32" style="31" customWidth="1"/>
    <col min="7477" max="7680" width="8.83203125" style="31"/>
    <col min="7681" max="7681" width="17.1640625" style="31" customWidth="1"/>
    <col min="7682" max="7683" width="14.83203125" style="31" customWidth="1"/>
    <col min="7684" max="7684" width="13" style="31" customWidth="1"/>
    <col min="7685" max="7685" width="12.5" style="31" customWidth="1"/>
    <col min="7686" max="7686" width="12.1640625" style="31" customWidth="1"/>
    <col min="7687" max="7687" width="10" style="31" customWidth="1"/>
    <col min="7688" max="7689" width="11.5" style="31" customWidth="1"/>
    <col min="7690" max="7690" width="22.1640625" style="31" customWidth="1"/>
    <col min="7691" max="7691" width="11.1640625" style="31" customWidth="1"/>
    <col min="7692" max="7692" width="10.33203125" style="31" customWidth="1"/>
    <col min="7693" max="7698" width="9.33203125" style="31" customWidth="1"/>
    <col min="7699" max="7699" width="10.5" style="31" customWidth="1"/>
    <col min="7700" max="7700" width="11.5" style="31" customWidth="1"/>
    <col min="7701" max="7701" width="6.5" style="31" customWidth="1"/>
    <col min="7702" max="7702" width="11.5" style="31" customWidth="1"/>
    <col min="7703" max="7703" width="12.1640625" style="31" customWidth="1"/>
    <col min="7704" max="7704" width="13.33203125" style="31" customWidth="1"/>
    <col min="7705" max="7717" width="9.33203125" style="31" customWidth="1"/>
    <col min="7718" max="7731" width="8.83203125" style="31"/>
    <col min="7732" max="7732" width="32" style="31" customWidth="1"/>
    <col min="7733" max="7936" width="8.83203125" style="31"/>
    <col min="7937" max="7937" width="17.1640625" style="31" customWidth="1"/>
    <col min="7938" max="7939" width="14.83203125" style="31" customWidth="1"/>
    <col min="7940" max="7940" width="13" style="31" customWidth="1"/>
    <col min="7941" max="7941" width="12.5" style="31" customWidth="1"/>
    <col min="7942" max="7942" width="12.1640625" style="31" customWidth="1"/>
    <col min="7943" max="7943" width="10" style="31" customWidth="1"/>
    <col min="7944" max="7945" width="11.5" style="31" customWidth="1"/>
    <col min="7946" max="7946" width="22.1640625" style="31" customWidth="1"/>
    <col min="7947" max="7947" width="11.1640625" style="31" customWidth="1"/>
    <col min="7948" max="7948" width="10.33203125" style="31" customWidth="1"/>
    <col min="7949" max="7954" width="9.33203125" style="31" customWidth="1"/>
    <col min="7955" max="7955" width="10.5" style="31" customWidth="1"/>
    <col min="7956" max="7956" width="11.5" style="31" customWidth="1"/>
    <col min="7957" max="7957" width="6.5" style="31" customWidth="1"/>
    <col min="7958" max="7958" width="11.5" style="31" customWidth="1"/>
    <col min="7959" max="7959" width="12.1640625" style="31" customWidth="1"/>
    <col min="7960" max="7960" width="13.33203125" style="31" customWidth="1"/>
    <col min="7961" max="7973" width="9.33203125" style="31" customWidth="1"/>
    <col min="7974" max="7987" width="8.83203125" style="31"/>
    <col min="7988" max="7988" width="32" style="31" customWidth="1"/>
    <col min="7989" max="8192" width="8.83203125" style="31"/>
    <col min="8193" max="8193" width="17.1640625" style="31" customWidth="1"/>
    <col min="8194" max="8195" width="14.83203125" style="31" customWidth="1"/>
    <col min="8196" max="8196" width="13" style="31" customWidth="1"/>
    <col min="8197" max="8197" width="12.5" style="31" customWidth="1"/>
    <col min="8198" max="8198" width="12.1640625" style="31" customWidth="1"/>
    <col min="8199" max="8199" width="10" style="31" customWidth="1"/>
    <col min="8200" max="8201" width="11.5" style="31" customWidth="1"/>
    <col min="8202" max="8202" width="22.1640625" style="31" customWidth="1"/>
    <col min="8203" max="8203" width="11.1640625" style="31" customWidth="1"/>
    <col min="8204" max="8204" width="10.33203125" style="31" customWidth="1"/>
    <col min="8205" max="8210" width="9.33203125" style="31" customWidth="1"/>
    <col min="8211" max="8211" width="10.5" style="31" customWidth="1"/>
    <col min="8212" max="8212" width="11.5" style="31" customWidth="1"/>
    <col min="8213" max="8213" width="6.5" style="31" customWidth="1"/>
    <col min="8214" max="8214" width="11.5" style="31" customWidth="1"/>
    <col min="8215" max="8215" width="12.1640625" style="31" customWidth="1"/>
    <col min="8216" max="8216" width="13.33203125" style="31" customWidth="1"/>
    <col min="8217" max="8229" width="9.33203125" style="31" customWidth="1"/>
    <col min="8230" max="8243" width="8.83203125" style="31"/>
    <col min="8244" max="8244" width="32" style="31" customWidth="1"/>
    <col min="8245" max="8448" width="8.83203125" style="31"/>
    <col min="8449" max="8449" width="17.1640625" style="31" customWidth="1"/>
    <col min="8450" max="8451" width="14.83203125" style="31" customWidth="1"/>
    <col min="8452" max="8452" width="13" style="31" customWidth="1"/>
    <col min="8453" max="8453" width="12.5" style="31" customWidth="1"/>
    <col min="8454" max="8454" width="12.1640625" style="31" customWidth="1"/>
    <col min="8455" max="8455" width="10" style="31" customWidth="1"/>
    <col min="8456" max="8457" width="11.5" style="31" customWidth="1"/>
    <col min="8458" max="8458" width="22.1640625" style="31" customWidth="1"/>
    <col min="8459" max="8459" width="11.1640625" style="31" customWidth="1"/>
    <col min="8460" max="8460" width="10.33203125" style="31" customWidth="1"/>
    <col min="8461" max="8466" width="9.33203125" style="31" customWidth="1"/>
    <col min="8467" max="8467" width="10.5" style="31" customWidth="1"/>
    <col min="8468" max="8468" width="11.5" style="31" customWidth="1"/>
    <col min="8469" max="8469" width="6.5" style="31" customWidth="1"/>
    <col min="8470" max="8470" width="11.5" style="31" customWidth="1"/>
    <col min="8471" max="8471" width="12.1640625" style="31" customWidth="1"/>
    <col min="8472" max="8472" width="13.33203125" style="31" customWidth="1"/>
    <col min="8473" max="8485" width="9.33203125" style="31" customWidth="1"/>
    <col min="8486" max="8499" width="8.83203125" style="31"/>
    <col min="8500" max="8500" width="32" style="31" customWidth="1"/>
    <col min="8501" max="8704" width="8.83203125" style="31"/>
    <col min="8705" max="8705" width="17.1640625" style="31" customWidth="1"/>
    <col min="8706" max="8707" width="14.83203125" style="31" customWidth="1"/>
    <col min="8708" max="8708" width="13" style="31" customWidth="1"/>
    <col min="8709" max="8709" width="12.5" style="31" customWidth="1"/>
    <col min="8710" max="8710" width="12.1640625" style="31" customWidth="1"/>
    <col min="8711" max="8711" width="10" style="31" customWidth="1"/>
    <col min="8712" max="8713" width="11.5" style="31" customWidth="1"/>
    <col min="8714" max="8714" width="22.1640625" style="31" customWidth="1"/>
    <col min="8715" max="8715" width="11.1640625" style="31" customWidth="1"/>
    <col min="8716" max="8716" width="10.33203125" style="31" customWidth="1"/>
    <col min="8717" max="8722" width="9.33203125" style="31" customWidth="1"/>
    <col min="8723" max="8723" width="10.5" style="31" customWidth="1"/>
    <col min="8724" max="8724" width="11.5" style="31" customWidth="1"/>
    <col min="8725" max="8725" width="6.5" style="31" customWidth="1"/>
    <col min="8726" max="8726" width="11.5" style="31" customWidth="1"/>
    <col min="8727" max="8727" width="12.1640625" style="31" customWidth="1"/>
    <col min="8728" max="8728" width="13.33203125" style="31" customWidth="1"/>
    <col min="8729" max="8741" width="9.33203125" style="31" customWidth="1"/>
    <col min="8742" max="8755" width="8.83203125" style="31"/>
    <col min="8756" max="8756" width="32" style="31" customWidth="1"/>
    <col min="8757" max="8960" width="8.83203125" style="31"/>
    <col min="8961" max="8961" width="17.1640625" style="31" customWidth="1"/>
    <col min="8962" max="8963" width="14.83203125" style="31" customWidth="1"/>
    <col min="8964" max="8964" width="13" style="31" customWidth="1"/>
    <col min="8965" max="8965" width="12.5" style="31" customWidth="1"/>
    <col min="8966" max="8966" width="12.1640625" style="31" customWidth="1"/>
    <col min="8967" max="8967" width="10" style="31" customWidth="1"/>
    <col min="8968" max="8969" width="11.5" style="31" customWidth="1"/>
    <col min="8970" max="8970" width="22.1640625" style="31" customWidth="1"/>
    <col min="8971" max="8971" width="11.1640625" style="31" customWidth="1"/>
    <col min="8972" max="8972" width="10.33203125" style="31" customWidth="1"/>
    <col min="8973" max="8978" width="9.33203125" style="31" customWidth="1"/>
    <col min="8979" max="8979" width="10.5" style="31" customWidth="1"/>
    <col min="8980" max="8980" width="11.5" style="31" customWidth="1"/>
    <col min="8981" max="8981" width="6.5" style="31" customWidth="1"/>
    <col min="8982" max="8982" width="11.5" style="31" customWidth="1"/>
    <col min="8983" max="8983" width="12.1640625" style="31" customWidth="1"/>
    <col min="8984" max="8984" width="13.33203125" style="31" customWidth="1"/>
    <col min="8985" max="8997" width="9.33203125" style="31" customWidth="1"/>
    <col min="8998" max="9011" width="8.83203125" style="31"/>
    <col min="9012" max="9012" width="32" style="31" customWidth="1"/>
    <col min="9013" max="9216" width="8.83203125" style="31"/>
    <col min="9217" max="9217" width="17.1640625" style="31" customWidth="1"/>
    <col min="9218" max="9219" width="14.83203125" style="31" customWidth="1"/>
    <col min="9220" max="9220" width="13" style="31" customWidth="1"/>
    <col min="9221" max="9221" width="12.5" style="31" customWidth="1"/>
    <col min="9222" max="9222" width="12.1640625" style="31" customWidth="1"/>
    <col min="9223" max="9223" width="10" style="31" customWidth="1"/>
    <col min="9224" max="9225" width="11.5" style="31" customWidth="1"/>
    <col min="9226" max="9226" width="22.1640625" style="31" customWidth="1"/>
    <col min="9227" max="9227" width="11.1640625" style="31" customWidth="1"/>
    <col min="9228" max="9228" width="10.33203125" style="31" customWidth="1"/>
    <col min="9229" max="9234" width="9.33203125" style="31" customWidth="1"/>
    <col min="9235" max="9235" width="10.5" style="31" customWidth="1"/>
    <col min="9236" max="9236" width="11.5" style="31" customWidth="1"/>
    <col min="9237" max="9237" width="6.5" style="31" customWidth="1"/>
    <col min="9238" max="9238" width="11.5" style="31" customWidth="1"/>
    <col min="9239" max="9239" width="12.1640625" style="31" customWidth="1"/>
    <col min="9240" max="9240" width="13.33203125" style="31" customWidth="1"/>
    <col min="9241" max="9253" width="9.33203125" style="31" customWidth="1"/>
    <col min="9254" max="9267" width="8.83203125" style="31"/>
    <col min="9268" max="9268" width="32" style="31" customWidth="1"/>
    <col min="9269" max="9472" width="8.83203125" style="31"/>
    <col min="9473" max="9473" width="17.1640625" style="31" customWidth="1"/>
    <col min="9474" max="9475" width="14.83203125" style="31" customWidth="1"/>
    <col min="9476" max="9476" width="13" style="31" customWidth="1"/>
    <col min="9477" max="9477" width="12.5" style="31" customWidth="1"/>
    <col min="9478" max="9478" width="12.1640625" style="31" customWidth="1"/>
    <col min="9479" max="9479" width="10" style="31" customWidth="1"/>
    <col min="9480" max="9481" width="11.5" style="31" customWidth="1"/>
    <col min="9482" max="9482" width="22.1640625" style="31" customWidth="1"/>
    <col min="9483" max="9483" width="11.1640625" style="31" customWidth="1"/>
    <col min="9484" max="9484" width="10.33203125" style="31" customWidth="1"/>
    <col min="9485" max="9490" width="9.33203125" style="31" customWidth="1"/>
    <col min="9491" max="9491" width="10.5" style="31" customWidth="1"/>
    <col min="9492" max="9492" width="11.5" style="31" customWidth="1"/>
    <col min="9493" max="9493" width="6.5" style="31" customWidth="1"/>
    <col min="9494" max="9494" width="11.5" style="31" customWidth="1"/>
    <col min="9495" max="9495" width="12.1640625" style="31" customWidth="1"/>
    <col min="9496" max="9496" width="13.33203125" style="31" customWidth="1"/>
    <col min="9497" max="9509" width="9.33203125" style="31" customWidth="1"/>
    <col min="9510" max="9523" width="8.83203125" style="31"/>
    <col min="9524" max="9524" width="32" style="31" customWidth="1"/>
    <col min="9525" max="9728" width="8.83203125" style="31"/>
    <col min="9729" max="9729" width="17.1640625" style="31" customWidth="1"/>
    <col min="9730" max="9731" width="14.83203125" style="31" customWidth="1"/>
    <col min="9732" max="9732" width="13" style="31" customWidth="1"/>
    <col min="9733" max="9733" width="12.5" style="31" customWidth="1"/>
    <col min="9734" max="9734" width="12.1640625" style="31" customWidth="1"/>
    <col min="9735" max="9735" width="10" style="31" customWidth="1"/>
    <col min="9736" max="9737" width="11.5" style="31" customWidth="1"/>
    <col min="9738" max="9738" width="22.1640625" style="31" customWidth="1"/>
    <col min="9739" max="9739" width="11.1640625" style="31" customWidth="1"/>
    <col min="9740" max="9740" width="10.33203125" style="31" customWidth="1"/>
    <col min="9741" max="9746" width="9.33203125" style="31" customWidth="1"/>
    <col min="9747" max="9747" width="10.5" style="31" customWidth="1"/>
    <col min="9748" max="9748" width="11.5" style="31" customWidth="1"/>
    <col min="9749" max="9749" width="6.5" style="31" customWidth="1"/>
    <col min="9750" max="9750" width="11.5" style="31" customWidth="1"/>
    <col min="9751" max="9751" width="12.1640625" style="31" customWidth="1"/>
    <col min="9752" max="9752" width="13.33203125" style="31" customWidth="1"/>
    <col min="9753" max="9765" width="9.33203125" style="31" customWidth="1"/>
    <col min="9766" max="9779" width="8.83203125" style="31"/>
    <col min="9780" max="9780" width="32" style="31" customWidth="1"/>
    <col min="9781" max="9984" width="8.83203125" style="31"/>
    <col min="9985" max="9985" width="17.1640625" style="31" customWidth="1"/>
    <col min="9986" max="9987" width="14.83203125" style="31" customWidth="1"/>
    <col min="9988" max="9988" width="13" style="31" customWidth="1"/>
    <col min="9989" max="9989" width="12.5" style="31" customWidth="1"/>
    <col min="9990" max="9990" width="12.1640625" style="31" customWidth="1"/>
    <col min="9991" max="9991" width="10" style="31" customWidth="1"/>
    <col min="9992" max="9993" width="11.5" style="31" customWidth="1"/>
    <col min="9994" max="9994" width="22.1640625" style="31" customWidth="1"/>
    <col min="9995" max="9995" width="11.1640625" style="31" customWidth="1"/>
    <col min="9996" max="9996" width="10.33203125" style="31" customWidth="1"/>
    <col min="9997" max="10002" width="9.33203125" style="31" customWidth="1"/>
    <col min="10003" max="10003" width="10.5" style="31" customWidth="1"/>
    <col min="10004" max="10004" width="11.5" style="31" customWidth="1"/>
    <col min="10005" max="10005" width="6.5" style="31" customWidth="1"/>
    <col min="10006" max="10006" width="11.5" style="31" customWidth="1"/>
    <col min="10007" max="10007" width="12.1640625" style="31" customWidth="1"/>
    <col min="10008" max="10008" width="13.33203125" style="31" customWidth="1"/>
    <col min="10009" max="10021" width="9.33203125" style="31" customWidth="1"/>
    <col min="10022" max="10035" width="8.83203125" style="31"/>
    <col min="10036" max="10036" width="32" style="31" customWidth="1"/>
    <col min="10037" max="10240" width="8.83203125" style="31"/>
    <col min="10241" max="10241" width="17.1640625" style="31" customWidth="1"/>
    <col min="10242" max="10243" width="14.83203125" style="31" customWidth="1"/>
    <col min="10244" max="10244" width="13" style="31" customWidth="1"/>
    <col min="10245" max="10245" width="12.5" style="31" customWidth="1"/>
    <col min="10246" max="10246" width="12.1640625" style="31" customWidth="1"/>
    <col min="10247" max="10247" width="10" style="31" customWidth="1"/>
    <col min="10248" max="10249" width="11.5" style="31" customWidth="1"/>
    <col min="10250" max="10250" width="22.1640625" style="31" customWidth="1"/>
    <col min="10251" max="10251" width="11.1640625" style="31" customWidth="1"/>
    <col min="10252" max="10252" width="10.33203125" style="31" customWidth="1"/>
    <col min="10253" max="10258" width="9.33203125" style="31" customWidth="1"/>
    <col min="10259" max="10259" width="10.5" style="31" customWidth="1"/>
    <col min="10260" max="10260" width="11.5" style="31" customWidth="1"/>
    <col min="10261" max="10261" width="6.5" style="31" customWidth="1"/>
    <col min="10262" max="10262" width="11.5" style="31" customWidth="1"/>
    <col min="10263" max="10263" width="12.1640625" style="31" customWidth="1"/>
    <col min="10264" max="10264" width="13.33203125" style="31" customWidth="1"/>
    <col min="10265" max="10277" width="9.33203125" style="31" customWidth="1"/>
    <col min="10278" max="10291" width="8.83203125" style="31"/>
    <col min="10292" max="10292" width="32" style="31" customWidth="1"/>
    <col min="10293" max="10496" width="8.83203125" style="31"/>
    <col min="10497" max="10497" width="17.1640625" style="31" customWidth="1"/>
    <col min="10498" max="10499" width="14.83203125" style="31" customWidth="1"/>
    <col min="10500" max="10500" width="13" style="31" customWidth="1"/>
    <col min="10501" max="10501" width="12.5" style="31" customWidth="1"/>
    <col min="10502" max="10502" width="12.1640625" style="31" customWidth="1"/>
    <col min="10503" max="10503" width="10" style="31" customWidth="1"/>
    <col min="10504" max="10505" width="11.5" style="31" customWidth="1"/>
    <col min="10506" max="10506" width="22.1640625" style="31" customWidth="1"/>
    <col min="10507" max="10507" width="11.1640625" style="31" customWidth="1"/>
    <col min="10508" max="10508" width="10.33203125" style="31" customWidth="1"/>
    <col min="10509" max="10514" width="9.33203125" style="31" customWidth="1"/>
    <col min="10515" max="10515" width="10.5" style="31" customWidth="1"/>
    <col min="10516" max="10516" width="11.5" style="31" customWidth="1"/>
    <col min="10517" max="10517" width="6.5" style="31" customWidth="1"/>
    <col min="10518" max="10518" width="11.5" style="31" customWidth="1"/>
    <col min="10519" max="10519" width="12.1640625" style="31" customWidth="1"/>
    <col min="10520" max="10520" width="13.33203125" style="31" customWidth="1"/>
    <col min="10521" max="10533" width="9.33203125" style="31" customWidth="1"/>
    <col min="10534" max="10547" width="8.83203125" style="31"/>
    <col min="10548" max="10548" width="32" style="31" customWidth="1"/>
    <col min="10549" max="10752" width="8.83203125" style="31"/>
    <col min="10753" max="10753" width="17.1640625" style="31" customWidth="1"/>
    <col min="10754" max="10755" width="14.83203125" style="31" customWidth="1"/>
    <col min="10756" max="10756" width="13" style="31" customWidth="1"/>
    <col min="10757" max="10757" width="12.5" style="31" customWidth="1"/>
    <col min="10758" max="10758" width="12.1640625" style="31" customWidth="1"/>
    <col min="10759" max="10759" width="10" style="31" customWidth="1"/>
    <col min="10760" max="10761" width="11.5" style="31" customWidth="1"/>
    <col min="10762" max="10762" width="22.1640625" style="31" customWidth="1"/>
    <col min="10763" max="10763" width="11.1640625" style="31" customWidth="1"/>
    <col min="10764" max="10764" width="10.33203125" style="31" customWidth="1"/>
    <col min="10765" max="10770" width="9.33203125" style="31" customWidth="1"/>
    <col min="10771" max="10771" width="10.5" style="31" customWidth="1"/>
    <col min="10772" max="10772" width="11.5" style="31" customWidth="1"/>
    <col min="10773" max="10773" width="6.5" style="31" customWidth="1"/>
    <col min="10774" max="10774" width="11.5" style="31" customWidth="1"/>
    <col min="10775" max="10775" width="12.1640625" style="31" customWidth="1"/>
    <col min="10776" max="10776" width="13.33203125" style="31" customWidth="1"/>
    <col min="10777" max="10789" width="9.33203125" style="31" customWidth="1"/>
    <col min="10790" max="10803" width="8.83203125" style="31"/>
    <col min="10804" max="10804" width="32" style="31" customWidth="1"/>
    <col min="10805" max="11008" width="8.83203125" style="31"/>
    <col min="11009" max="11009" width="17.1640625" style="31" customWidth="1"/>
    <col min="11010" max="11011" width="14.83203125" style="31" customWidth="1"/>
    <col min="11012" max="11012" width="13" style="31" customWidth="1"/>
    <col min="11013" max="11013" width="12.5" style="31" customWidth="1"/>
    <col min="11014" max="11014" width="12.1640625" style="31" customWidth="1"/>
    <col min="11015" max="11015" width="10" style="31" customWidth="1"/>
    <col min="11016" max="11017" width="11.5" style="31" customWidth="1"/>
    <col min="11018" max="11018" width="22.1640625" style="31" customWidth="1"/>
    <col min="11019" max="11019" width="11.1640625" style="31" customWidth="1"/>
    <col min="11020" max="11020" width="10.33203125" style="31" customWidth="1"/>
    <col min="11021" max="11026" width="9.33203125" style="31" customWidth="1"/>
    <col min="11027" max="11027" width="10.5" style="31" customWidth="1"/>
    <col min="11028" max="11028" width="11.5" style="31" customWidth="1"/>
    <col min="11029" max="11029" width="6.5" style="31" customWidth="1"/>
    <col min="11030" max="11030" width="11.5" style="31" customWidth="1"/>
    <col min="11031" max="11031" width="12.1640625" style="31" customWidth="1"/>
    <col min="11032" max="11032" width="13.33203125" style="31" customWidth="1"/>
    <col min="11033" max="11045" width="9.33203125" style="31" customWidth="1"/>
    <col min="11046" max="11059" width="8.83203125" style="31"/>
    <col min="11060" max="11060" width="32" style="31" customWidth="1"/>
    <col min="11061" max="11264" width="8.83203125" style="31"/>
    <col min="11265" max="11265" width="17.1640625" style="31" customWidth="1"/>
    <col min="11266" max="11267" width="14.83203125" style="31" customWidth="1"/>
    <col min="11268" max="11268" width="13" style="31" customWidth="1"/>
    <col min="11269" max="11269" width="12.5" style="31" customWidth="1"/>
    <col min="11270" max="11270" width="12.1640625" style="31" customWidth="1"/>
    <col min="11271" max="11271" width="10" style="31" customWidth="1"/>
    <col min="11272" max="11273" width="11.5" style="31" customWidth="1"/>
    <col min="11274" max="11274" width="22.1640625" style="31" customWidth="1"/>
    <col min="11275" max="11275" width="11.1640625" style="31" customWidth="1"/>
    <col min="11276" max="11276" width="10.33203125" style="31" customWidth="1"/>
    <col min="11277" max="11282" width="9.33203125" style="31" customWidth="1"/>
    <col min="11283" max="11283" width="10.5" style="31" customWidth="1"/>
    <col min="11284" max="11284" width="11.5" style="31" customWidth="1"/>
    <col min="11285" max="11285" width="6.5" style="31" customWidth="1"/>
    <col min="11286" max="11286" width="11.5" style="31" customWidth="1"/>
    <col min="11287" max="11287" width="12.1640625" style="31" customWidth="1"/>
    <col min="11288" max="11288" width="13.33203125" style="31" customWidth="1"/>
    <col min="11289" max="11301" width="9.33203125" style="31" customWidth="1"/>
    <col min="11302" max="11315" width="8.83203125" style="31"/>
    <col min="11316" max="11316" width="32" style="31" customWidth="1"/>
    <col min="11317" max="11520" width="8.83203125" style="31"/>
    <col min="11521" max="11521" width="17.1640625" style="31" customWidth="1"/>
    <col min="11522" max="11523" width="14.83203125" style="31" customWidth="1"/>
    <col min="11524" max="11524" width="13" style="31" customWidth="1"/>
    <col min="11525" max="11525" width="12.5" style="31" customWidth="1"/>
    <col min="11526" max="11526" width="12.1640625" style="31" customWidth="1"/>
    <col min="11527" max="11527" width="10" style="31" customWidth="1"/>
    <col min="11528" max="11529" width="11.5" style="31" customWidth="1"/>
    <col min="11530" max="11530" width="22.1640625" style="31" customWidth="1"/>
    <col min="11531" max="11531" width="11.1640625" style="31" customWidth="1"/>
    <col min="11532" max="11532" width="10.33203125" style="31" customWidth="1"/>
    <col min="11533" max="11538" width="9.33203125" style="31" customWidth="1"/>
    <col min="11539" max="11539" width="10.5" style="31" customWidth="1"/>
    <col min="11540" max="11540" width="11.5" style="31" customWidth="1"/>
    <col min="11541" max="11541" width="6.5" style="31" customWidth="1"/>
    <col min="11542" max="11542" width="11.5" style="31" customWidth="1"/>
    <col min="11543" max="11543" width="12.1640625" style="31" customWidth="1"/>
    <col min="11544" max="11544" width="13.33203125" style="31" customWidth="1"/>
    <col min="11545" max="11557" width="9.33203125" style="31" customWidth="1"/>
    <col min="11558" max="11571" width="8.83203125" style="31"/>
    <col min="11572" max="11572" width="32" style="31" customWidth="1"/>
    <col min="11573" max="11776" width="8.83203125" style="31"/>
    <col min="11777" max="11777" width="17.1640625" style="31" customWidth="1"/>
    <col min="11778" max="11779" width="14.83203125" style="31" customWidth="1"/>
    <col min="11780" max="11780" width="13" style="31" customWidth="1"/>
    <col min="11781" max="11781" width="12.5" style="31" customWidth="1"/>
    <col min="11782" max="11782" width="12.1640625" style="31" customWidth="1"/>
    <col min="11783" max="11783" width="10" style="31" customWidth="1"/>
    <col min="11784" max="11785" width="11.5" style="31" customWidth="1"/>
    <col min="11786" max="11786" width="22.1640625" style="31" customWidth="1"/>
    <col min="11787" max="11787" width="11.1640625" style="31" customWidth="1"/>
    <col min="11788" max="11788" width="10.33203125" style="31" customWidth="1"/>
    <col min="11789" max="11794" width="9.33203125" style="31" customWidth="1"/>
    <col min="11795" max="11795" width="10.5" style="31" customWidth="1"/>
    <col min="11796" max="11796" width="11.5" style="31" customWidth="1"/>
    <col min="11797" max="11797" width="6.5" style="31" customWidth="1"/>
    <col min="11798" max="11798" width="11.5" style="31" customWidth="1"/>
    <col min="11799" max="11799" width="12.1640625" style="31" customWidth="1"/>
    <col min="11800" max="11800" width="13.33203125" style="31" customWidth="1"/>
    <col min="11801" max="11813" width="9.33203125" style="31" customWidth="1"/>
    <col min="11814" max="11827" width="8.83203125" style="31"/>
    <col min="11828" max="11828" width="32" style="31" customWidth="1"/>
    <col min="11829" max="12032" width="8.83203125" style="31"/>
    <col min="12033" max="12033" width="17.1640625" style="31" customWidth="1"/>
    <col min="12034" max="12035" width="14.83203125" style="31" customWidth="1"/>
    <col min="12036" max="12036" width="13" style="31" customWidth="1"/>
    <col min="12037" max="12037" width="12.5" style="31" customWidth="1"/>
    <col min="12038" max="12038" width="12.1640625" style="31" customWidth="1"/>
    <col min="12039" max="12039" width="10" style="31" customWidth="1"/>
    <col min="12040" max="12041" width="11.5" style="31" customWidth="1"/>
    <col min="12042" max="12042" width="22.1640625" style="31" customWidth="1"/>
    <col min="12043" max="12043" width="11.1640625" style="31" customWidth="1"/>
    <col min="12044" max="12044" width="10.33203125" style="31" customWidth="1"/>
    <col min="12045" max="12050" width="9.33203125" style="31" customWidth="1"/>
    <col min="12051" max="12051" width="10.5" style="31" customWidth="1"/>
    <col min="12052" max="12052" width="11.5" style="31" customWidth="1"/>
    <col min="12053" max="12053" width="6.5" style="31" customWidth="1"/>
    <col min="12054" max="12054" width="11.5" style="31" customWidth="1"/>
    <col min="12055" max="12055" width="12.1640625" style="31" customWidth="1"/>
    <col min="12056" max="12056" width="13.33203125" style="31" customWidth="1"/>
    <col min="12057" max="12069" width="9.33203125" style="31" customWidth="1"/>
    <col min="12070" max="12083" width="8.83203125" style="31"/>
    <col min="12084" max="12084" width="32" style="31" customWidth="1"/>
    <col min="12085" max="12288" width="8.83203125" style="31"/>
    <col min="12289" max="12289" width="17.1640625" style="31" customWidth="1"/>
    <col min="12290" max="12291" width="14.83203125" style="31" customWidth="1"/>
    <col min="12292" max="12292" width="13" style="31" customWidth="1"/>
    <col min="12293" max="12293" width="12.5" style="31" customWidth="1"/>
    <col min="12294" max="12294" width="12.1640625" style="31" customWidth="1"/>
    <col min="12295" max="12295" width="10" style="31" customWidth="1"/>
    <col min="12296" max="12297" width="11.5" style="31" customWidth="1"/>
    <col min="12298" max="12298" width="22.1640625" style="31" customWidth="1"/>
    <col min="12299" max="12299" width="11.1640625" style="31" customWidth="1"/>
    <col min="12300" max="12300" width="10.33203125" style="31" customWidth="1"/>
    <col min="12301" max="12306" width="9.33203125" style="31" customWidth="1"/>
    <col min="12307" max="12307" width="10.5" style="31" customWidth="1"/>
    <col min="12308" max="12308" width="11.5" style="31" customWidth="1"/>
    <col min="12309" max="12309" width="6.5" style="31" customWidth="1"/>
    <col min="12310" max="12310" width="11.5" style="31" customWidth="1"/>
    <col min="12311" max="12311" width="12.1640625" style="31" customWidth="1"/>
    <col min="12312" max="12312" width="13.33203125" style="31" customWidth="1"/>
    <col min="12313" max="12325" width="9.33203125" style="31" customWidth="1"/>
    <col min="12326" max="12339" width="8.83203125" style="31"/>
    <col min="12340" max="12340" width="32" style="31" customWidth="1"/>
    <col min="12341" max="12544" width="8.83203125" style="31"/>
    <col min="12545" max="12545" width="17.1640625" style="31" customWidth="1"/>
    <col min="12546" max="12547" width="14.83203125" style="31" customWidth="1"/>
    <col min="12548" max="12548" width="13" style="31" customWidth="1"/>
    <col min="12549" max="12549" width="12.5" style="31" customWidth="1"/>
    <col min="12550" max="12550" width="12.1640625" style="31" customWidth="1"/>
    <col min="12551" max="12551" width="10" style="31" customWidth="1"/>
    <col min="12552" max="12553" width="11.5" style="31" customWidth="1"/>
    <col min="12554" max="12554" width="22.1640625" style="31" customWidth="1"/>
    <col min="12555" max="12555" width="11.1640625" style="31" customWidth="1"/>
    <col min="12556" max="12556" width="10.33203125" style="31" customWidth="1"/>
    <col min="12557" max="12562" width="9.33203125" style="31" customWidth="1"/>
    <col min="12563" max="12563" width="10.5" style="31" customWidth="1"/>
    <col min="12564" max="12564" width="11.5" style="31" customWidth="1"/>
    <col min="12565" max="12565" width="6.5" style="31" customWidth="1"/>
    <col min="12566" max="12566" width="11.5" style="31" customWidth="1"/>
    <col min="12567" max="12567" width="12.1640625" style="31" customWidth="1"/>
    <col min="12568" max="12568" width="13.33203125" style="31" customWidth="1"/>
    <col min="12569" max="12581" width="9.33203125" style="31" customWidth="1"/>
    <col min="12582" max="12595" width="8.83203125" style="31"/>
    <col min="12596" max="12596" width="32" style="31" customWidth="1"/>
    <col min="12597" max="12800" width="8.83203125" style="31"/>
    <col min="12801" max="12801" width="17.1640625" style="31" customWidth="1"/>
    <col min="12802" max="12803" width="14.83203125" style="31" customWidth="1"/>
    <col min="12804" max="12804" width="13" style="31" customWidth="1"/>
    <col min="12805" max="12805" width="12.5" style="31" customWidth="1"/>
    <col min="12806" max="12806" width="12.1640625" style="31" customWidth="1"/>
    <col min="12807" max="12807" width="10" style="31" customWidth="1"/>
    <col min="12808" max="12809" width="11.5" style="31" customWidth="1"/>
    <col min="12810" max="12810" width="22.1640625" style="31" customWidth="1"/>
    <col min="12811" max="12811" width="11.1640625" style="31" customWidth="1"/>
    <col min="12812" max="12812" width="10.33203125" style="31" customWidth="1"/>
    <col min="12813" max="12818" width="9.33203125" style="31" customWidth="1"/>
    <col min="12819" max="12819" width="10.5" style="31" customWidth="1"/>
    <col min="12820" max="12820" width="11.5" style="31" customWidth="1"/>
    <col min="12821" max="12821" width="6.5" style="31" customWidth="1"/>
    <col min="12822" max="12822" width="11.5" style="31" customWidth="1"/>
    <col min="12823" max="12823" width="12.1640625" style="31" customWidth="1"/>
    <col min="12824" max="12824" width="13.33203125" style="31" customWidth="1"/>
    <col min="12825" max="12837" width="9.33203125" style="31" customWidth="1"/>
    <col min="12838" max="12851" width="8.83203125" style="31"/>
    <col min="12852" max="12852" width="32" style="31" customWidth="1"/>
    <col min="12853" max="13056" width="8.83203125" style="31"/>
    <col min="13057" max="13057" width="17.1640625" style="31" customWidth="1"/>
    <col min="13058" max="13059" width="14.83203125" style="31" customWidth="1"/>
    <col min="13060" max="13060" width="13" style="31" customWidth="1"/>
    <col min="13061" max="13061" width="12.5" style="31" customWidth="1"/>
    <col min="13062" max="13062" width="12.1640625" style="31" customWidth="1"/>
    <col min="13063" max="13063" width="10" style="31" customWidth="1"/>
    <col min="13064" max="13065" width="11.5" style="31" customWidth="1"/>
    <col min="13066" max="13066" width="22.1640625" style="31" customWidth="1"/>
    <col min="13067" max="13067" width="11.1640625" style="31" customWidth="1"/>
    <col min="13068" max="13068" width="10.33203125" style="31" customWidth="1"/>
    <col min="13069" max="13074" width="9.33203125" style="31" customWidth="1"/>
    <col min="13075" max="13075" width="10.5" style="31" customWidth="1"/>
    <col min="13076" max="13076" width="11.5" style="31" customWidth="1"/>
    <col min="13077" max="13077" width="6.5" style="31" customWidth="1"/>
    <col min="13078" max="13078" width="11.5" style="31" customWidth="1"/>
    <col min="13079" max="13079" width="12.1640625" style="31" customWidth="1"/>
    <col min="13080" max="13080" width="13.33203125" style="31" customWidth="1"/>
    <col min="13081" max="13093" width="9.33203125" style="31" customWidth="1"/>
    <col min="13094" max="13107" width="8.83203125" style="31"/>
    <col min="13108" max="13108" width="32" style="31" customWidth="1"/>
    <col min="13109" max="13312" width="8.83203125" style="31"/>
    <col min="13313" max="13313" width="17.1640625" style="31" customWidth="1"/>
    <col min="13314" max="13315" width="14.83203125" style="31" customWidth="1"/>
    <col min="13316" max="13316" width="13" style="31" customWidth="1"/>
    <col min="13317" max="13317" width="12.5" style="31" customWidth="1"/>
    <col min="13318" max="13318" width="12.1640625" style="31" customWidth="1"/>
    <col min="13319" max="13319" width="10" style="31" customWidth="1"/>
    <col min="13320" max="13321" width="11.5" style="31" customWidth="1"/>
    <col min="13322" max="13322" width="22.1640625" style="31" customWidth="1"/>
    <col min="13323" max="13323" width="11.1640625" style="31" customWidth="1"/>
    <col min="13324" max="13324" width="10.33203125" style="31" customWidth="1"/>
    <col min="13325" max="13330" width="9.33203125" style="31" customWidth="1"/>
    <col min="13331" max="13331" width="10.5" style="31" customWidth="1"/>
    <col min="13332" max="13332" width="11.5" style="31" customWidth="1"/>
    <col min="13333" max="13333" width="6.5" style="31" customWidth="1"/>
    <col min="13334" max="13334" width="11.5" style="31" customWidth="1"/>
    <col min="13335" max="13335" width="12.1640625" style="31" customWidth="1"/>
    <col min="13336" max="13336" width="13.33203125" style="31" customWidth="1"/>
    <col min="13337" max="13349" width="9.33203125" style="31" customWidth="1"/>
    <col min="13350" max="13363" width="8.83203125" style="31"/>
    <col min="13364" max="13364" width="32" style="31" customWidth="1"/>
    <col min="13365" max="13568" width="8.83203125" style="31"/>
    <col min="13569" max="13569" width="17.1640625" style="31" customWidth="1"/>
    <col min="13570" max="13571" width="14.83203125" style="31" customWidth="1"/>
    <col min="13572" max="13572" width="13" style="31" customWidth="1"/>
    <col min="13573" max="13573" width="12.5" style="31" customWidth="1"/>
    <col min="13574" max="13574" width="12.1640625" style="31" customWidth="1"/>
    <col min="13575" max="13575" width="10" style="31" customWidth="1"/>
    <col min="13576" max="13577" width="11.5" style="31" customWidth="1"/>
    <col min="13578" max="13578" width="22.1640625" style="31" customWidth="1"/>
    <col min="13579" max="13579" width="11.1640625" style="31" customWidth="1"/>
    <col min="13580" max="13580" width="10.33203125" style="31" customWidth="1"/>
    <col min="13581" max="13586" width="9.33203125" style="31" customWidth="1"/>
    <col min="13587" max="13587" width="10.5" style="31" customWidth="1"/>
    <col min="13588" max="13588" width="11.5" style="31" customWidth="1"/>
    <col min="13589" max="13589" width="6.5" style="31" customWidth="1"/>
    <col min="13590" max="13590" width="11.5" style="31" customWidth="1"/>
    <col min="13591" max="13591" width="12.1640625" style="31" customWidth="1"/>
    <col min="13592" max="13592" width="13.33203125" style="31" customWidth="1"/>
    <col min="13593" max="13605" width="9.33203125" style="31" customWidth="1"/>
    <col min="13606" max="13619" width="8.83203125" style="31"/>
    <col min="13620" max="13620" width="32" style="31" customWidth="1"/>
    <col min="13621" max="13824" width="8.83203125" style="31"/>
    <col min="13825" max="13825" width="17.1640625" style="31" customWidth="1"/>
    <col min="13826" max="13827" width="14.83203125" style="31" customWidth="1"/>
    <col min="13828" max="13828" width="13" style="31" customWidth="1"/>
    <col min="13829" max="13829" width="12.5" style="31" customWidth="1"/>
    <col min="13830" max="13830" width="12.1640625" style="31" customWidth="1"/>
    <col min="13831" max="13831" width="10" style="31" customWidth="1"/>
    <col min="13832" max="13833" width="11.5" style="31" customWidth="1"/>
    <col min="13834" max="13834" width="22.1640625" style="31" customWidth="1"/>
    <col min="13835" max="13835" width="11.1640625" style="31" customWidth="1"/>
    <col min="13836" max="13836" width="10.33203125" style="31" customWidth="1"/>
    <col min="13837" max="13842" width="9.33203125" style="31" customWidth="1"/>
    <col min="13843" max="13843" width="10.5" style="31" customWidth="1"/>
    <col min="13844" max="13844" width="11.5" style="31" customWidth="1"/>
    <col min="13845" max="13845" width="6.5" style="31" customWidth="1"/>
    <col min="13846" max="13846" width="11.5" style="31" customWidth="1"/>
    <col min="13847" max="13847" width="12.1640625" style="31" customWidth="1"/>
    <col min="13848" max="13848" width="13.33203125" style="31" customWidth="1"/>
    <col min="13849" max="13861" width="9.33203125" style="31" customWidth="1"/>
    <col min="13862" max="13875" width="8.83203125" style="31"/>
    <col min="13876" max="13876" width="32" style="31" customWidth="1"/>
    <col min="13877" max="14080" width="8.83203125" style="31"/>
    <col min="14081" max="14081" width="17.1640625" style="31" customWidth="1"/>
    <col min="14082" max="14083" width="14.83203125" style="31" customWidth="1"/>
    <col min="14084" max="14084" width="13" style="31" customWidth="1"/>
    <col min="14085" max="14085" width="12.5" style="31" customWidth="1"/>
    <col min="14086" max="14086" width="12.1640625" style="31" customWidth="1"/>
    <col min="14087" max="14087" width="10" style="31" customWidth="1"/>
    <col min="14088" max="14089" width="11.5" style="31" customWidth="1"/>
    <col min="14090" max="14090" width="22.1640625" style="31" customWidth="1"/>
    <col min="14091" max="14091" width="11.1640625" style="31" customWidth="1"/>
    <col min="14092" max="14092" width="10.33203125" style="31" customWidth="1"/>
    <col min="14093" max="14098" width="9.33203125" style="31" customWidth="1"/>
    <col min="14099" max="14099" width="10.5" style="31" customWidth="1"/>
    <col min="14100" max="14100" width="11.5" style="31" customWidth="1"/>
    <col min="14101" max="14101" width="6.5" style="31" customWidth="1"/>
    <col min="14102" max="14102" width="11.5" style="31" customWidth="1"/>
    <col min="14103" max="14103" width="12.1640625" style="31" customWidth="1"/>
    <col min="14104" max="14104" width="13.33203125" style="31" customWidth="1"/>
    <col min="14105" max="14117" width="9.33203125" style="31" customWidth="1"/>
    <col min="14118" max="14131" width="8.83203125" style="31"/>
    <col min="14132" max="14132" width="32" style="31" customWidth="1"/>
    <col min="14133" max="14336" width="8.83203125" style="31"/>
    <col min="14337" max="14337" width="17.1640625" style="31" customWidth="1"/>
    <col min="14338" max="14339" width="14.83203125" style="31" customWidth="1"/>
    <col min="14340" max="14340" width="13" style="31" customWidth="1"/>
    <col min="14341" max="14341" width="12.5" style="31" customWidth="1"/>
    <col min="14342" max="14342" width="12.1640625" style="31" customWidth="1"/>
    <col min="14343" max="14343" width="10" style="31" customWidth="1"/>
    <col min="14344" max="14345" width="11.5" style="31" customWidth="1"/>
    <col min="14346" max="14346" width="22.1640625" style="31" customWidth="1"/>
    <col min="14347" max="14347" width="11.1640625" style="31" customWidth="1"/>
    <col min="14348" max="14348" width="10.33203125" style="31" customWidth="1"/>
    <col min="14349" max="14354" width="9.33203125" style="31" customWidth="1"/>
    <col min="14355" max="14355" width="10.5" style="31" customWidth="1"/>
    <col min="14356" max="14356" width="11.5" style="31" customWidth="1"/>
    <col min="14357" max="14357" width="6.5" style="31" customWidth="1"/>
    <col min="14358" max="14358" width="11.5" style="31" customWidth="1"/>
    <col min="14359" max="14359" width="12.1640625" style="31" customWidth="1"/>
    <col min="14360" max="14360" width="13.33203125" style="31" customWidth="1"/>
    <col min="14361" max="14373" width="9.33203125" style="31" customWidth="1"/>
    <col min="14374" max="14387" width="8.83203125" style="31"/>
    <col min="14388" max="14388" width="32" style="31" customWidth="1"/>
    <col min="14389" max="14592" width="8.83203125" style="31"/>
    <col min="14593" max="14593" width="17.1640625" style="31" customWidth="1"/>
    <col min="14594" max="14595" width="14.83203125" style="31" customWidth="1"/>
    <col min="14596" max="14596" width="13" style="31" customWidth="1"/>
    <col min="14597" max="14597" width="12.5" style="31" customWidth="1"/>
    <col min="14598" max="14598" width="12.1640625" style="31" customWidth="1"/>
    <col min="14599" max="14599" width="10" style="31" customWidth="1"/>
    <col min="14600" max="14601" width="11.5" style="31" customWidth="1"/>
    <col min="14602" max="14602" width="22.1640625" style="31" customWidth="1"/>
    <col min="14603" max="14603" width="11.1640625" style="31" customWidth="1"/>
    <col min="14604" max="14604" width="10.33203125" style="31" customWidth="1"/>
    <col min="14605" max="14610" width="9.33203125" style="31" customWidth="1"/>
    <col min="14611" max="14611" width="10.5" style="31" customWidth="1"/>
    <col min="14612" max="14612" width="11.5" style="31" customWidth="1"/>
    <col min="14613" max="14613" width="6.5" style="31" customWidth="1"/>
    <col min="14614" max="14614" width="11.5" style="31" customWidth="1"/>
    <col min="14615" max="14615" width="12.1640625" style="31" customWidth="1"/>
    <col min="14616" max="14616" width="13.33203125" style="31" customWidth="1"/>
    <col min="14617" max="14629" width="9.33203125" style="31" customWidth="1"/>
    <col min="14630" max="14643" width="8.83203125" style="31"/>
    <col min="14644" max="14644" width="32" style="31" customWidth="1"/>
    <col min="14645" max="14848" width="8.83203125" style="31"/>
    <col min="14849" max="14849" width="17.1640625" style="31" customWidth="1"/>
    <col min="14850" max="14851" width="14.83203125" style="31" customWidth="1"/>
    <col min="14852" max="14852" width="13" style="31" customWidth="1"/>
    <col min="14853" max="14853" width="12.5" style="31" customWidth="1"/>
    <col min="14854" max="14854" width="12.1640625" style="31" customWidth="1"/>
    <col min="14855" max="14855" width="10" style="31" customWidth="1"/>
    <col min="14856" max="14857" width="11.5" style="31" customWidth="1"/>
    <col min="14858" max="14858" width="22.1640625" style="31" customWidth="1"/>
    <col min="14859" max="14859" width="11.1640625" style="31" customWidth="1"/>
    <col min="14860" max="14860" width="10.33203125" style="31" customWidth="1"/>
    <col min="14861" max="14866" width="9.33203125" style="31" customWidth="1"/>
    <col min="14867" max="14867" width="10.5" style="31" customWidth="1"/>
    <col min="14868" max="14868" width="11.5" style="31" customWidth="1"/>
    <col min="14869" max="14869" width="6.5" style="31" customWidth="1"/>
    <col min="14870" max="14870" width="11.5" style="31" customWidth="1"/>
    <col min="14871" max="14871" width="12.1640625" style="31" customWidth="1"/>
    <col min="14872" max="14872" width="13.33203125" style="31" customWidth="1"/>
    <col min="14873" max="14885" width="9.33203125" style="31" customWidth="1"/>
    <col min="14886" max="14899" width="8.83203125" style="31"/>
    <col min="14900" max="14900" width="32" style="31" customWidth="1"/>
    <col min="14901" max="15104" width="8.83203125" style="31"/>
    <col min="15105" max="15105" width="17.1640625" style="31" customWidth="1"/>
    <col min="15106" max="15107" width="14.83203125" style="31" customWidth="1"/>
    <col min="15108" max="15108" width="13" style="31" customWidth="1"/>
    <col min="15109" max="15109" width="12.5" style="31" customWidth="1"/>
    <col min="15110" max="15110" width="12.1640625" style="31" customWidth="1"/>
    <col min="15111" max="15111" width="10" style="31" customWidth="1"/>
    <col min="15112" max="15113" width="11.5" style="31" customWidth="1"/>
    <col min="15114" max="15114" width="22.1640625" style="31" customWidth="1"/>
    <col min="15115" max="15115" width="11.1640625" style="31" customWidth="1"/>
    <col min="15116" max="15116" width="10.33203125" style="31" customWidth="1"/>
    <col min="15117" max="15122" width="9.33203125" style="31" customWidth="1"/>
    <col min="15123" max="15123" width="10.5" style="31" customWidth="1"/>
    <col min="15124" max="15124" width="11.5" style="31" customWidth="1"/>
    <col min="15125" max="15125" width="6.5" style="31" customWidth="1"/>
    <col min="15126" max="15126" width="11.5" style="31" customWidth="1"/>
    <col min="15127" max="15127" width="12.1640625" style="31" customWidth="1"/>
    <col min="15128" max="15128" width="13.33203125" style="31" customWidth="1"/>
    <col min="15129" max="15141" width="9.33203125" style="31" customWidth="1"/>
    <col min="15142" max="15155" width="8.83203125" style="31"/>
    <col min="15156" max="15156" width="32" style="31" customWidth="1"/>
    <col min="15157" max="15360" width="8.83203125" style="31"/>
    <col min="15361" max="15361" width="17.1640625" style="31" customWidth="1"/>
    <col min="15362" max="15363" width="14.83203125" style="31" customWidth="1"/>
    <col min="15364" max="15364" width="13" style="31" customWidth="1"/>
    <col min="15365" max="15365" width="12.5" style="31" customWidth="1"/>
    <col min="15366" max="15366" width="12.1640625" style="31" customWidth="1"/>
    <col min="15367" max="15367" width="10" style="31" customWidth="1"/>
    <col min="15368" max="15369" width="11.5" style="31" customWidth="1"/>
    <col min="15370" max="15370" width="22.1640625" style="31" customWidth="1"/>
    <col min="15371" max="15371" width="11.1640625" style="31" customWidth="1"/>
    <col min="15372" max="15372" width="10.33203125" style="31" customWidth="1"/>
    <col min="15373" max="15378" width="9.33203125" style="31" customWidth="1"/>
    <col min="15379" max="15379" width="10.5" style="31" customWidth="1"/>
    <col min="15380" max="15380" width="11.5" style="31" customWidth="1"/>
    <col min="15381" max="15381" width="6.5" style="31" customWidth="1"/>
    <col min="15382" max="15382" width="11.5" style="31" customWidth="1"/>
    <col min="15383" max="15383" width="12.1640625" style="31" customWidth="1"/>
    <col min="15384" max="15384" width="13.33203125" style="31" customWidth="1"/>
    <col min="15385" max="15397" width="9.33203125" style="31" customWidth="1"/>
    <col min="15398" max="15411" width="8.83203125" style="31"/>
    <col min="15412" max="15412" width="32" style="31" customWidth="1"/>
    <col min="15413" max="15616" width="8.83203125" style="31"/>
    <col min="15617" max="15617" width="17.1640625" style="31" customWidth="1"/>
    <col min="15618" max="15619" width="14.83203125" style="31" customWidth="1"/>
    <col min="15620" max="15620" width="13" style="31" customWidth="1"/>
    <col min="15621" max="15621" width="12.5" style="31" customWidth="1"/>
    <col min="15622" max="15622" width="12.1640625" style="31" customWidth="1"/>
    <col min="15623" max="15623" width="10" style="31" customWidth="1"/>
    <col min="15624" max="15625" width="11.5" style="31" customWidth="1"/>
    <col min="15626" max="15626" width="22.1640625" style="31" customWidth="1"/>
    <col min="15627" max="15627" width="11.1640625" style="31" customWidth="1"/>
    <col min="15628" max="15628" width="10.33203125" style="31" customWidth="1"/>
    <col min="15629" max="15634" width="9.33203125" style="31" customWidth="1"/>
    <col min="15635" max="15635" width="10.5" style="31" customWidth="1"/>
    <col min="15636" max="15636" width="11.5" style="31" customWidth="1"/>
    <col min="15637" max="15637" width="6.5" style="31" customWidth="1"/>
    <col min="15638" max="15638" width="11.5" style="31" customWidth="1"/>
    <col min="15639" max="15639" width="12.1640625" style="31" customWidth="1"/>
    <col min="15640" max="15640" width="13.33203125" style="31" customWidth="1"/>
    <col min="15641" max="15653" width="9.33203125" style="31" customWidth="1"/>
    <col min="15654" max="15667" width="8.83203125" style="31"/>
    <col min="15668" max="15668" width="32" style="31" customWidth="1"/>
    <col min="15669" max="15872" width="8.83203125" style="31"/>
    <col min="15873" max="15873" width="17.1640625" style="31" customWidth="1"/>
    <col min="15874" max="15875" width="14.83203125" style="31" customWidth="1"/>
    <col min="15876" max="15876" width="13" style="31" customWidth="1"/>
    <col min="15877" max="15877" width="12.5" style="31" customWidth="1"/>
    <col min="15878" max="15878" width="12.1640625" style="31" customWidth="1"/>
    <col min="15879" max="15879" width="10" style="31" customWidth="1"/>
    <col min="15880" max="15881" width="11.5" style="31" customWidth="1"/>
    <col min="15882" max="15882" width="22.1640625" style="31" customWidth="1"/>
    <col min="15883" max="15883" width="11.1640625" style="31" customWidth="1"/>
    <col min="15884" max="15884" width="10.33203125" style="31" customWidth="1"/>
    <col min="15885" max="15890" width="9.33203125" style="31" customWidth="1"/>
    <col min="15891" max="15891" width="10.5" style="31" customWidth="1"/>
    <col min="15892" max="15892" width="11.5" style="31" customWidth="1"/>
    <col min="15893" max="15893" width="6.5" style="31" customWidth="1"/>
    <col min="15894" max="15894" width="11.5" style="31" customWidth="1"/>
    <col min="15895" max="15895" width="12.1640625" style="31" customWidth="1"/>
    <col min="15896" max="15896" width="13.33203125" style="31" customWidth="1"/>
    <col min="15897" max="15909" width="9.33203125" style="31" customWidth="1"/>
    <col min="15910" max="15923" width="8.83203125" style="31"/>
    <col min="15924" max="15924" width="32" style="31" customWidth="1"/>
    <col min="15925" max="16128" width="8.83203125" style="31"/>
    <col min="16129" max="16129" width="17.1640625" style="31" customWidth="1"/>
    <col min="16130" max="16131" width="14.83203125" style="31" customWidth="1"/>
    <col min="16132" max="16132" width="13" style="31" customWidth="1"/>
    <col min="16133" max="16133" width="12.5" style="31" customWidth="1"/>
    <col min="16134" max="16134" width="12.1640625" style="31" customWidth="1"/>
    <col min="16135" max="16135" width="10" style="31" customWidth="1"/>
    <col min="16136" max="16137" width="11.5" style="31" customWidth="1"/>
    <col min="16138" max="16138" width="22.1640625" style="31" customWidth="1"/>
    <col min="16139" max="16139" width="11.1640625" style="31" customWidth="1"/>
    <col min="16140" max="16140" width="10.33203125" style="31" customWidth="1"/>
    <col min="16141" max="16146" width="9.33203125" style="31" customWidth="1"/>
    <col min="16147" max="16147" width="10.5" style="31" customWidth="1"/>
    <col min="16148" max="16148" width="11.5" style="31" customWidth="1"/>
    <col min="16149" max="16149" width="6.5" style="31" customWidth="1"/>
    <col min="16150" max="16150" width="11.5" style="31" customWidth="1"/>
    <col min="16151" max="16151" width="12.1640625" style="31" customWidth="1"/>
    <col min="16152" max="16152" width="13.33203125" style="31" customWidth="1"/>
    <col min="16153" max="16165" width="9.33203125" style="31" customWidth="1"/>
    <col min="16166" max="16179" width="8.83203125" style="31"/>
    <col min="16180" max="16180" width="32" style="31" customWidth="1"/>
    <col min="16181" max="16384" width="8.83203125" style="31"/>
  </cols>
  <sheetData>
    <row r="1" spans="1:74" ht="16" thickBot="1" x14ac:dyDescent="0.25">
      <c r="A1" s="30" t="s">
        <v>227</v>
      </c>
      <c r="D1" s="30" t="s">
        <v>228</v>
      </c>
      <c r="H1" s="30" t="s">
        <v>229</v>
      </c>
      <c r="N1" s="30" t="s">
        <v>230</v>
      </c>
      <c r="BE1" s="30" t="s">
        <v>231</v>
      </c>
      <c r="BG1" s="30" t="s">
        <v>232</v>
      </c>
      <c r="BK1" s="30">
        <f ca="1">COUNT(BE2:BU2)</f>
        <v>3</v>
      </c>
    </row>
    <row r="2" spans="1:74" ht="16" thickBot="1" x14ac:dyDescent="0.25">
      <c r="D2" s="30" t="s">
        <v>233</v>
      </c>
      <c r="I2" s="30" t="s">
        <v>234</v>
      </c>
      <c r="J2" s="30" t="s">
        <v>235</v>
      </c>
      <c r="K2" s="30" t="s">
        <v>236</v>
      </c>
      <c r="L2" s="30" t="s">
        <v>237</v>
      </c>
      <c r="M2" s="30" t="s">
        <v>238</v>
      </c>
      <c r="BE2" s="32">
        <f t="array" aca="1" ref="BE2:BU6" ca="1">LINEST(INDIRECT(BA7),INDIRECT(BA8),I7,TRUE)</f>
        <v>-317.34601452891985</v>
      </c>
      <c r="BF2" s="33">
        <f ca="1"/>
        <v>-242.48635864028148</v>
      </c>
      <c r="BG2" s="33">
        <f ca="1"/>
        <v>10840.721666666666</v>
      </c>
      <c r="BH2" s="33" t="e">
        <f ca="1"/>
        <v>#N/A</v>
      </c>
      <c r="BI2" s="33" t="e">
        <f ca="1"/>
        <v>#N/A</v>
      </c>
      <c r="BJ2" s="33" t="e">
        <f ca="1"/>
        <v>#N/A</v>
      </c>
      <c r="BK2" s="33" t="e">
        <f ca="1"/>
        <v>#N/A</v>
      </c>
      <c r="BL2" s="33" t="e">
        <f ca="1"/>
        <v>#N/A</v>
      </c>
      <c r="BM2" s="33" t="e">
        <f ca="1"/>
        <v>#N/A</v>
      </c>
      <c r="BN2" s="33" t="e">
        <f ca="1"/>
        <v>#N/A</v>
      </c>
      <c r="BO2" s="33" t="e">
        <f ca="1"/>
        <v>#N/A</v>
      </c>
      <c r="BP2" s="33" t="e">
        <f ca="1"/>
        <v>#N/A</v>
      </c>
      <c r="BQ2" s="33" t="e">
        <f ca="1"/>
        <v>#N/A</v>
      </c>
      <c r="BR2" s="33" t="e">
        <f ca="1"/>
        <v>#N/A</v>
      </c>
      <c r="BS2" s="33" t="e">
        <f ca="1"/>
        <v>#N/A</v>
      </c>
      <c r="BT2" s="33" t="e">
        <f ca="1"/>
        <v>#N/A</v>
      </c>
      <c r="BU2" s="34" t="e">
        <f ca="1"/>
        <v>#N/A</v>
      </c>
    </row>
    <row r="3" spans="1:74" x14ac:dyDescent="0.2">
      <c r="A3" s="63" t="s">
        <v>48</v>
      </c>
      <c r="B3" s="63"/>
      <c r="D3" s="30" t="s">
        <v>239</v>
      </c>
      <c r="H3" s="30" t="s">
        <v>240</v>
      </c>
      <c r="I3" s="41" t="s">
        <v>330</v>
      </c>
      <c r="J3" s="41" t="s">
        <v>244</v>
      </c>
      <c r="L3" s="41">
        <v>17</v>
      </c>
      <c r="M3" s="41">
        <v>28</v>
      </c>
      <c r="P3" s="30" t="s">
        <v>241</v>
      </c>
      <c r="AZ3" s="30" t="s">
        <v>242</v>
      </c>
      <c r="BA3" s="30" t="str">
        <f>"'"&amp;$I3&amp;"'!"&amp;J3&amp;L3</f>
        <v>'Example'!C17</v>
      </c>
      <c r="BE3" s="35">
        <f ca="1"/>
        <v>70.460260087012585</v>
      </c>
      <c r="BF3" s="36">
        <f ca="1"/>
        <v>70.460260087012571</v>
      </c>
      <c r="BG3" s="36">
        <f ca="1"/>
        <v>49.82292771169444</v>
      </c>
      <c r="BH3" s="36" t="e">
        <f ca="1"/>
        <v>#N/A</v>
      </c>
      <c r="BI3" s="36" t="e">
        <f ca="1"/>
        <v>#N/A</v>
      </c>
      <c r="BJ3" s="36" t="e">
        <f ca="1"/>
        <v>#N/A</v>
      </c>
      <c r="BK3" s="36" t="e">
        <f ca="1"/>
        <v>#N/A</v>
      </c>
      <c r="BL3" s="36" t="e">
        <f ca="1"/>
        <v>#N/A</v>
      </c>
      <c r="BM3" s="36" t="e">
        <f ca="1"/>
        <v>#N/A</v>
      </c>
      <c r="BN3" s="36" t="e">
        <f ca="1"/>
        <v>#N/A</v>
      </c>
      <c r="BO3" s="36" t="e">
        <f ca="1"/>
        <v>#N/A</v>
      </c>
      <c r="BP3" s="36" t="e">
        <f ca="1"/>
        <v>#N/A</v>
      </c>
      <c r="BQ3" s="36" t="e">
        <f ca="1"/>
        <v>#N/A</v>
      </c>
      <c r="BR3" s="36" t="e">
        <f ca="1"/>
        <v>#N/A</v>
      </c>
      <c r="BS3" s="36" t="e">
        <f ca="1"/>
        <v>#N/A</v>
      </c>
      <c r="BT3" s="36" t="e">
        <f ca="1"/>
        <v>#N/A</v>
      </c>
      <c r="BU3" s="37" t="e">
        <f ca="1"/>
        <v>#N/A</v>
      </c>
    </row>
    <row r="4" spans="1:74" x14ac:dyDescent="0.2">
      <c r="A4" s="42" t="s">
        <v>49</v>
      </c>
      <c r="B4" s="42">
        <f ca="1">SQRT(B5)</f>
        <v>0.88384114332163932</v>
      </c>
      <c r="H4" s="30" t="s">
        <v>243</v>
      </c>
      <c r="I4" s="43" t="str">
        <f>I3</f>
        <v>Example</v>
      </c>
      <c r="J4" s="41" t="s">
        <v>331</v>
      </c>
      <c r="K4" s="41" t="s">
        <v>62</v>
      </c>
      <c r="L4" s="43">
        <f>L3</f>
        <v>17</v>
      </c>
      <c r="M4" s="43">
        <f>L4+(M3-L3)</f>
        <v>28</v>
      </c>
      <c r="P4" s="30" t="s">
        <v>245</v>
      </c>
      <c r="AZ4" s="30" t="s">
        <v>246</v>
      </c>
      <c r="BA4" s="30" t="str">
        <f>"'"&amp;$I4&amp;"'!"&amp;J4&amp;L4</f>
        <v>'Example'!E17</v>
      </c>
      <c r="BE4" s="35">
        <f ca="1"/>
        <v>0.78117516662810249</v>
      </c>
      <c r="BF4" s="36">
        <f ca="1"/>
        <v>172.59168435697228</v>
      </c>
      <c r="BG4" s="36" t="e">
        <f ca="1"/>
        <v>#N/A</v>
      </c>
      <c r="BH4" s="36" t="e">
        <f ca="1"/>
        <v>#N/A</v>
      </c>
      <c r="BI4" s="36" t="e">
        <f ca="1"/>
        <v>#N/A</v>
      </c>
      <c r="BJ4" s="36" t="e">
        <f ca="1"/>
        <v>#N/A</v>
      </c>
      <c r="BK4" s="36" t="e">
        <f ca="1"/>
        <v>#N/A</v>
      </c>
      <c r="BL4" s="36" t="e">
        <f ca="1"/>
        <v>#N/A</v>
      </c>
      <c r="BM4" s="36" t="e">
        <f ca="1"/>
        <v>#N/A</v>
      </c>
      <c r="BN4" s="36" t="e">
        <f ca="1"/>
        <v>#N/A</v>
      </c>
      <c r="BO4" s="36" t="e">
        <f ca="1"/>
        <v>#N/A</v>
      </c>
      <c r="BP4" s="36" t="e">
        <f ca="1"/>
        <v>#N/A</v>
      </c>
      <c r="BQ4" s="36" t="e">
        <f ca="1"/>
        <v>#N/A</v>
      </c>
      <c r="BR4" s="36" t="e">
        <f ca="1"/>
        <v>#N/A</v>
      </c>
      <c r="BS4" s="36" t="e">
        <f ca="1"/>
        <v>#N/A</v>
      </c>
      <c r="BT4" s="36" t="e">
        <f ca="1"/>
        <v>#N/A</v>
      </c>
      <c r="BU4" s="37" t="e">
        <f ca="1"/>
        <v>#N/A</v>
      </c>
    </row>
    <row r="5" spans="1:74" x14ac:dyDescent="0.2">
      <c r="A5" s="42" t="s">
        <v>50</v>
      </c>
      <c r="B5" s="42">
        <f ca="1">BE4</f>
        <v>0.78117516662810249</v>
      </c>
      <c r="D5" s="30" t="s">
        <v>247</v>
      </c>
      <c r="I5" s="30" t="s">
        <v>248</v>
      </c>
      <c r="P5" s="30" t="s">
        <v>249</v>
      </c>
      <c r="AZ5" s="30" t="s">
        <v>250</v>
      </c>
      <c r="BA5" s="30" t="str">
        <f>"'"&amp;$I4&amp;"'!"&amp;J4&amp;(L4-1)</f>
        <v>'Example'!E16</v>
      </c>
      <c r="BE5" s="35">
        <f ca="1"/>
        <v>16.064393586682886</v>
      </c>
      <c r="BF5" s="36">
        <f ca="1"/>
        <v>9</v>
      </c>
      <c r="BG5" s="36" t="e">
        <f ca="1"/>
        <v>#N/A</v>
      </c>
      <c r="BH5" s="36" t="e">
        <f ca="1"/>
        <v>#N/A</v>
      </c>
      <c r="BI5" s="36" t="e">
        <f ca="1"/>
        <v>#N/A</v>
      </c>
      <c r="BJ5" s="36" t="e">
        <f ca="1"/>
        <v>#N/A</v>
      </c>
      <c r="BK5" s="36" t="e">
        <f ca="1"/>
        <v>#N/A</v>
      </c>
      <c r="BL5" s="36" t="e">
        <f ca="1"/>
        <v>#N/A</v>
      </c>
      <c r="BM5" s="36" t="e">
        <f ca="1"/>
        <v>#N/A</v>
      </c>
      <c r="BN5" s="36" t="e">
        <f ca="1"/>
        <v>#N/A</v>
      </c>
      <c r="BO5" s="36" t="e">
        <f ca="1"/>
        <v>#N/A</v>
      </c>
      <c r="BP5" s="36" t="e">
        <f ca="1"/>
        <v>#N/A</v>
      </c>
      <c r="BQ5" s="36" t="e">
        <f ca="1"/>
        <v>#N/A</v>
      </c>
      <c r="BR5" s="36" t="e">
        <f ca="1"/>
        <v>#N/A</v>
      </c>
      <c r="BS5" s="36" t="e">
        <f ca="1"/>
        <v>#N/A</v>
      </c>
      <c r="BT5" s="36" t="e">
        <f ca="1"/>
        <v>#N/A</v>
      </c>
      <c r="BU5" s="37" t="e">
        <f ca="1"/>
        <v>#N/A</v>
      </c>
    </row>
    <row r="6" spans="1:74" ht="16" thickBot="1" x14ac:dyDescent="0.25">
      <c r="A6" s="42" t="s">
        <v>51</v>
      </c>
      <c r="B6" s="42">
        <f ca="1">1-(1-B5)*(I9-1)/(I9-BE9-1)</f>
        <v>0.73254742587879185</v>
      </c>
      <c r="D6" s="30" t="str">
        <f ca="1">BC12</f>
        <v>Avg. per Day</v>
      </c>
      <c r="I6" s="30" t="s">
        <v>251</v>
      </c>
      <c r="P6" s="30" t="s">
        <v>252</v>
      </c>
      <c r="AZ6" s="30" t="s">
        <v>253</v>
      </c>
      <c r="BA6" s="30" t="str">
        <f>"'"&amp;$I3&amp;"'!"&amp;J3&amp;(L3-1)</f>
        <v>'Example'!C16</v>
      </c>
      <c r="BE6" s="38">
        <f ca="1"/>
        <v>957048.76238407497</v>
      </c>
      <c r="BF6" s="39">
        <f ca="1"/>
        <v>268091.00558259076</v>
      </c>
      <c r="BG6" s="39" t="e">
        <f ca="1"/>
        <v>#N/A</v>
      </c>
      <c r="BH6" s="39" t="e">
        <f ca="1"/>
        <v>#N/A</v>
      </c>
      <c r="BI6" s="39" t="e">
        <f ca="1"/>
        <v>#N/A</v>
      </c>
      <c r="BJ6" s="39" t="e">
        <f ca="1"/>
        <v>#N/A</v>
      </c>
      <c r="BK6" s="39" t="e">
        <f ca="1"/>
        <v>#N/A</v>
      </c>
      <c r="BL6" s="39" t="e">
        <f ca="1"/>
        <v>#N/A</v>
      </c>
      <c r="BM6" s="39" t="e">
        <f ca="1"/>
        <v>#N/A</v>
      </c>
      <c r="BN6" s="39" t="e">
        <f ca="1"/>
        <v>#N/A</v>
      </c>
      <c r="BO6" s="39" t="e">
        <f ca="1"/>
        <v>#N/A</v>
      </c>
      <c r="BP6" s="39" t="e">
        <f ca="1"/>
        <v>#N/A</v>
      </c>
      <c r="BQ6" s="39" t="e">
        <f ca="1"/>
        <v>#N/A</v>
      </c>
      <c r="BR6" s="39" t="e">
        <f ca="1"/>
        <v>#N/A</v>
      </c>
      <c r="BS6" s="39" t="e">
        <f ca="1"/>
        <v>#N/A</v>
      </c>
      <c r="BT6" s="39" t="e">
        <f ca="1"/>
        <v>#N/A</v>
      </c>
      <c r="BU6" s="40" t="e">
        <f ca="1"/>
        <v>#N/A</v>
      </c>
    </row>
    <row r="7" spans="1:74" x14ac:dyDescent="0.2">
      <c r="A7" s="42" t="s">
        <v>52</v>
      </c>
      <c r="B7" s="42">
        <f ca="1">BF4</f>
        <v>172.59168435697228</v>
      </c>
      <c r="I7" s="41">
        <v>1</v>
      </c>
      <c r="P7" s="30" t="s">
        <v>254</v>
      </c>
      <c r="AZ7" s="30" t="s">
        <v>255</v>
      </c>
      <c r="BA7" s="30" t="str">
        <f>BA3&amp;":"&amp;J3&amp;M3</f>
        <v>'Example'!C17:C28</v>
      </c>
    </row>
    <row r="8" spans="1:74" ht="16" thickBot="1" x14ac:dyDescent="0.25">
      <c r="A8" s="44" t="s">
        <v>53</v>
      </c>
      <c r="B8" s="44">
        <f ca="1">I9</f>
        <v>12</v>
      </c>
      <c r="I8" s="30" t="s">
        <v>256</v>
      </c>
      <c r="L8" s="30" t="s">
        <v>257</v>
      </c>
      <c r="AZ8" s="30" t="s">
        <v>258</v>
      </c>
      <c r="BA8" s="30" t="str">
        <f>BA4&amp;":"&amp;K4&amp;M4</f>
        <v>'Example'!E17:F28</v>
      </c>
      <c r="BE8" s="30" t="s">
        <v>259</v>
      </c>
    </row>
    <row r="9" spans="1:74" x14ac:dyDescent="0.2">
      <c r="I9" s="30">
        <f ca="1">ROWS(INDIRECT(BA7))</f>
        <v>12</v>
      </c>
      <c r="L9" s="30">
        <f ca="1">ROWS(INDIRECT(BA8))</f>
        <v>12</v>
      </c>
      <c r="BE9" s="30">
        <f ca="1">COLUMNS(INDIRECT(BA8))</f>
        <v>2</v>
      </c>
    </row>
    <row r="10" spans="1:74" ht="16" thickBot="1" x14ac:dyDescent="0.25">
      <c r="A10" s="30" t="s">
        <v>54</v>
      </c>
      <c r="C10" s="30" t="s">
        <v>260</v>
      </c>
      <c r="I10" s="31">
        <f ca="1">IF(I9=L9,1,0)</f>
        <v>1</v>
      </c>
      <c r="J10" s="30" t="str">
        <f ca="1">IF(I10=0,"DANGER! # of rows in x doesn't match # of rows in y","good: #rows in x and y match")</f>
        <v>good: #rows in x and y match</v>
      </c>
      <c r="BE10" s="30" t="s">
        <v>261</v>
      </c>
    </row>
    <row r="11" spans="1:74" x14ac:dyDescent="0.2">
      <c r="A11" s="45"/>
      <c r="B11" s="45" t="s">
        <v>59</v>
      </c>
      <c r="C11" s="45" t="s">
        <v>60</v>
      </c>
      <c r="D11" s="45" t="s">
        <v>61</v>
      </c>
      <c r="E11" s="45" t="s">
        <v>62</v>
      </c>
      <c r="F11" s="45" t="s">
        <v>63</v>
      </c>
      <c r="I11" s="30" t="s">
        <v>262</v>
      </c>
      <c r="BC11" s="46" t="s">
        <v>263</v>
      </c>
      <c r="BE11" s="30">
        <v>0</v>
      </c>
      <c r="BF11" s="30">
        <v>1</v>
      </c>
      <c r="BG11" s="30">
        <v>2</v>
      </c>
      <c r="BH11" s="30">
        <v>3</v>
      </c>
      <c r="BI11" s="30">
        <v>4</v>
      </c>
      <c r="BJ11" s="30">
        <v>5</v>
      </c>
      <c r="BK11" s="30">
        <v>6</v>
      </c>
      <c r="BL11" s="30">
        <v>7</v>
      </c>
      <c r="BM11" s="30">
        <v>8</v>
      </c>
      <c r="BN11" s="30">
        <v>9</v>
      </c>
      <c r="BO11" s="30">
        <v>10</v>
      </c>
      <c r="BP11" s="30">
        <v>11</v>
      </c>
      <c r="BQ11" s="30">
        <v>12</v>
      </c>
      <c r="BR11" s="30">
        <v>13</v>
      </c>
      <c r="BS11" s="30">
        <v>14</v>
      </c>
      <c r="BT11" s="30">
        <v>15</v>
      </c>
      <c r="BU11" s="30">
        <v>16</v>
      </c>
      <c r="BV11" s="30">
        <v>17</v>
      </c>
    </row>
    <row r="12" spans="1:74" x14ac:dyDescent="0.2">
      <c r="A12" s="42" t="s">
        <v>55</v>
      </c>
      <c r="B12" s="42">
        <f ca="1">B14-B13</f>
        <v>2</v>
      </c>
      <c r="C12" s="42">
        <f ca="1">BE6</f>
        <v>957048.76238407497</v>
      </c>
      <c r="D12" s="42">
        <f ca="1">C12/B12</f>
        <v>478524.38119203749</v>
      </c>
      <c r="E12" s="42">
        <f ca="1">BE5</f>
        <v>16.064393586682886</v>
      </c>
      <c r="F12" s="42">
        <f ca="1">FDIST(E12,B12,B13)</f>
        <v>1.0725924335571702E-3</v>
      </c>
      <c r="I12" s="30">
        <f ca="1">COUNT(A:A)-COUNT(A1:A42)</f>
        <v>12</v>
      </c>
      <c r="BC12" s="30" t="str">
        <f ca="1">OFFSET(INDIRECT(BA6),0,0,1,1)</f>
        <v>Avg. per Day</v>
      </c>
      <c r="BD12" s="30" t="s">
        <v>264</v>
      </c>
      <c r="BE12" s="30" t="s">
        <v>58</v>
      </c>
      <c r="BF12" s="30" t="str">
        <f t="shared" ref="BF12:BV12" ca="1" si="0">IF(BF11&lt;$BK$1,OFFSET(INDIRECT($BA$5),0,BF11-1,1,1),"NA")</f>
        <v>sin</v>
      </c>
      <c r="BG12" s="30" t="str">
        <f t="shared" ca="1" si="0"/>
        <v>cos</v>
      </c>
      <c r="BH12" s="30" t="str">
        <f t="shared" ca="1" si="0"/>
        <v>NA</v>
      </c>
      <c r="BI12" s="30" t="str">
        <f t="shared" ca="1" si="0"/>
        <v>NA</v>
      </c>
      <c r="BJ12" s="30" t="str">
        <f t="shared" ca="1" si="0"/>
        <v>NA</v>
      </c>
      <c r="BK12" s="30" t="str">
        <f t="shared" ca="1" si="0"/>
        <v>NA</v>
      </c>
      <c r="BL12" s="30" t="str">
        <f t="shared" ca="1" si="0"/>
        <v>NA</v>
      </c>
      <c r="BM12" s="30" t="str">
        <f t="shared" ca="1" si="0"/>
        <v>NA</v>
      </c>
      <c r="BN12" s="30" t="str">
        <f t="shared" ca="1" si="0"/>
        <v>NA</v>
      </c>
      <c r="BO12" s="30" t="str">
        <f t="shared" ca="1" si="0"/>
        <v>NA</v>
      </c>
      <c r="BP12" s="30" t="str">
        <f t="shared" ca="1" si="0"/>
        <v>NA</v>
      </c>
      <c r="BQ12" s="30" t="str">
        <f t="shared" ca="1" si="0"/>
        <v>NA</v>
      </c>
      <c r="BR12" s="30" t="str">
        <f t="shared" ca="1" si="0"/>
        <v>NA</v>
      </c>
      <c r="BS12" s="30" t="str">
        <f t="shared" ca="1" si="0"/>
        <v>NA</v>
      </c>
      <c r="BT12" s="30" t="str">
        <f t="shared" ca="1" si="0"/>
        <v>NA</v>
      </c>
      <c r="BU12" s="30" t="str">
        <f t="shared" ca="1" si="0"/>
        <v>NA</v>
      </c>
      <c r="BV12" s="30" t="str">
        <f t="shared" ca="1" si="0"/>
        <v>NA</v>
      </c>
    </row>
    <row r="13" spans="1:74" x14ac:dyDescent="0.2">
      <c r="A13" s="42" t="s">
        <v>56</v>
      </c>
      <c r="B13" s="42">
        <f ca="1">BF5</f>
        <v>9</v>
      </c>
      <c r="C13" s="42">
        <f ca="1">BF6</f>
        <v>268091.00558259076</v>
      </c>
      <c r="D13" s="42">
        <f ca="1">C13/B13</f>
        <v>29787.889509176752</v>
      </c>
      <c r="E13" s="42"/>
      <c r="F13" s="42"/>
      <c r="I13" s="31">
        <f ca="1">IF(I12=I9,1,IF(I12&gt;I9,0.5,0))</f>
        <v>1</v>
      </c>
      <c r="BD13" s="30" t="s">
        <v>265</v>
      </c>
      <c r="BE13" s="30">
        <f t="shared" ref="BE13:BV14" ca="1" si="1">IF(BE$11&lt;$BK$1,OFFSET($BE2,0,$BK$1-BE$11-1,1,1),"NA")</f>
        <v>10840.721666666666</v>
      </c>
      <c r="BF13" s="30">
        <f t="shared" ca="1" si="1"/>
        <v>-242.48635864028148</v>
      </c>
      <c r="BG13" s="30">
        <f t="shared" ca="1" si="1"/>
        <v>-317.34601452891985</v>
      </c>
      <c r="BH13" s="30" t="str">
        <f t="shared" ca="1" si="1"/>
        <v>NA</v>
      </c>
      <c r="BI13" s="30" t="str">
        <f t="shared" ca="1" si="1"/>
        <v>NA</v>
      </c>
      <c r="BJ13" s="30" t="str">
        <f t="shared" ca="1" si="1"/>
        <v>NA</v>
      </c>
      <c r="BK13" s="30" t="str">
        <f t="shared" ca="1" si="1"/>
        <v>NA</v>
      </c>
      <c r="BL13" s="30" t="str">
        <f t="shared" ca="1" si="1"/>
        <v>NA</v>
      </c>
      <c r="BM13" s="30" t="str">
        <f t="shared" ca="1" si="1"/>
        <v>NA</v>
      </c>
      <c r="BN13" s="30" t="str">
        <f t="shared" ca="1" si="1"/>
        <v>NA</v>
      </c>
      <c r="BO13" s="30" t="str">
        <f t="shared" ca="1" si="1"/>
        <v>NA</v>
      </c>
      <c r="BP13" s="30" t="str">
        <f t="shared" ca="1" si="1"/>
        <v>NA</v>
      </c>
      <c r="BQ13" s="30" t="str">
        <f t="shared" ca="1" si="1"/>
        <v>NA</v>
      </c>
      <c r="BR13" s="30" t="str">
        <f t="shared" ca="1" si="1"/>
        <v>NA</v>
      </c>
      <c r="BS13" s="30" t="str">
        <f t="shared" ca="1" si="1"/>
        <v>NA</v>
      </c>
      <c r="BT13" s="30" t="str">
        <f t="shared" ca="1" si="1"/>
        <v>NA</v>
      </c>
      <c r="BU13" s="30" t="str">
        <f t="shared" ca="1" si="1"/>
        <v>NA</v>
      </c>
      <c r="BV13" s="30" t="str">
        <f t="shared" ca="1" si="1"/>
        <v>NA</v>
      </c>
    </row>
    <row r="14" spans="1:74" ht="16" thickBot="1" x14ac:dyDescent="0.25">
      <c r="A14" s="44" t="s">
        <v>57</v>
      </c>
      <c r="B14" s="44">
        <f ca="1">B8-1</f>
        <v>11</v>
      </c>
      <c r="C14" s="44">
        <f ca="1">C12+C13</f>
        <v>1225139.7679666658</v>
      </c>
      <c r="D14" s="44"/>
      <c r="E14" s="44"/>
      <c r="F14" s="44"/>
      <c r="I14" s="30" t="str">
        <f ca="1">IF(I13=0,"DANGER! # rows in residuals is less than # of data points",IF(I13=0.5,"Warning: # rows in residuals is greater than # of data points","good: #rows in residuals is equal to # of data points"))</f>
        <v>good: #rows in residuals is equal to # of data points</v>
      </c>
      <c r="M14" s="30" t="s">
        <v>266</v>
      </c>
      <c r="BD14" s="30" t="s">
        <v>267</v>
      </c>
      <c r="BE14" s="30">
        <f t="shared" ca="1" si="1"/>
        <v>49.82292771169444</v>
      </c>
      <c r="BF14" s="30">
        <f t="shared" ca="1" si="1"/>
        <v>70.460260087012571</v>
      </c>
      <c r="BG14" s="30">
        <f t="shared" ca="1" si="1"/>
        <v>70.460260087012585</v>
      </c>
      <c r="BH14" s="30" t="str">
        <f t="shared" ca="1" si="1"/>
        <v>NA</v>
      </c>
      <c r="BI14" s="30" t="str">
        <f t="shared" ca="1" si="1"/>
        <v>NA</v>
      </c>
      <c r="BJ14" s="30" t="str">
        <f t="shared" ca="1" si="1"/>
        <v>NA</v>
      </c>
      <c r="BK14" s="30" t="str">
        <f t="shared" ca="1" si="1"/>
        <v>NA</v>
      </c>
      <c r="BL14" s="30" t="str">
        <f t="shared" ca="1" si="1"/>
        <v>NA</v>
      </c>
      <c r="BM14" s="30" t="str">
        <f t="shared" ca="1" si="1"/>
        <v>NA</v>
      </c>
      <c r="BN14" s="30" t="str">
        <f t="shared" ca="1" si="1"/>
        <v>NA</v>
      </c>
      <c r="BO14" s="30" t="str">
        <f t="shared" ca="1" si="1"/>
        <v>NA</v>
      </c>
      <c r="BP14" s="30" t="str">
        <f t="shared" ca="1" si="1"/>
        <v>NA</v>
      </c>
      <c r="BQ14" s="30" t="str">
        <f t="shared" ca="1" si="1"/>
        <v>NA</v>
      </c>
      <c r="BR14" s="30" t="str">
        <f t="shared" ca="1" si="1"/>
        <v>NA</v>
      </c>
      <c r="BS14" s="30" t="str">
        <f t="shared" ca="1" si="1"/>
        <v>NA</v>
      </c>
      <c r="BT14" s="30" t="str">
        <f t="shared" ca="1" si="1"/>
        <v>NA</v>
      </c>
      <c r="BU14" s="30" t="str">
        <f t="shared" ca="1" si="1"/>
        <v>NA</v>
      </c>
      <c r="BV14" s="30" t="str">
        <f t="shared" ca="1" si="1"/>
        <v>NA</v>
      </c>
    </row>
    <row r="15" spans="1:74" ht="16" thickBot="1" x14ac:dyDescent="0.25">
      <c r="M15" s="42">
        <v>0</v>
      </c>
      <c r="N15" s="42">
        <v>1</v>
      </c>
      <c r="O15" s="42">
        <v>2</v>
      </c>
      <c r="P15" s="42">
        <v>3</v>
      </c>
      <c r="Q15" s="42">
        <v>4</v>
      </c>
      <c r="R15" s="42">
        <v>5</v>
      </c>
      <c r="S15" s="42">
        <v>6</v>
      </c>
      <c r="T15" s="42">
        <v>7</v>
      </c>
      <c r="U15" s="42">
        <v>8</v>
      </c>
      <c r="V15" s="42">
        <v>9</v>
      </c>
      <c r="W15" s="42">
        <v>10</v>
      </c>
      <c r="X15" s="42">
        <v>11</v>
      </c>
      <c r="Y15" s="42">
        <v>12</v>
      </c>
      <c r="Z15" s="42">
        <v>13</v>
      </c>
      <c r="AA15" s="42">
        <v>14</v>
      </c>
      <c r="AB15" s="42">
        <v>15</v>
      </c>
      <c r="AC15" s="42">
        <v>16</v>
      </c>
      <c r="AD15" s="42">
        <v>17</v>
      </c>
    </row>
    <row r="16" spans="1:74" x14ac:dyDescent="0.2">
      <c r="A16" s="45"/>
      <c r="B16" s="45" t="s">
        <v>64</v>
      </c>
      <c r="C16" s="45" t="s">
        <v>52</v>
      </c>
      <c r="D16" s="45" t="s">
        <v>65</v>
      </c>
      <c r="E16" s="45" t="s">
        <v>66</v>
      </c>
      <c r="F16" s="45" t="s">
        <v>67</v>
      </c>
      <c r="G16" s="45" t="s">
        <v>68</v>
      </c>
      <c r="H16" s="45" t="s">
        <v>268</v>
      </c>
      <c r="I16" s="45" t="s">
        <v>269</v>
      </c>
      <c r="J16" s="47" t="s">
        <v>270</v>
      </c>
      <c r="K16" s="48" t="s">
        <v>271</v>
      </c>
      <c r="M16" s="30" t="str">
        <f ca="1">L17</f>
        <v>Avg. per Day</v>
      </c>
      <c r="N16" s="30" t="str">
        <f ca="1">BF12</f>
        <v>sin</v>
      </c>
      <c r="O16" s="30" t="str">
        <f t="shared" ref="O16:AD16" ca="1" si="2">BG12</f>
        <v>cos</v>
      </c>
      <c r="P16" s="30" t="str">
        <f t="shared" ca="1" si="2"/>
        <v>NA</v>
      </c>
      <c r="Q16" s="30" t="str">
        <f t="shared" ca="1" si="2"/>
        <v>NA</v>
      </c>
      <c r="R16" s="30" t="str">
        <f t="shared" ca="1" si="2"/>
        <v>NA</v>
      </c>
      <c r="S16" s="30" t="str">
        <f t="shared" ca="1" si="2"/>
        <v>NA</v>
      </c>
      <c r="T16" s="30" t="str">
        <f t="shared" ca="1" si="2"/>
        <v>NA</v>
      </c>
      <c r="U16" s="30" t="str">
        <f t="shared" ca="1" si="2"/>
        <v>NA</v>
      </c>
      <c r="V16" s="30" t="str">
        <f t="shared" ca="1" si="2"/>
        <v>NA</v>
      </c>
      <c r="W16" s="30" t="str">
        <f t="shared" ca="1" si="2"/>
        <v>NA</v>
      </c>
      <c r="X16" s="30" t="str">
        <f t="shared" ca="1" si="2"/>
        <v>NA</v>
      </c>
      <c r="Y16" s="30" t="str">
        <f t="shared" ca="1" si="2"/>
        <v>NA</v>
      </c>
      <c r="Z16" s="30" t="str">
        <f t="shared" ca="1" si="2"/>
        <v>NA</v>
      </c>
      <c r="AA16" s="30" t="str">
        <f t="shared" ca="1" si="2"/>
        <v>NA</v>
      </c>
      <c r="AB16" s="30" t="str">
        <f t="shared" ca="1" si="2"/>
        <v>NA</v>
      </c>
      <c r="AC16" s="30" t="str">
        <f t="shared" ca="1" si="2"/>
        <v>NA</v>
      </c>
      <c r="AD16" s="30" t="str">
        <f t="shared" ca="1" si="2"/>
        <v>NA</v>
      </c>
    </row>
    <row r="17" spans="1:28" x14ac:dyDescent="0.2">
      <c r="A17" s="42" t="str">
        <f t="shared" ref="A17:A34" ca="1" si="3">IF($K17&lt;$BK$1,OFFSET($BE$12,0,$K17,1,1),"NA")</f>
        <v>Intercept</v>
      </c>
      <c r="B17" s="42">
        <f t="shared" ref="B17:B34" ca="1" si="4">IF($K17&lt;$BK$1,OFFSET($BE$12,1,$K17,1,1),"NA")</f>
        <v>10840.721666666666</v>
      </c>
      <c r="C17" s="42">
        <f t="shared" ref="C17:C34" ca="1" si="5">IF($K17&lt;$BK$1,OFFSET($BE$12,2,$K17,1,1),"NA")</f>
        <v>49.82292771169444</v>
      </c>
      <c r="D17" s="42">
        <f ca="1">B17/C17</f>
        <v>217.58499880612459</v>
      </c>
      <c r="E17" s="42">
        <f ca="1">TDIST(ABS(D17),$B$8-$BK$1,2)</f>
        <v>4.6544949967570594E-18</v>
      </c>
      <c r="F17" s="49">
        <v>-3.7254574846283717</v>
      </c>
      <c r="G17" s="49">
        <v>24.436173225494855</v>
      </c>
      <c r="H17" s="49">
        <v>-0.92643943666665507</v>
      </c>
      <c r="I17" s="49">
        <v>21.637155177533138</v>
      </c>
      <c r="J17" s="30">
        <f ca="1">IF(ISNUMBER(B17),B17,"")</f>
        <v>10840.721666666666</v>
      </c>
      <c r="K17" s="42">
        <v>0</v>
      </c>
      <c r="L17" s="30" t="str">
        <f ca="1">BC12</f>
        <v>Avg. per Day</v>
      </c>
      <c r="M17" s="30">
        <v>1</v>
      </c>
    </row>
    <row r="18" spans="1:28" x14ac:dyDescent="0.2">
      <c r="A18" s="42" t="str">
        <f t="shared" ca="1" si="3"/>
        <v>sin</v>
      </c>
      <c r="B18" s="42">
        <f t="shared" ca="1" si="4"/>
        <v>-242.48635864028148</v>
      </c>
      <c r="C18" s="42">
        <f t="shared" ca="1" si="5"/>
        <v>70.460260087012571</v>
      </c>
      <c r="D18" s="42">
        <f ca="1">B18/C18</f>
        <v>-3.4414627243900457</v>
      </c>
      <c r="E18" s="42">
        <f t="shared" ref="E18:E34" ca="1" si="6">TDIST(ABS(D18),$B$8-$BK$1,2)</f>
        <v>7.3734558977256526E-3</v>
      </c>
      <c r="F18" s="49">
        <v>1.5260236983227822</v>
      </c>
      <c r="G18" s="49">
        <v>6.2543647303068557</v>
      </c>
      <c r="H18" s="49">
        <v>1.9959791501810402</v>
      </c>
      <c r="I18" s="49">
        <v>5.7844092784485976</v>
      </c>
      <c r="J18" s="30" t="str">
        <f t="shared" ref="J18:J34" ca="1" si="7">IF(ISNUMBER(B18)," + "&amp;B18&amp;"*"&amp;A18,"")</f>
        <v xml:space="preserve"> + -242.486358640281*sin</v>
      </c>
      <c r="K18" s="42">
        <v>1</v>
      </c>
      <c r="L18" s="30" t="str">
        <f ca="1">A18</f>
        <v>sin</v>
      </c>
      <c r="M18" s="30">
        <f t="shared" ref="M18:M34" ca="1" si="8">IF($K18&gt;$BE$9,"NA",CORREL(INDIRECT($BA$7),OFFSET(INDIRECT($BA$4),0,$K18-1,$L$9,1)))</f>
        <v>-0.53662403243436407</v>
      </c>
      <c r="N18" s="30">
        <v>1</v>
      </c>
    </row>
    <row r="19" spans="1:28" x14ac:dyDescent="0.2">
      <c r="A19" s="42" t="str">
        <f t="shared" ca="1" si="3"/>
        <v>cos</v>
      </c>
      <c r="B19" s="42">
        <f t="shared" ca="1" si="4"/>
        <v>-317.34601452891985</v>
      </c>
      <c r="C19" s="42">
        <f t="shared" ca="1" si="5"/>
        <v>70.460260087012585</v>
      </c>
      <c r="D19" s="42">
        <f ca="1">B19/C19</f>
        <v>-4.5039006971734681</v>
      </c>
      <c r="E19" s="42">
        <f t="shared" ca="1" si="6"/>
        <v>1.480625571950877E-3</v>
      </c>
      <c r="F19" s="49">
        <v>-6.1714183107161933</v>
      </c>
      <c r="G19" s="49">
        <v>-1.4735633543659756</v>
      </c>
      <c r="H19" s="49">
        <v>-5.7044929062578547</v>
      </c>
      <c r="I19" s="49">
        <v>-1.9404887588243145</v>
      </c>
      <c r="J19" s="30" t="str">
        <f t="shared" ca="1" si="7"/>
        <v xml:space="preserve"> + -317.34601452892*cos</v>
      </c>
      <c r="K19" s="42">
        <v>2</v>
      </c>
      <c r="L19" s="30" t="str">
        <f t="shared" ref="L19:L34" ca="1" si="9">A19</f>
        <v>cos</v>
      </c>
      <c r="M19" s="30">
        <f t="shared" ca="1" si="8"/>
        <v>-0.70228898214480429</v>
      </c>
      <c r="N19" s="30">
        <f t="shared" ref="N19:X34" ca="1" si="10">IF($K19&gt;$BE$9,"NA",CORREL(OFFSET(INDIRECT($BA$4),0,N$15-1,$L$9,1),OFFSET(INDIRECT($BA$4),0,$K19-1,$L$9,1)))</f>
        <v>-8.3266726846886716E-17</v>
      </c>
      <c r="O19" s="30">
        <v>1</v>
      </c>
    </row>
    <row r="20" spans="1:28" x14ac:dyDescent="0.2">
      <c r="A20" s="42" t="str">
        <f t="shared" ca="1" si="3"/>
        <v>NA</v>
      </c>
      <c r="B20" s="42" t="str">
        <f t="shared" ca="1" si="4"/>
        <v>NA</v>
      </c>
      <c r="C20" s="42" t="str">
        <f t="shared" ca="1" si="5"/>
        <v>NA</v>
      </c>
      <c r="D20" s="42" t="e">
        <f t="shared" ref="D20:D34" ca="1" si="11">B20/C20</f>
        <v>#VALUE!</v>
      </c>
      <c r="E20" s="42" t="e">
        <f t="shared" ca="1" si="6"/>
        <v>#VALUE!</v>
      </c>
      <c r="F20" s="49">
        <v>0</v>
      </c>
      <c r="G20" s="49">
        <v>0</v>
      </c>
      <c r="H20" s="49">
        <v>0</v>
      </c>
      <c r="I20" s="49">
        <v>0</v>
      </c>
      <c r="J20" s="30" t="str">
        <f t="shared" ca="1" si="7"/>
        <v/>
      </c>
      <c r="K20" s="42">
        <v>3</v>
      </c>
      <c r="L20" s="30" t="str">
        <f t="shared" ca="1" si="9"/>
        <v>NA</v>
      </c>
      <c r="M20" s="30" t="str">
        <f t="shared" ca="1" si="8"/>
        <v>NA</v>
      </c>
      <c r="N20" s="30" t="str">
        <f t="shared" ca="1" si="10"/>
        <v>NA</v>
      </c>
      <c r="O20" s="30" t="str">
        <f t="shared" ca="1" si="10"/>
        <v>NA</v>
      </c>
      <c r="P20" s="30">
        <v>1</v>
      </c>
    </row>
    <row r="21" spans="1:28" x14ac:dyDescent="0.2">
      <c r="A21" s="42" t="str">
        <f t="shared" ca="1" si="3"/>
        <v>NA</v>
      </c>
      <c r="B21" s="42" t="str">
        <f t="shared" ca="1" si="4"/>
        <v>NA</v>
      </c>
      <c r="C21" s="42" t="str">
        <f t="shared" ca="1" si="5"/>
        <v>NA</v>
      </c>
      <c r="D21" s="42" t="e">
        <f t="shared" ca="1" si="11"/>
        <v>#VALUE!</v>
      </c>
      <c r="E21" s="42" t="e">
        <f t="shared" ca="1" si="6"/>
        <v>#VALUE!</v>
      </c>
      <c r="F21" s="49">
        <v>0</v>
      </c>
      <c r="G21" s="49">
        <v>0</v>
      </c>
      <c r="H21" s="49">
        <v>0</v>
      </c>
      <c r="I21" s="49">
        <v>0</v>
      </c>
      <c r="J21" s="30" t="str">
        <f t="shared" ca="1" si="7"/>
        <v/>
      </c>
      <c r="K21" s="42">
        <v>4</v>
      </c>
      <c r="L21" s="30" t="str">
        <f t="shared" ca="1" si="9"/>
        <v>NA</v>
      </c>
      <c r="M21" s="30" t="str">
        <f t="shared" ca="1" si="8"/>
        <v>NA</v>
      </c>
      <c r="N21" s="30" t="str">
        <f t="shared" ca="1" si="10"/>
        <v>NA</v>
      </c>
      <c r="O21" s="30" t="str">
        <f t="shared" ca="1" si="10"/>
        <v>NA</v>
      </c>
      <c r="P21" s="30" t="str">
        <f t="shared" ca="1" si="10"/>
        <v>NA</v>
      </c>
      <c r="Q21" s="30">
        <v>1</v>
      </c>
    </row>
    <row r="22" spans="1:28" x14ac:dyDescent="0.2">
      <c r="A22" s="42" t="str">
        <f t="shared" ca="1" si="3"/>
        <v>NA</v>
      </c>
      <c r="B22" s="42" t="str">
        <f t="shared" ca="1" si="4"/>
        <v>NA</v>
      </c>
      <c r="C22" s="42" t="str">
        <f t="shared" ca="1" si="5"/>
        <v>NA</v>
      </c>
      <c r="D22" s="42" t="e">
        <f t="shared" ca="1" si="11"/>
        <v>#VALUE!</v>
      </c>
      <c r="E22" s="42" t="e">
        <f t="shared" ca="1" si="6"/>
        <v>#VALUE!</v>
      </c>
      <c r="F22" s="49">
        <v>0</v>
      </c>
      <c r="G22" s="49">
        <v>0</v>
      </c>
      <c r="H22" s="49">
        <v>0</v>
      </c>
      <c r="I22" s="49">
        <v>0</v>
      </c>
      <c r="J22" s="30" t="str">
        <f t="shared" ca="1" si="7"/>
        <v/>
      </c>
      <c r="K22" s="42">
        <v>5</v>
      </c>
      <c r="L22" s="30" t="str">
        <f t="shared" ca="1" si="9"/>
        <v>NA</v>
      </c>
      <c r="M22" s="30" t="str">
        <f t="shared" ca="1" si="8"/>
        <v>NA</v>
      </c>
      <c r="N22" s="30" t="str">
        <f t="shared" ca="1" si="10"/>
        <v>NA</v>
      </c>
      <c r="O22" s="30" t="str">
        <f t="shared" ca="1" si="10"/>
        <v>NA</v>
      </c>
      <c r="P22" s="30" t="str">
        <f t="shared" ca="1" si="10"/>
        <v>NA</v>
      </c>
      <c r="Q22" s="30" t="str">
        <f t="shared" ca="1" si="10"/>
        <v>NA</v>
      </c>
      <c r="R22" s="30">
        <v>1</v>
      </c>
    </row>
    <row r="23" spans="1:28" x14ac:dyDescent="0.2">
      <c r="A23" s="42" t="str">
        <f t="shared" ca="1" si="3"/>
        <v>NA</v>
      </c>
      <c r="B23" s="42" t="str">
        <f t="shared" ca="1" si="4"/>
        <v>NA</v>
      </c>
      <c r="C23" s="42" t="str">
        <f t="shared" ca="1" si="5"/>
        <v>NA</v>
      </c>
      <c r="D23" s="42" t="e">
        <f t="shared" ca="1" si="11"/>
        <v>#VALUE!</v>
      </c>
      <c r="E23" s="42" t="e">
        <f t="shared" ca="1" si="6"/>
        <v>#VALUE!</v>
      </c>
      <c r="F23" s="49">
        <v>0</v>
      </c>
      <c r="G23" s="49">
        <v>0</v>
      </c>
      <c r="H23" s="49">
        <v>0</v>
      </c>
      <c r="I23" s="49">
        <v>0</v>
      </c>
      <c r="J23" s="30" t="str">
        <f t="shared" ca="1" si="7"/>
        <v/>
      </c>
      <c r="K23" s="42">
        <v>6</v>
      </c>
      <c r="L23" s="30" t="str">
        <f t="shared" ca="1" si="9"/>
        <v>NA</v>
      </c>
      <c r="M23" s="30" t="str">
        <f t="shared" ca="1" si="8"/>
        <v>NA</v>
      </c>
      <c r="N23" s="30" t="str">
        <f t="shared" ca="1" si="10"/>
        <v>NA</v>
      </c>
      <c r="O23" s="30" t="str">
        <f t="shared" ca="1" si="10"/>
        <v>NA</v>
      </c>
      <c r="P23" s="30" t="str">
        <f t="shared" ca="1" si="10"/>
        <v>NA</v>
      </c>
      <c r="Q23" s="30" t="str">
        <f t="shared" ca="1" si="10"/>
        <v>NA</v>
      </c>
      <c r="R23" s="30" t="str">
        <f t="shared" ca="1" si="10"/>
        <v>NA</v>
      </c>
      <c r="S23" s="30">
        <v>1</v>
      </c>
    </row>
    <row r="24" spans="1:28" x14ac:dyDescent="0.2">
      <c r="A24" s="42" t="str">
        <f t="shared" ca="1" si="3"/>
        <v>NA</v>
      </c>
      <c r="B24" s="42" t="str">
        <f t="shared" ca="1" si="4"/>
        <v>NA</v>
      </c>
      <c r="C24" s="42" t="str">
        <f t="shared" ca="1" si="5"/>
        <v>NA</v>
      </c>
      <c r="D24" s="42" t="e">
        <f t="shared" ca="1" si="11"/>
        <v>#VALUE!</v>
      </c>
      <c r="E24" s="42" t="e">
        <f t="shared" ca="1" si="6"/>
        <v>#VALUE!</v>
      </c>
      <c r="F24" s="49">
        <v>0</v>
      </c>
      <c r="G24" s="49">
        <v>0</v>
      </c>
      <c r="H24" s="49">
        <v>0</v>
      </c>
      <c r="I24" s="49">
        <v>0</v>
      </c>
      <c r="J24" s="30" t="str">
        <f t="shared" ca="1" si="7"/>
        <v/>
      </c>
      <c r="K24" s="42">
        <v>7</v>
      </c>
      <c r="L24" s="30" t="str">
        <f t="shared" ca="1" si="9"/>
        <v>NA</v>
      </c>
      <c r="M24" s="30" t="str">
        <f t="shared" ca="1" si="8"/>
        <v>NA</v>
      </c>
      <c r="N24" s="30" t="str">
        <f t="shared" ca="1" si="10"/>
        <v>NA</v>
      </c>
      <c r="O24" s="30" t="str">
        <f t="shared" ca="1" si="10"/>
        <v>NA</v>
      </c>
      <c r="P24" s="30" t="str">
        <f t="shared" ca="1" si="10"/>
        <v>NA</v>
      </c>
      <c r="Q24" s="30" t="str">
        <f t="shared" ca="1" si="10"/>
        <v>NA</v>
      </c>
      <c r="R24" s="30" t="str">
        <f t="shared" ca="1" si="10"/>
        <v>NA</v>
      </c>
      <c r="S24" s="30" t="str">
        <f t="shared" ca="1" si="10"/>
        <v>NA</v>
      </c>
      <c r="T24" s="30">
        <v>1</v>
      </c>
    </row>
    <row r="25" spans="1:28" x14ac:dyDescent="0.2">
      <c r="A25" s="42" t="str">
        <f t="shared" ca="1" si="3"/>
        <v>NA</v>
      </c>
      <c r="B25" s="42" t="str">
        <f t="shared" ca="1" si="4"/>
        <v>NA</v>
      </c>
      <c r="C25" s="42" t="str">
        <f t="shared" ca="1" si="5"/>
        <v>NA</v>
      </c>
      <c r="D25" s="42" t="e">
        <f t="shared" ca="1" si="11"/>
        <v>#VALUE!</v>
      </c>
      <c r="E25" s="42" t="e">
        <f t="shared" ca="1" si="6"/>
        <v>#VALUE!</v>
      </c>
      <c r="F25" s="49">
        <v>0</v>
      </c>
      <c r="G25" s="49">
        <v>0</v>
      </c>
      <c r="H25" s="49">
        <v>0</v>
      </c>
      <c r="I25" s="49">
        <v>0</v>
      </c>
      <c r="J25" s="30" t="str">
        <f t="shared" ca="1" si="7"/>
        <v/>
      </c>
      <c r="K25" s="42">
        <v>8</v>
      </c>
      <c r="L25" s="30" t="str">
        <f t="shared" ca="1" si="9"/>
        <v>NA</v>
      </c>
      <c r="M25" s="30" t="str">
        <f t="shared" ca="1" si="8"/>
        <v>NA</v>
      </c>
      <c r="N25" s="30" t="str">
        <f t="shared" ca="1" si="10"/>
        <v>NA</v>
      </c>
      <c r="O25" s="30" t="str">
        <f t="shared" ca="1" si="10"/>
        <v>NA</v>
      </c>
      <c r="P25" s="30" t="str">
        <f t="shared" ca="1" si="10"/>
        <v>NA</v>
      </c>
      <c r="Q25" s="30" t="str">
        <f t="shared" ca="1" si="10"/>
        <v>NA</v>
      </c>
      <c r="R25" s="30" t="str">
        <f t="shared" ca="1" si="10"/>
        <v>NA</v>
      </c>
      <c r="S25" s="30" t="str">
        <f t="shared" ca="1" si="10"/>
        <v>NA</v>
      </c>
      <c r="T25" s="30" t="str">
        <f t="shared" ca="1" si="10"/>
        <v>NA</v>
      </c>
      <c r="U25" s="30">
        <v>1</v>
      </c>
    </row>
    <row r="26" spans="1:28" x14ac:dyDescent="0.2">
      <c r="A26" s="42" t="str">
        <f t="shared" ca="1" si="3"/>
        <v>NA</v>
      </c>
      <c r="B26" s="42" t="str">
        <f t="shared" ca="1" si="4"/>
        <v>NA</v>
      </c>
      <c r="C26" s="42" t="str">
        <f t="shared" ca="1" si="5"/>
        <v>NA</v>
      </c>
      <c r="D26" s="42" t="e">
        <f t="shared" ca="1" si="11"/>
        <v>#VALUE!</v>
      </c>
      <c r="E26" s="42" t="e">
        <f t="shared" ca="1" si="6"/>
        <v>#VALUE!</v>
      </c>
      <c r="F26" s="49" t="s">
        <v>272</v>
      </c>
      <c r="G26" s="49">
        <v>0</v>
      </c>
      <c r="H26" s="49">
        <v>0</v>
      </c>
      <c r="I26" s="49">
        <v>0</v>
      </c>
      <c r="J26" s="30" t="str">
        <f t="shared" ca="1" si="7"/>
        <v/>
      </c>
      <c r="K26" s="42">
        <v>9</v>
      </c>
      <c r="L26" s="30" t="str">
        <f t="shared" ca="1" si="9"/>
        <v>NA</v>
      </c>
      <c r="M26" s="30" t="str">
        <f t="shared" ca="1" si="8"/>
        <v>NA</v>
      </c>
      <c r="N26" s="30" t="str">
        <f t="shared" ca="1" si="10"/>
        <v>NA</v>
      </c>
      <c r="O26" s="30" t="str">
        <f t="shared" ca="1" si="10"/>
        <v>NA</v>
      </c>
      <c r="P26" s="30" t="str">
        <f t="shared" ca="1" si="10"/>
        <v>NA</v>
      </c>
      <c r="Q26" s="30" t="str">
        <f t="shared" ca="1" si="10"/>
        <v>NA</v>
      </c>
      <c r="R26" s="30" t="str">
        <f t="shared" ca="1" si="10"/>
        <v>NA</v>
      </c>
      <c r="S26" s="30" t="str">
        <f t="shared" ca="1" si="10"/>
        <v>NA</v>
      </c>
      <c r="T26" s="30" t="str">
        <f t="shared" ca="1" si="10"/>
        <v>NA</v>
      </c>
      <c r="U26" s="30" t="str">
        <f t="shared" ca="1" si="10"/>
        <v>NA</v>
      </c>
      <c r="V26" s="30">
        <v>1</v>
      </c>
    </row>
    <row r="27" spans="1:28" x14ac:dyDescent="0.2">
      <c r="A27" s="42" t="str">
        <f t="shared" ca="1" si="3"/>
        <v>NA</v>
      </c>
      <c r="B27" s="42" t="str">
        <f t="shared" ca="1" si="4"/>
        <v>NA</v>
      </c>
      <c r="C27" s="42" t="str">
        <f t="shared" ca="1" si="5"/>
        <v>NA</v>
      </c>
      <c r="D27" s="42" t="e">
        <f t="shared" ca="1" si="11"/>
        <v>#VALUE!</v>
      </c>
      <c r="E27" s="42" t="e">
        <f t="shared" ca="1" si="6"/>
        <v>#VALUE!</v>
      </c>
      <c r="F27" s="49" t="s">
        <v>273</v>
      </c>
      <c r="G27" s="49">
        <v>0</v>
      </c>
      <c r="H27" s="49">
        <v>0</v>
      </c>
      <c r="I27" s="49">
        <v>0</v>
      </c>
      <c r="J27" s="30" t="str">
        <f t="shared" ca="1" si="7"/>
        <v/>
      </c>
      <c r="K27" s="42">
        <v>10</v>
      </c>
      <c r="L27" s="30" t="str">
        <f t="shared" ca="1" si="9"/>
        <v>NA</v>
      </c>
      <c r="M27" s="30" t="str">
        <f t="shared" ca="1" si="8"/>
        <v>NA</v>
      </c>
      <c r="N27" s="30" t="str">
        <f t="shared" ca="1" si="10"/>
        <v>NA</v>
      </c>
      <c r="O27" s="30" t="str">
        <f t="shared" ca="1" si="10"/>
        <v>NA</v>
      </c>
      <c r="P27" s="30" t="str">
        <f t="shared" ca="1" si="10"/>
        <v>NA</v>
      </c>
      <c r="Q27" s="30" t="str">
        <f t="shared" ca="1" si="10"/>
        <v>NA</v>
      </c>
      <c r="R27" s="30" t="str">
        <f t="shared" ca="1" si="10"/>
        <v>NA</v>
      </c>
      <c r="S27" s="30" t="str">
        <f t="shared" ca="1" si="10"/>
        <v>NA</v>
      </c>
      <c r="T27" s="30" t="str">
        <f t="shared" ca="1" si="10"/>
        <v>NA</v>
      </c>
      <c r="U27" s="30" t="str">
        <f t="shared" ca="1" si="10"/>
        <v>NA</v>
      </c>
      <c r="V27" s="30" t="str">
        <f t="shared" ca="1" si="10"/>
        <v>NA</v>
      </c>
      <c r="W27" s="30">
        <v>1</v>
      </c>
    </row>
    <row r="28" spans="1:28" x14ac:dyDescent="0.2">
      <c r="A28" s="42" t="str">
        <f t="shared" ca="1" si="3"/>
        <v>NA</v>
      </c>
      <c r="B28" s="42" t="str">
        <f t="shared" ca="1" si="4"/>
        <v>NA</v>
      </c>
      <c r="C28" s="42" t="str">
        <f t="shared" ca="1" si="5"/>
        <v>NA</v>
      </c>
      <c r="D28" s="42" t="e">
        <f t="shared" ca="1" si="11"/>
        <v>#VALUE!</v>
      </c>
      <c r="E28" s="42" t="e">
        <f t="shared" ca="1" si="6"/>
        <v>#VALUE!</v>
      </c>
      <c r="F28" s="49" t="s">
        <v>274</v>
      </c>
      <c r="G28" s="49">
        <v>0</v>
      </c>
      <c r="H28" s="49">
        <v>0</v>
      </c>
      <c r="I28" s="49">
        <v>0</v>
      </c>
      <c r="J28" s="30" t="str">
        <f t="shared" ca="1" si="7"/>
        <v/>
      </c>
      <c r="K28" s="42">
        <v>11</v>
      </c>
      <c r="L28" s="30" t="str">
        <f t="shared" ca="1" si="9"/>
        <v>NA</v>
      </c>
      <c r="M28" s="30" t="str">
        <f t="shared" ca="1" si="8"/>
        <v>NA</v>
      </c>
      <c r="N28" s="30" t="str">
        <f t="shared" ca="1" si="10"/>
        <v>NA</v>
      </c>
      <c r="O28" s="30" t="str">
        <f t="shared" ca="1" si="10"/>
        <v>NA</v>
      </c>
      <c r="P28" s="30" t="str">
        <f t="shared" ca="1" si="10"/>
        <v>NA</v>
      </c>
      <c r="Q28" s="30" t="str">
        <f t="shared" ca="1" si="10"/>
        <v>NA</v>
      </c>
      <c r="R28" s="30" t="str">
        <f t="shared" ca="1" si="10"/>
        <v>NA</v>
      </c>
      <c r="S28" s="30" t="str">
        <f t="shared" ca="1" si="10"/>
        <v>NA</v>
      </c>
      <c r="T28" s="30" t="str">
        <f t="shared" ca="1" si="10"/>
        <v>NA</v>
      </c>
      <c r="U28" s="30" t="str">
        <f t="shared" ca="1" si="10"/>
        <v>NA</v>
      </c>
      <c r="V28" s="30" t="str">
        <f t="shared" ca="1" si="10"/>
        <v>NA</v>
      </c>
      <c r="W28" s="30" t="str">
        <f t="shared" ca="1" si="10"/>
        <v>NA</v>
      </c>
      <c r="X28" s="30">
        <v>1</v>
      </c>
    </row>
    <row r="29" spans="1:28" x14ac:dyDescent="0.2">
      <c r="A29" s="42" t="str">
        <f t="shared" ca="1" si="3"/>
        <v>NA</v>
      </c>
      <c r="B29" s="42" t="str">
        <f t="shared" ca="1" si="4"/>
        <v>NA</v>
      </c>
      <c r="C29" s="42" t="str">
        <f t="shared" ca="1" si="5"/>
        <v>NA</v>
      </c>
      <c r="D29" s="42" t="e">
        <f t="shared" ca="1" si="11"/>
        <v>#VALUE!</v>
      </c>
      <c r="E29" s="42" t="e">
        <f t="shared" ca="1" si="6"/>
        <v>#VALUE!</v>
      </c>
      <c r="F29" s="49" t="s">
        <v>275</v>
      </c>
      <c r="G29" s="49">
        <v>0</v>
      </c>
      <c r="H29" s="49">
        <v>0</v>
      </c>
      <c r="I29" s="49">
        <v>0</v>
      </c>
      <c r="J29" s="30" t="str">
        <f t="shared" ca="1" si="7"/>
        <v/>
      </c>
      <c r="K29" s="42">
        <v>12</v>
      </c>
      <c r="L29" s="30" t="str">
        <f t="shared" ca="1" si="9"/>
        <v>NA</v>
      </c>
      <c r="M29" s="30" t="str">
        <f t="shared" ca="1" si="8"/>
        <v>NA</v>
      </c>
      <c r="N29" s="30" t="str">
        <f t="shared" ca="1" si="10"/>
        <v>NA</v>
      </c>
      <c r="O29" s="30" t="str">
        <f t="shared" ca="1" si="10"/>
        <v>NA</v>
      </c>
      <c r="P29" s="30" t="str">
        <f t="shared" ca="1" si="10"/>
        <v>NA</v>
      </c>
      <c r="Q29" s="30" t="str">
        <f t="shared" ca="1" si="10"/>
        <v>NA</v>
      </c>
      <c r="R29" s="30" t="str">
        <f t="shared" ca="1" si="10"/>
        <v>NA</v>
      </c>
      <c r="S29" s="30" t="str">
        <f t="shared" ca="1" si="10"/>
        <v>NA</v>
      </c>
      <c r="T29" s="30" t="str">
        <f t="shared" ca="1" si="10"/>
        <v>NA</v>
      </c>
      <c r="U29" s="30" t="str">
        <f t="shared" ca="1" si="10"/>
        <v>NA</v>
      </c>
      <c r="V29" s="30" t="str">
        <f t="shared" ca="1" si="10"/>
        <v>NA</v>
      </c>
      <c r="W29" s="30" t="str">
        <f t="shared" ca="1" si="10"/>
        <v>NA</v>
      </c>
      <c r="X29" s="30" t="str">
        <f t="shared" ca="1" si="10"/>
        <v>NA</v>
      </c>
      <c r="Y29" s="30">
        <v>1</v>
      </c>
    </row>
    <row r="30" spans="1:28" x14ac:dyDescent="0.2">
      <c r="A30" s="42" t="str">
        <f t="shared" ca="1" si="3"/>
        <v>NA</v>
      </c>
      <c r="B30" s="42" t="str">
        <f t="shared" ca="1" si="4"/>
        <v>NA</v>
      </c>
      <c r="C30" s="42" t="str">
        <f t="shared" ca="1" si="5"/>
        <v>NA</v>
      </c>
      <c r="D30" s="42" t="e">
        <f t="shared" ca="1" si="11"/>
        <v>#VALUE!</v>
      </c>
      <c r="E30" s="42" t="e">
        <f t="shared" ca="1" si="6"/>
        <v>#VALUE!</v>
      </c>
      <c r="F30" s="49">
        <v>0</v>
      </c>
      <c r="G30" s="49">
        <v>0</v>
      </c>
      <c r="H30" s="49">
        <v>0</v>
      </c>
      <c r="I30" s="49">
        <v>0</v>
      </c>
      <c r="J30" s="30" t="str">
        <f t="shared" ca="1" si="7"/>
        <v/>
      </c>
      <c r="K30" s="42">
        <v>13</v>
      </c>
      <c r="L30" s="30" t="str">
        <f t="shared" ca="1" si="9"/>
        <v>NA</v>
      </c>
      <c r="M30" s="30" t="str">
        <f t="shared" ca="1" si="8"/>
        <v>NA</v>
      </c>
      <c r="N30" s="30" t="str">
        <f t="shared" ca="1" si="10"/>
        <v>NA</v>
      </c>
      <c r="O30" s="30" t="str">
        <f t="shared" ca="1" si="10"/>
        <v>NA</v>
      </c>
      <c r="P30" s="30" t="str">
        <f t="shared" ca="1" si="10"/>
        <v>NA</v>
      </c>
      <c r="Q30" s="30" t="str">
        <f t="shared" ca="1" si="10"/>
        <v>NA</v>
      </c>
      <c r="R30" s="30" t="str">
        <f t="shared" ca="1" si="10"/>
        <v>NA</v>
      </c>
      <c r="S30" s="30" t="str">
        <f t="shared" ca="1" si="10"/>
        <v>NA</v>
      </c>
      <c r="T30" s="30" t="str">
        <f t="shared" ca="1" si="10"/>
        <v>NA</v>
      </c>
      <c r="U30" s="30" t="str">
        <f t="shared" ca="1" si="10"/>
        <v>NA</v>
      </c>
      <c r="V30" s="30" t="str">
        <f t="shared" ca="1" si="10"/>
        <v>NA</v>
      </c>
      <c r="W30" s="30" t="str">
        <f t="shared" ca="1" si="10"/>
        <v>NA</v>
      </c>
      <c r="X30" s="30" t="str">
        <f t="shared" ca="1" si="10"/>
        <v>NA</v>
      </c>
      <c r="Y30" s="30" t="str">
        <f ca="1">IF($K30&gt;$BE$9,"NA",CORREL(OFFSET(INDIRECT($BA$4),0,Y$15-1,$L$9,1),OFFSET(INDIRECT($BA$4),0,$K30-1,$L$9,1)))</f>
        <v>NA</v>
      </c>
      <c r="Z30" s="30">
        <v>1</v>
      </c>
    </row>
    <row r="31" spans="1:28" x14ac:dyDescent="0.2">
      <c r="A31" s="42" t="str">
        <f t="shared" ca="1" si="3"/>
        <v>NA</v>
      </c>
      <c r="B31" s="42" t="str">
        <f t="shared" ca="1" si="4"/>
        <v>NA</v>
      </c>
      <c r="C31" s="42" t="str">
        <f t="shared" ca="1" si="5"/>
        <v>NA</v>
      </c>
      <c r="D31" s="42" t="e">
        <f t="shared" ca="1" si="11"/>
        <v>#VALUE!</v>
      </c>
      <c r="E31" s="42" t="e">
        <f t="shared" ca="1" si="6"/>
        <v>#VALUE!</v>
      </c>
      <c r="F31" s="49">
        <v>0</v>
      </c>
      <c r="G31" s="49">
        <v>0</v>
      </c>
      <c r="H31" s="49">
        <v>0</v>
      </c>
      <c r="I31" s="49">
        <v>0</v>
      </c>
      <c r="J31" s="30" t="str">
        <f t="shared" ca="1" si="7"/>
        <v/>
      </c>
      <c r="K31" s="42">
        <v>14</v>
      </c>
      <c r="L31" s="30" t="str">
        <f t="shared" ca="1" si="9"/>
        <v>NA</v>
      </c>
      <c r="M31" s="30" t="str">
        <f t="shared" ca="1" si="8"/>
        <v>NA</v>
      </c>
      <c r="N31" s="30" t="str">
        <f t="shared" ca="1" si="10"/>
        <v>NA</v>
      </c>
      <c r="O31" s="30" t="str">
        <f t="shared" ca="1" si="10"/>
        <v>NA</v>
      </c>
      <c r="P31" s="30" t="str">
        <f t="shared" ca="1" si="10"/>
        <v>NA</v>
      </c>
      <c r="Q31" s="30" t="str">
        <f t="shared" ca="1" si="10"/>
        <v>NA</v>
      </c>
      <c r="R31" s="30" t="str">
        <f t="shared" ca="1" si="10"/>
        <v>NA</v>
      </c>
      <c r="S31" s="30" t="str">
        <f t="shared" ca="1" si="10"/>
        <v>NA</v>
      </c>
      <c r="T31" s="30" t="str">
        <f t="shared" ca="1" si="10"/>
        <v>NA</v>
      </c>
      <c r="U31" s="30" t="str">
        <f t="shared" ca="1" si="10"/>
        <v>NA</v>
      </c>
      <c r="V31" s="30" t="str">
        <f t="shared" ca="1" si="10"/>
        <v>NA</v>
      </c>
      <c r="W31" s="30" t="str">
        <f t="shared" ca="1" si="10"/>
        <v>NA</v>
      </c>
      <c r="X31" s="30" t="str">
        <f t="shared" ca="1" si="10"/>
        <v>NA</v>
      </c>
      <c r="Y31" s="30" t="str">
        <f ca="1">IF($K31&gt;$BE$9,"NA",CORREL(OFFSET(INDIRECT($BA$4),0,Y$15-1,$L$9,1),OFFSET(INDIRECT($BA$4),0,$K31-1,$L$9,1)))</f>
        <v>NA</v>
      </c>
      <c r="Z31" s="30" t="str">
        <f ca="1">IF($K31&gt;$BE$9,"NA",CORREL(OFFSET(INDIRECT($BA$4),0,Z$15-1,$L$9,1),OFFSET(INDIRECT($BA$4),0,$K31-1,$L$9,1)))</f>
        <v>NA</v>
      </c>
      <c r="AA31" s="30">
        <v>1</v>
      </c>
    </row>
    <row r="32" spans="1:28" x14ac:dyDescent="0.2">
      <c r="A32" s="42" t="str">
        <f t="shared" ca="1" si="3"/>
        <v>NA</v>
      </c>
      <c r="B32" s="42" t="str">
        <f t="shared" ca="1" si="4"/>
        <v>NA</v>
      </c>
      <c r="C32" s="42" t="str">
        <f t="shared" ca="1" si="5"/>
        <v>NA</v>
      </c>
      <c r="D32" s="42" t="e">
        <f t="shared" ca="1" si="11"/>
        <v>#VALUE!</v>
      </c>
      <c r="E32" s="42" t="e">
        <f t="shared" ca="1" si="6"/>
        <v>#VALUE!</v>
      </c>
      <c r="F32" s="49">
        <v>0</v>
      </c>
      <c r="G32" s="49">
        <v>0</v>
      </c>
      <c r="H32" s="49">
        <v>0</v>
      </c>
      <c r="I32" s="49">
        <v>0</v>
      </c>
      <c r="J32" s="30" t="str">
        <f t="shared" ca="1" si="7"/>
        <v/>
      </c>
      <c r="K32" s="42">
        <v>15</v>
      </c>
      <c r="L32" s="30" t="str">
        <f t="shared" ca="1" si="9"/>
        <v>NA</v>
      </c>
      <c r="M32" s="30" t="str">
        <f t="shared" ca="1" si="8"/>
        <v>NA</v>
      </c>
      <c r="N32" s="30" t="str">
        <f t="shared" ca="1" si="10"/>
        <v>NA</v>
      </c>
      <c r="O32" s="30" t="str">
        <f t="shared" ca="1" si="10"/>
        <v>NA</v>
      </c>
      <c r="P32" s="30" t="str">
        <f t="shared" ca="1" si="10"/>
        <v>NA</v>
      </c>
      <c r="Q32" s="30" t="str">
        <f t="shared" ca="1" si="10"/>
        <v>NA</v>
      </c>
      <c r="R32" s="30" t="str">
        <f t="shared" ca="1" si="10"/>
        <v>NA</v>
      </c>
      <c r="S32" s="30" t="str">
        <f t="shared" ca="1" si="10"/>
        <v>NA</v>
      </c>
      <c r="T32" s="30" t="str">
        <f t="shared" ca="1" si="10"/>
        <v>NA</v>
      </c>
      <c r="U32" s="30" t="str">
        <f t="shared" ca="1" si="10"/>
        <v>NA</v>
      </c>
      <c r="V32" s="30" t="str">
        <f t="shared" ca="1" si="10"/>
        <v>NA</v>
      </c>
      <c r="W32" s="30" t="str">
        <f t="shared" ca="1" si="10"/>
        <v>NA</v>
      </c>
      <c r="X32" s="30" t="str">
        <f t="shared" ca="1" si="10"/>
        <v>NA</v>
      </c>
      <c r="Y32" s="30" t="str">
        <f ca="1">IF($K32&gt;$BE$9,"NA",CORREL(OFFSET(INDIRECT($BA$4),0,Y$15-1,$L$9,1),OFFSET(INDIRECT($BA$4),0,$K32-1,$L$9,1)))</f>
        <v>NA</v>
      </c>
      <c r="Z32" s="30" t="str">
        <f ca="1">IF($K32&gt;$BE$9,"NA",CORREL(OFFSET(INDIRECT($BA$4),0,Z$15-1,$L$9,1),OFFSET(INDIRECT($BA$4),0,$K32-1,$L$9,1)))</f>
        <v>NA</v>
      </c>
      <c r="AA32" s="30" t="str">
        <f ca="1">IF($K32&gt;$BE$9,"NA",CORREL(OFFSET(INDIRECT($BA$4),0,AA$15-1,$L$9,1),OFFSET(INDIRECT($BA$4),0,$K32-1,$L$9,1)))</f>
        <v>NA</v>
      </c>
      <c r="AB32" s="30">
        <v>1</v>
      </c>
    </row>
    <row r="33" spans="1:36" x14ac:dyDescent="0.2">
      <c r="A33" s="42" t="str">
        <f t="shared" ca="1" si="3"/>
        <v>NA</v>
      </c>
      <c r="B33" s="42" t="str">
        <f t="shared" ca="1" si="4"/>
        <v>NA</v>
      </c>
      <c r="C33" s="42" t="str">
        <f t="shared" ca="1" si="5"/>
        <v>NA</v>
      </c>
      <c r="D33" s="42" t="e">
        <f t="shared" ca="1" si="11"/>
        <v>#VALUE!</v>
      </c>
      <c r="E33" s="42" t="e">
        <f t="shared" ca="1" si="6"/>
        <v>#VALUE!</v>
      </c>
      <c r="F33" s="49">
        <v>0</v>
      </c>
      <c r="G33" s="49">
        <v>0</v>
      </c>
      <c r="H33" s="49">
        <v>0</v>
      </c>
      <c r="I33" s="49">
        <v>0</v>
      </c>
      <c r="J33" s="30" t="str">
        <f t="shared" ca="1" si="7"/>
        <v/>
      </c>
      <c r="K33" s="42">
        <v>16</v>
      </c>
      <c r="L33" s="30" t="str">
        <f t="shared" ca="1" si="9"/>
        <v>NA</v>
      </c>
      <c r="M33" s="30" t="str">
        <f t="shared" ca="1" si="8"/>
        <v>NA</v>
      </c>
      <c r="N33" s="30" t="str">
        <f t="shared" ca="1" si="10"/>
        <v>NA</v>
      </c>
      <c r="O33" s="30" t="str">
        <f t="shared" ca="1" si="10"/>
        <v>NA</v>
      </c>
      <c r="P33" s="30" t="str">
        <f t="shared" ca="1" si="10"/>
        <v>NA</v>
      </c>
      <c r="Q33" s="30" t="str">
        <f t="shared" ca="1" si="10"/>
        <v>NA</v>
      </c>
      <c r="R33" s="30" t="str">
        <f t="shared" ca="1" si="10"/>
        <v>NA</v>
      </c>
      <c r="S33" s="30" t="str">
        <f t="shared" ca="1" si="10"/>
        <v>NA</v>
      </c>
      <c r="T33" s="30" t="str">
        <f t="shared" ca="1" si="10"/>
        <v>NA</v>
      </c>
      <c r="U33" s="30" t="str">
        <f t="shared" ca="1" si="10"/>
        <v>NA</v>
      </c>
      <c r="V33" s="30" t="str">
        <f t="shared" ca="1" si="10"/>
        <v>NA</v>
      </c>
      <c r="W33" s="30" t="str">
        <f t="shared" ca="1" si="10"/>
        <v>NA</v>
      </c>
      <c r="X33" s="30" t="str">
        <f t="shared" ca="1" si="10"/>
        <v>NA</v>
      </c>
      <c r="Y33" s="30" t="str">
        <f ca="1">IF($K33&gt;$BE$9,"NA",CORREL(OFFSET(INDIRECT($BA$4),0,Y$15-1,$L$9,1),OFFSET(INDIRECT($BA$4),0,$K33-1,$L$9,1)))</f>
        <v>NA</v>
      </c>
      <c r="Z33" s="30" t="str">
        <f ca="1">IF($K33&gt;$BE$9,"NA",CORREL(OFFSET(INDIRECT($BA$4),0,Z$15-1,$L$9,1),OFFSET(INDIRECT($BA$4),0,$K33-1,$L$9,1)))</f>
        <v>NA</v>
      </c>
      <c r="AA33" s="30" t="str">
        <f ca="1">IF($K33&gt;$BE$9,"NA",CORREL(OFFSET(INDIRECT($BA$4),0,AA$15-1,$L$9,1),OFFSET(INDIRECT($BA$4),0,$K33-1,$L$9,1)))</f>
        <v>NA</v>
      </c>
      <c r="AB33" s="30" t="str">
        <f ca="1">IF($K33&gt;$BE$9,"NA",CORREL(OFFSET(INDIRECT($BA$4),0,AB$15-1,$L$9,1),OFFSET(INDIRECT($BA$4),0,$K33-1,$L$9,1)))</f>
        <v>NA</v>
      </c>
      <c r="AC33" s="30">
        <v>1</v>
      </c>
      <c r="AI33" s="30" t="s">
        <v>276</v>
      </c>
    </row>
    <row r="34" spans="1:36" x14ac:dyDescent="0.2">
      <c r="A34" s="42" t="str">
        <f t="shared" ca="1" si="3"/>
        <v>NA</v>
      </c>
      <c r="B34" s="42" t="str">
        <f t="shared" ca="1" si="4"/>
        <v>NA</v>
      </c>
      <c r="C34" s="42" t="str">
        <f t="shared" ca="1" si="5"/>
        <v>NA</v>
      </c>
      <c r="D34" s="42" t="e">
        <f t="shared" ca="1" si="11"/>
        <v>#VALUE!</v>
      </c>
      <c r="E34" s="42" t="e">
        <f t="shared" ca="1" si="6"/>
        <v>#VALUE!</v>
      </c>
      <c r="F34" s="49">
        <v>0</v>
      </c>
      <c r="G34" s="49">
        <v>0</v>
      </c>
      <c r="H34" s="49">
        <v>0</v>
      </c>
      <c r="I34" s="49">
        <v>0</v>
      </c>
      <c r="J34" s="30" t="str">
        <f t="shared" ca="1" si="7"/>
        <v/>
      </c>
      <c r="K34" s="42">
        <v>17</v>
      </c>
      <c r="L34" s="30" t="str">
        <f t="shared" ca="1" si="9"/>
        <v>NA</v>
      </c>
      <c r="M34" s="30" t="str">
        <f t="shared" ca="1" si="8"/>
        <v>NA</v>
      </c>
      <c r="N34" s="30" t="str">
        <f t="shared" ca="1" si="10"/>
        <v>NA</v>
      </c>
      <c r="O34" s="30" t="str">
        <f t="shared" ca="1" si="10"/>
        <v>NA</v>
      </c>
      <c r="P34" s="30" t="str">
        <f t="shared" ca="1" si="10"/>
        <v>NA</v>
      </c>
      <c r="Q34" s="30" t="str">
        <f t="shared" ca="1" si="10"/>
        <v>NA</v>
      </c>
      <c r="R34" s="30" t="str">
        <f t="shared" ca="1" si="10"/>
        <v>NA</v>
      </c>
      <c r="S34" s="30" t="str">
        <f t="shared" ca="1" si="10"/>
        <v>NA</v>
      </c>
      <c r="T34" s="30" t="str">
        <f t="shared" ca="1" si="10"/>
        <v>NA</v>
      </c>
      <c r="U34" s="30" t="str">
        <f t="shared" ca="1" si="10"/>
        <v>NA</v>
      </c>
      <c r="V34" s="30" t="str">
        <f t="shared" ca="1" si="10"/>
        <v>NA</v>
      </c>
      <c r="W34" s="30" t="str">
        <f t="shared" ca="1" si="10"/>
        <v>NA</v>
      </c>
      <c r="X34" s="30" t="str">
        <f t="shared" ca="1" si="10"/>
        <v>NA</v>
      </c>
      <c r="Y34" s="30" t="str">
        <f ca="1">IF($K34&gt;$BE$9,"NA",CORREL(OFFSET(INDIRECT($BA$4),0,Y$15-1,$L$9,1),OFFSET(INDIRECT($BA$4),0,$K34-1,$L$9,1)))</f>
        <v>NA</v>
      </c>
      <c r="Z34" s="30" t="str">
        <f ca="1">IF($K34&gt;$BE$9,"NA",CORREL(OFFSET(INDIRECT($BA$4),0,Z$15-1,$L$9,1),OFFSET(INDIRECT($BA$4),0,$K34-1,$L$9,1)))</f>
        <v>NA</v>
      </c>
      <c r="AA34" s="30" t="str">
        <f ca="1">IF($K34&gt;$BE$9,"NA",CORREL(OFFSET(INDIRECT($BA$4),0,AA$15-1,$L$9,1),OFFSET(INDIRECT($BA$4),0,$K34-1,$L$9,1)))</f>
        <v>NA</v>
      </c>
      <c r="AB34" s="30" t="str">
        <f ca="1">IF($K34&gt;$BE$9,"NA",CORREL(OFFSET(INDIRECT($BA$4),0,AB$15-1,$L$9,1),OFFSET(INDIRECT($BA$4),0,$K34-1,$L$9,1)))</f>
        <v>NA</v>
      </c>
      <c r="AC34" s="30" t="str">
        <f ca="1">IF($K34&gt;$BE$9,"NA",CORREL(OFFSET(INDIRECT($BA$4),0,AC$15-1,$L$9,1),OFFSET(INDIRECT($BA$4),0,$K34-1,$L$9,1)))</f>
        <v>NA</v>
      </c>
      <c r="AD34" s="30">
        <v>1</v>
      </c>
      <c r="AI34" s="30" t="str">
        <f>"'"&amp;$AA42&amp;"'!"&amp;AB42&amp;AD42</f>
        <v>'Example'!C17</v>
      </c>
      <c r="AJ34" s="30" t="str">
        <f>AI34&amp;":"&amp;AB42&amp;AE42</f>
        <v>'Example'!C17:C21</v>
      </c>
    </row>
    <row r="35" spans="1:36" x14ac:dyDescent="0.2">
      <c r="A35" s="42" t="s">
        <v>277</v>
      </c>
      <c r="B35" s="42"/>
      <c r="C35" s="42"/>
      <c r="AI35" s="30" t="str">
        <f>"'"&amp;$AA43&amp;"'!"&amp;AB43&amp;AD43</f>
        <v>'Example'!E17</v>
      </c>
      <c r="AJ35" s="30" t="str">
        <f>AI35&amp;":"&amp;AC43&amp;AE43</f>
        <v>'Example'!E17:F21</v>
      </c>
    </row>
    <row r="36" spans="1:36" x14ac:dyDescent="0.2">
      <c r="A36" s="30" t="s">
        <v>278</v>
      </c>
      <c r="B36" s="42" t="str">
        <f ca="1">J17&amp;J18&amp;J19&amp;J20&amp;J21&amp;J22&amp;J23&amp;J24&amp;J25&amp;J26&amp;J27&amp;J28&amp;J29&amp;J30&amp;J31&amp;J32&amp;J33&amp;J34</f>
        <v>10840.7216666667 + -242.486358640281*sin + -317.34601452892*cos</v>
      </c>
      <c r="Z36" s="30" t="s">
        <v>279</v>
      </c>
      <c r="AI36" s="30" t="str">
        <f>"'"&amp;$AA42&amp;"'!"&amp;AB42&amp;(AD42-1)</f>
        <v>'Example'!C16</v>
      </c>
    </row>
    <row r="37" spans="1:36" x14ac:dyDescent="0.2">
      <c r="A37" s="30" t="s">
        <v>280</v>
      </c>
      <c r="O37" s="30" t="s">
        <v>281</v>
      </c>
      <c r="Z37" s="30" t="s">
        <v>229</v>
      </c>
      <c r="AI37" s="30" t="str">
        <f>"'"&amp;$AA43&amp;"'!"&amp;AB43&amp;(AD43-1)</f>
        <v>'Example'!E16</v>
      </c>
    </row>
    <row r="38" spans="1:36" x14ac:dyDescent="0.2">
      <c r="O38" s="30">
        <f ca="1">COUNT(O43:O56)</f>
        <v>14</v>
      </c>
      <c r="Z38" s="30" t="s">
        <v>282</v>
      </c>
    </row>
    <row r="39" spans="1:36" x14ac:dyDescent="0.2">
      <c r="O39" s="30" t="s">
        <v>283</v>
      </c>
      <c r="V39" s="50"/>
      <c r="Z39" s="30" t="s">
        <v>284</v>
      </c>
    </row>
    <row r="40" spans="1:36" ht="16" thickBot="1" x14ac:dyDescent="0.25">
      <c r="A40" s="30" t="s">
        <v>71</v>
      </c>
      <c r="O40" s="30" t="s">
        <v>285</v>
      </c>
      <c r="W40" s="51"/>
      <c r="X40" s="52"/>
      <c r="Z40" s="30" t="s">
        <v>286</v>
      </c>
    </row>
    <row r="41" spans="1:36" ht="16" thickBot="1" x14ac:dyDescent="0.25">
      <c r="B41" s="45" t="s">
        <v>287</v>
      </c>
      <c r="C41" s="31">
        <f ca="1">I13</f>
        <v>1</v>
      </c>
      <c r="D41" s="30" t="str">
        <f ca="1">I14</f>
        <v>good: #rows in residuals is equal to # of data points</v>
      </c>
      <c r="O41" s="30" t="s">
        <v>288</v>
      </c>
      <c r="W41" s="51"/>
      <c r="X41" s="52"/>
      <c r="AA41" s="30" t="s">
        <v>234</v>
      </c>
      <c r="AB41" s="30" t="s">
        <v>235</v>
      </c>
      <c r="AC41" s="30" t="s">
        <v>236</v>
      </c>
      <c r="AD41" s="30" t="s">
        <v>237</v>
      </c>
      <c r="AE41" s="30" t="s">
        <v>238</v>
      </c>
    </row>
    <row r="42" spans="1:36" ht="90" x14ac:dyDescent="0.2">
      <c r="A42" s="45" t="s">
        <v>72</v>
      </c>
      <c r="B42" s="45" t="str">
        <f>Example!$B$16</f>
        <v>t(months)</v>
      </c>
      <c r="C42" s="53" t="str">
        <f ca="1">"Observed "&amp;BC12</f>
        <v>Observed Avg. per Day</v>
      </c>
      <c r="D42" s="53" t="str">
        <f ca="1">"Predicted  "&amp;BC12</f>
        <v>Predicted  Avg. per Day</v>
      </c>
      <c r="E42" s="45" t="str">
        <f ca="1">"Residuals of "&amp;BC12</f>
        <v>Residuals of Avg. per Day</v>
      </c>
      <c r="F42" s="53" t="s">
        <v>289</v>
      </c>
      <c r="G42" s="54" t="str">
        <f ca="1">E42</f>
        <v>Residuals of Avg. per Day</v>
      </c>
      <c r="H42" s="50" t="s">
        <v>290</v>
      </c>
      <c r="I42" s="50" t="s">
        <v>291</v>
      </c>
      <c r="J42" s="50" t="s">
        <v>292</v>
      </c>
      <c r="K42" s="50" t="s">
        <v>293</v>
      </c>
      <c r="L42" s="50" t="str">
        <f ca="1">"Ordered "&amp;G42</f>
        <v>Ordered Residuals of Avg. per Day</v>
      </c>
      <c r="M42" s="50" t="str">
        <f ca="1">G42</f>
        <v>Residuals of Avg. per Day</v>
      </c>
      <c r="O42" s="30" t="s">
        <v>294</v>
      </c>
      <c r="P42" s="30" t="s">
        <v>295</v>
      </c>
      <c r="Q42" s="30" t="s">
        <v>296</v>
      </c>
      <c r="R42" s="50" t="s">
        <v>297</v>
      </c>
      <c r="S42" s="50" t="s">
        <v>298</v>
      </c>
      <c r="T42" s="50" t="s">
        <v>299</v>
      </c>
      <c r="U42" s="50" t="s">
        <v>300</v>
      </c>
      <c r="W42" s="51"/>
      <c r="X42" s="52"/>
      <c r="Z42" s="30" t="s">
        <v>240</v>
      </c>
      <c r="AA42" s="41" t="str">
        <f>I3</f>
        <v>Example</v>
      </c>
      <c r="AB42" s="41" t="str">
        <f>J3</f>
        <v>C</v>
      </c>
      <c r="AD42" s="41">
        <v>17</v>
      </c>
      <c r="AE42" s="41">
        <v>21</v>
      </c>
      <c r="AI42" s="30" t="s">
        <v>301</v>
      </c>
    </row>
    <row r="43" spans="1:36" x14ac:dyDescent="0.2">
      <c r="A43" s="42">
        <v>1</v>
      </c>
      <c r="B43" s="49">
        <f>Example!B17</f>
        <v>0.5</v>
      </c>
      <c r="C43" s="30">
        <f t="shared" ref="C43:C52" ca="1" si="12">IF(OR(ISBLANK(A43),A43&gt;$I$9),"NA",OFFSET(INDIRECT($BA$3),A43-1,0,1,1))</f>
        <v>10411.33</v>
      </c>
      <c r="D43" s="42">
        <f t="shared" ref="D43:D52" ca="1" si="13">$BE$13+SUMPRODUCT(OFFSET($BF$13,0,0,1,$BE$9),OFFSET(INDIRECT($BA$4),A43-1,0,1,$BE$9))</f>
        <v>10471.428867569612</v>
      </c>
      <c r="E43" s="42">
        <f t="shared" ref="E43:E52" ca="1" si="14">C43-D43</f>
        <v>-60.098867569611684</v>
      </c>
      <c r="F43" s="49" t="s">
        <v>302</v>
      </c>
      <c r="G43" s="55">
        <f ca="1">E43</f>
        <v>-60.098867569611684</v>
      </c>
      <c r="H43" s="30">
        <v>1</v>
      </c>
      <c r="I43" s="30">
        <f ca="1">(H43-0.5)/$B$8</f>
        <v>4.1666666666666664E-2</v>
      </c>
      <c r="J43" s="30">
        <f ca="1">1-I43</f>
        <v>0.95833333333333337</v>
      </c>
      <c r="K43" s="56">
        <f ca="1">NORMINV(I43,0,1)</f>
        <v>-1.7316643961222451</v>
      </c>
      <c r="L43" s="30">
        <f t="shared" ref="L43:L52" ca="1" si="15">IF(H43&lt;=$B$8,SMALL($E$43:$E$65535,H43),"NA")</f>
        <v>-237.13789635051944</v>
      </c>
      <c r="M43" s="57">
        <v>1</v>
      </c>
      <c r="O43" s="58">
        <f ca="1">W74</f>
        <v>-237.13789635051944</v>
      </c>
      <c r="P43" s="30">
        <f ca="1">IF(ISNUMBER(O44),O44,$W$80)</f>
        <v>-187.11917626022495</v>
      </c>
      <c r="Q43" s="57" t="str">
        <f ca="1">"&lt;"&amp;P43</f>
        <v>&lt;-187.119176260225</v>
      </c>
      <c r="R43" s="30">
        <f ca="1">COUNTIF($E$43:$E$65535,"&lt;"&amp;P43)</f>
        <v>1</v>
      </c>
      <c r="S43" s="30">
        <f ca="1">R43</f>
        <v>1</v>
      </c>
      <c r="T43" s="59">
        <f ca="1">S43/$B$8</f>
        <v>8.3333333333333329E-2</v>
      </c>
      <c r="U43" s="60">
        <f ca="1">T43</f>
        <v>8.3333333333333329E-2</v>
      </c>
      <c r="W43" s="51"/>
      <c r="X43" s="52"/>
      <c r="Z43" s="30" t="s">
        <v>243</v>
      </c>
      <c r="AA43" s="43" t="str">
        <f>AA42</f>
        <v>Example</v>
      </c>
      <c r="AB43" s="41" t="str">
        <f>J4</f>
        <v>E</v>
      </c>
      <c r="AC43" s="41" t="str">
        <f>K4</f>
        <v>F</v>
      </c>
      <c r="AD43" s="43">
        <f>AD42</f>
        <v>17</v>
      </c>
      <c r="AE43" s="43">
        <f>AD43+(AE42-AD42)</f>
        <v>21</v>
      </c>
      <c r="AI43" s="30" t="s">
        <v>303</v>
      </c>
    </row>
    <row r="44" spans="1:36" x14ac:dyDescent="0.2">
      <c r="A44" s="42">
        <v>2</v>
      </c>
      <c r="B44" s="49">
        <f>Example!B18</f>
        <v>1.5</v>
      </c>
      <c r="C44" s="30">
        <f t="shared" ca="1" si="12"/>
        <v>10661.79</v>
      </c>
      <c r="D44" s="42">
        <f t="shared" ca="1" si="13"/>
        <v>10444.860399270967</v>
      </c>
      <c r="E44" s="42">
        <f t="shared" ca="1" si="14"/>
        <v>216.92960072903406</v>
      </c>
      <c r="F44" s="49" t="s">
        <v>273</v>
      </c>
      <c r="G44" s="55">
        <f t="shared" ref="G44:G52" ca="1" si="16">E44</f>
        <v>216.92960072903406</v>
      </c>
      <c r="H44" s="30">
        <v>2</v>
      </c>
      <c r="I44" s="30">
        <f t="shared" ref="I44:I52" ca="1" si="17">(H44-0.5)/$B$8</f>
        <v>0.125</v>
      </c>
      <c r="J44" s="30">
        <f t="shared" ref="J44:J52" ca="1" si="18">1-I44</f>
        <v>0.875</v>
      </c>
      <c r="K44" s="56">
        <f t="shared" ref="K44:K52" ca="1" si="19">NORMINV(I44,0,1)</f>
        <v>-1.1503493803760083</v>
      </c>
      <c r="L44" s="30">
        <f t="shared" ca="1" si="15"/>
        <v>-128.79429017639086</v>
      </c>
      <c r="M44" s="30">
        <f ca="1">IF(ROUND($AI$63*L44,$AI$61)=ROUND($AI$63*L43,$AI$61),M43+1,$M$43)</f>
        <v>1</v>
      </c>
      <c r="O44" s="58">
        <f t="shared" ref="O44:O56" ca="1" si="20">O43+($W$78-$W$74)/10</f>
        <v>-187.11917626022495</v>
      </c>
      <c r="P44" s="30">
        <f t="shared" ref="P44:P56" ca="1" si="21">IF(ISNUMBER(O45),O45,$W$80)</f>
        <v>-137.10045616993045</v>
      </c>
      <c r="Q44" s="30" t="str">
        <f t="shared" ref="Q44:Q56" ca="1" si="22">O44&amp;" to &lt;"&amp;P44</f>
        <v>-187.119176260225 to &lt;-137.10045616993</v>
      </c>
      <c r="R44" s="30">
        <f t="shared" ref="R44:R56" ca="1" si="23">COUNTIF($E$43:$E$65535,"&lt;"&amp;P44)</f>
        <v>1</v>
      </c>
      <c r="S44" s="30">
        <f ca="1">R44-R43</f>
        <v>0</v>
      </c>
      <c r="T44" s="59">
        <f t="shared" ref="T44:T56" ca="1" si="24">S44/$B$8</f>
        <v>0</v>
      </c>
      <c r="U44" s="60">
        <f ca="1">U43+T44</f>
        <v>8.3333333333333329E-2</v>
      </c>
      <c r="W44" s="51"/>
      <c r="X44" s="52"/>
      <c r="AI44" s="30" t="s">
        <v>304</v>
      </c>
    </row>
    <row r="45" spans="1:36" x14ac:dyDescent="0.2">
      <c r="A45" s="42">
        <v>3</v>
      </c>
      <c r="B45" s="49">
        <f>Example!B19</f>
        <v>2.5</v>
      </c>
      <c r="C45" s="30">
        <f t="shared" ca="1" si="12"/>
        <v>10666.99</v>
      </c>
      <c r="D45" s="42">
        <f t="shared" ca="1" si="13"/>
        <v>10524.362637885759</v>
      </c>
      <c r="E45" s="42">
        <f t="shared" ca="1" si="14"/>
        <v>142.6273621142409</v>
      </c>
      <c r="F45" s="49" t="s">
        <v>274</v>
      </c>
      <c r="G45" s="55">
        <f t="shared" ca="1" si="16"/>
        <v>142.6273621142409</v>
      </c>
      <c r="H45" s="30">
        <v>3</v>
      </c>
      <c r="I45" s="30">
        <f t="shared" ca="1" si="17"/>
        <v>0.20833333333333334</v>
      </c>
      <c r="J45" s="30">
        <f t="shared" ca="1" si="18"/>
        <v>0.79166666666666663</v>
      </c>
      <c r="K45" s="56">
        <f t="shared" ca="1" si="19"/>
        <v>-0.81221780149991241</v>
      </c>
      <c r="L45" s="30">
        <f t="shared" ca="1" si="15"/>
        <v>-127.5103105526432</v>
      </c>
      <c r="M45" s="30">
        <f t="shared" ref="M45:M52" ca="1" si="25">IF(ROUND($AI$63*L45,$AI$61)=ROUND($AI$63*L44,$AI$61),M44+1,$M$43)</f>
        <v>1</v>
      </c>
      <c r="O45" s="58">
        <f t="shared" ca="1" si="20"/>
        <v>-137.10045616993045</v>
      </c>
      <c r="P45" s="30">
        <f t="shared" ca="1" si="21"/>
        <v>-87.081736079635974</v>
      </c>
      <c r="Q45" s="30" t="str">
        <f t="shared" ca="1" si="22"/>
        <v>-137.10045616993 to &lt;-87.081736079636</v>
      </c>
      <c r="R45" s="30">
        <f t="shared" ca="1" si="23"/>
        <v>5</v>
      </c>
      <c r="S45" s="30">
        <f t="shared" ref="S45:S56" ca="1" si="26">R45-R44</f>
        <v>4</v>
      </c>
      <c r="T45" s="59">
        <f t="shared" ca="1" si="24"/>
        <v>0.33333333333333331</v>
      </c>
      <c r="U45" s="60">
        <f t="shared" ref="U45:U56" ca="1" si="27">U44+T45</f>
        <v>0.41666666666666663</v>
      </c>
      <c r="W45" s="51"/>
      <c r="X45" s="52"/>
      <c r="AI45" s="30" t="s">
        <v>305</v>
      </c>
    </row>
    <row r="46" spans="1:36" x14ac:dyDescent="0.2">
      <c r="A46" s="42">
        <v>4</v>
      </c>
      <c r="B46" s="49">
        <f>Example!B20</f>
        <v>3.5</v>
      </c>
      <c r="C46" s="30">
        <f t="shared" ca="1" si="12"/>
        <v>10574.23</v>
      </c>
      <c r="D46" s="42">
        <f t="shared" ca="1" si="13"/>
        <v>10688.63302278069</v>
      </c>
      <c r="E46" s="42">
        <f t="shared" ca="1" si="14"/>
        <v>-114.40302278069066</v>
      </c>
      <c r="F46" s="49" t="s">
        <v>275</v>
      </c>
      <c r="G46" s="55">
        <f t="shared" ca="1" si="16"/>
        <v>-114.40302278069066</v>
      </c>
      <c r="H46" s="30">
        <v>4</v>
      </c>
      <c r="I46" s="30">
        <f t="shared" ca="1" si="17"/>
        <v>0.29166666666666669</v>
      </c>
      <c r="J46" s="30">
        <f t="shared" ca="1" si="18"/>
        <v>0.70833333333333326</v>
      </c>
      <c r="K46" s="56">
        <f t="shared" ca="1" si="19"/>
        <v>-0.54852228269809788</v>
      </c>
      <c r="L46" s="30">
        <f t="shared" ca="1" si="15"/>
        <v>-114.40302278069066</v>
      </c>
      <c r="M46" s="30">
        <f t="shared" ca="1" si="25"/>
        <v>1</v>
      </c>
      <c r="O46" s="58">
        <f t="shared" ca="1" si="20"/>
        <v>-87.081736079635974</v>
      </c>
      <c r="P46" s="30">
        <f t="shared" ca="1" si="21"/>
        <v>-37.063015989341494</v>
      </c>
      <c r="Q46" s="30" t="str">
        <f t="shared" ca="1" si="22"/>
        <v>-87.081736079636 to &lt;-37.0630159893415</v>
      </c>
      <c r="R46" s="30">
        <f t="shared" ca="1" si="23"/>
        <v>6</v>
      </c>
      <c r="S46" s="30">
        <f t="shared" ca="1" si="26"/>
        <v>1</v>
      </c>
      <c r="T46" s="59">
        <f t="shared" ca="1" si="24"/>
        <v>8.3333333333333329E-2</v>
      </c>
      <c r="U46" s="60">
        <f t="shared" ca="1" si="27"/>
        <v>0.49999999999999994</v>
      </c>
      <c r="W46" s="51"/>
      <c r="X46" s="52"/>
      <c r="Z46" s="30" t="s">
        <v>306</v>
      </c>
      <c r="AI46" s="30" t="s">
        <v>307</v>
      </c>
    </row>
    <row r="47" spans="1:36" ht="16" thickBot="1" x14ac:dyDescent="0.25">
      <c r="A47" s="42">
        <v>5</v>
      </c>
      <c r="B47" s="49">
        <f>Example!B21</f>
        <v>4.5</v>
      </c>
      <c r="C47" s="30">
        <f t="shared" ca="1" si="12"/>
        <v>10781.69</v>
      </c>
      <c r="D47" s="42">
        <f t="shared" ca="1" si="13"/>
        <v>10893.655436982814</v>
      </c>
      <c r="E47" s="42">
        <f t="shared" ca="1" si="14"/>
        <v>-111.96543698281312</v>
      </c>
      <c r="F47" s="49"/>
      <c r="G47" s="55">
        <f t="shared" ca="1" si="16"/>
        <v>-111.96543698281312</v>
      </c>
      <c r="H47" s="30">
        <v>5</v>
      </c>
      <c r="I47" s="30">
        <f t="shared" ca="1" si="17"/>
        <v>0.375</v>
      </c>
      <c r="J47" s="30">
        <f t="shared" ca="1" si="18"/>
        <v>0.625</v>
      </c>
      <c r="K47" s="56">
        <f t="shared" ca="1" si="19"/>
        <v>-0.3186393639643752</v>
      </c>
      <c r="L47" s="30">
        <f t="shared" ca="1" si="15"/>
        <v>-111.96543698281312</v>
      </c>
      <c r="M47" s="30">
        <f t="shared" ca="1" si="25"/>
        <v>1</v>
      </c>
      <c r="O47" s="58">
        <f t="shared" ca="1" si="20"/>
        <v>-37.063015989341494</v>
      </c>
      <c r="P47" s="30">
        <f t="shared" ca="1" si="21"/>
        <v>12.955704100952985</v>
      </c>
      <c r="Q47" s="30" t="str">
        <f t="shared" ca="1" si="22"/>
        <v>-37.0630159893415 to &lt;12.955704100953</v>
      </c>
      <c r="R47" s="30">
        <f t="shared" ca="1" si="23"/>
        <v>6</v>
      </c>
      <c r="S47" s="30">
        <f t="shared" ca="1" si="26"/>
        <v>0</v>
      </c>
      <c r="T47" s="59">
        <f t="shared" ca="1" si="24"/>
        <v>0</v>
      </c>
      <c r="U47" s="60">
        <f t="shared" ca="1" si="27"/>
        <v>0.49999999999999994</v>
      </c>
      <c r="W47" s="51"/>
      <c r="X47" s="52"/>
      <c r="AI47" s="30" t="s">
        <v>308</v>
      </c>
    </row>
    <row r="48" spans="1:36" ht="45" x14ac:dyDescent="0.2">
      <c r="A48" s="42">
        <v>6</v>
      </c>
      <c r="B48" s="49">
        <f>Example!B22</f>
        <v>5.5</v>
      </c>
      <c r="C48" s="30">
        <f t="shared" ca="1" si="12"/>
        <v>10955.7</v>
      </c>
      <c r="D48" s="42">
        <f t="shared" ca="1" si="13"/>
        <v>11084.494290176392</v>
      </c>
      <c r="E48" s="42">
        <f t="shared" ca="1" si="14"/>
        <v>-128.79429017639086</v>
      </c>
      <c r="F48" s="49"/>
      <c r="G48" s="55">
        <f t="shared" ca="1" si="16"/>
        <v>-128.79429017639086</v>
      </c>
      <c r="H48" s="30">
        <v>6</v>
      </c>
      <c r="I48" s="30">
        <f t="shared" ca="1" si="17"/>
        <v>0.45833333333333331</v>
      </c>
      <c r="J48" s="30">
        <f t="shared" ca="1" si="18"/>
        <v>0.54166666666666674</v>
      </c>
      <c r="K48" s="56">
        <f t="shared" ca="1" si="19"/>
        <v>-0.10463345561407539</v>
      </c>
      <c r="L48" s="30">
        <f t="shared" ca="1" si="15"/>
        <v>-60.098867569611684</v>
      </c>
      <c r="M48" s="30">
        <f t="shared" ca="1" si="25"/>
        <v>1</v>
      </c>
      <c r="O48" s="58">
        <f t="shared" ca="1" si="20"/>
        <v>12.955704100952985</v>
      </c>
      <c r="P48" s="30">
        <f t="shared" ca="1" si="21"/>
        <v>62.974424191247465</v>
      </c>
      <c r="Q48" s="30" t="str">
        <f t="shared" ca="1" si="22"/>
        <v>12.955704100953 to &lt;62.9744241912475</v>
      </c>
      <c r="R48" s="30">
        <f t="shared" ca="1" si="23"/>
        <v>8</v>
      </c>
      <c r="S48" s="30">
        <f t="shared" ca="1" si="26"/>
        <v>2</v>
      </c>
      <c r="T48" s="59">
        <f t="shared" ca="1" si="24"/>
        <v>0.16666666666666666</v>
      </c>
      <c r="U48" s="60">
        <f t="shared" ca="1" si="27"/>
        <v>0.66666666666666663</v>
      </c>
      <c r="W48" s="51"/>
      <c r="X48" s="52"/>
      <c r="Z48" s="45" t="s">
        <v>309</v>
      </c>
      <c r="AA48" s="53" t="str">
        <f ca="1">"Observed  "&amp;INDIRECT(AI36)</f>
        <v>Observed  Avg. per Day</v>
      </c>
      <c r="AB48" s="53" t="str">
        <f ca="1">"Predicted "&amp;INDIRECT(AI36)</f>
        <v>Predicted Avg. per Day</v>
      </c>
      <c r="AC48" s="45" t="s">
        <v>74</v>
      </c>
      <c r="AI48" s="30" t="s">
        <v>310</v>
      </c>
    </row>
    <row r="49" spans="1:35" x14ac:dyDescent="0.2">
      <c r="A49" s="42">
        <v>7</v>
      </c>
      <c r="B49" s="49">
        <f>Example!B23</f>
        <v>6.5</v>
      </c>
      <c r="C49" s="30">
        <f t="shared" ca="1" si="12"/>
        <v>11244.74</v>
      </c>
      <c r="D49" s="42">
        <f t="shared" ca="1" si="13"/>
        <v>11210.014465763721</v>
      </c>
      <c r="E49" s="42">
        <f t="shared" ca="1" si="14"/>
        <v>34.725534236278691</v>
      </c>
      <c r="F49" s="49"/>
      <c r="G49" s="55">
        <f t="shared" ca="1" si="16"/>
        <v>34.725534236278691</v>
      </c>
      <c r="H49" s="30">
        <v>7</v>
      </c>
      <c r="I49" s="30">
        <f t="shared" ca="1" si="17"/>
        <v>0.54166666666666663</v>
      </c>
      <c r="J49" s="30">
        <f t="shared" ca="1" si="18"/>
        <v>0.45833333333333337</v>
      </c>
      <c r="K49" s="56">
        <f t="shared" ca="1" si="19"/>
        <v>0.10463345561407525</v>
      </c>
      <c r="L49" s="30">
        <f t="shared" ca="1" si="15"/>
        <v>14.070956843057502</v>
      </c>
      <c r="M49" s="30">
        <f t="shared" ca="1" si="25"/>
        <v>1</v>
      </c>
      <c r="O49" s="58">
        <f t="shared" ca="1" si="20"/>
        <v>62.974424191247465</v>
      </c>
      <c r="P49" s="30">
        <f t="shared" ca="1" si="21"/>
        <v>112.99314428154194</v>
      </c>
      <c r="Q49" s="30" t="str">
        <f t="shared" ca="1" si="22"/>
        <v>62.9744241912475 to &lt;112.993144281542</v>
      </c>
      <c r="R49" s="30">
        <f t="shared" ca="1" si="23"/>
        <v>9</v>
      </c>
      <c r="S49" s="30">
        <f t="shared" ca="1" si="26"/>
        <v>1</v>
      </c>
      <c r="T49" s="59">
        <f t="shared" ca="1" si="24"/>
        <v>8.3333333333333329E-2</v>
      </c>
      <c r="U49" s="60">
        <f t="shared" ca="1" si="27"/>
        <v>0.75</v>
      </c>
      <c r="W49" s="51"/>
      <c r="X49" s="52"/>
      <c r="Z49" s="42">
        <v>1</v>
      </c>
      <c r="AA49" s="30">
        <f ca="1">IF(OR(ISBLANK(Z49),Z49&gt;$I$9),"NA",OFFSET(INDIRECT($AI$34),Z49-1,0,1,1))</f>
        <v>10411.33</v>
      </c>
      <c r="AB49" s="42">
        <f ca="1">$BE$13+SUMPRODUCT(OFFSET($BF$13,0,0,1,$BE$9),OFFSET(INDIRECT($AI$35),Z49-1,0,1,$BE$9))</f>
        <v>10471.428867569612</v>
      </c>
      <c r="AC49" s="42">
        <f ca="1">AA49-AB49</f>
        <v>-60.098867569611684</v>
      </c>
      <c r="AI49" s="30" t="s">
        <v>311</v>
      </c>
    </row>
    <row r="50" spans="1:35" x14ac:dyDescent="0.2">
      <c r="A50" s="42">
        <v>8</v>
      </c>
      <c r="B50" s="49">
        <f>Example!B24</f>
        <v>7.5</v>
      </c>
      <c r="C50" s="30">
        <f t="shared" ca="1" si="12"/>
        <v>11345.09</v>
      </c>
      <c r="D50" s="42">
        <f t="shared" ca="1" si="13"/>
        <v>11236.582934062366</v>
      </c>
      <c r="E50" s="42">
        <f t="shared" ca="1" si="14"/>
        <v>108.50706593763425</v>
      </c>
      <c r="F50" s="49"/>
      <c r="G50" s="55">
        <f t="shared" ca="1" si="16"/>
        <v>108.50706593763425</v>
      </c>
      <c r="H50" s="30">
        <v>8</v>
      </c>
      <c r="I50" s="30">
        <f t="shared" ca="1" si="17"/>
        <v>0.625</v>
      </c>
      <c r="J50" s="30">
        <f t="shared" ca="1" si="18"/>
        <v>0.375</v>
      </c>
      <c r="K50" s="56">
        <f t="shared" ca="1" si="19"/>
        <v>0.3186393639643752</v>
      </c>
      <c r="L50" s="30">
        <f t="shared" ca="1" si="15"/>
        <v>34.725534236278691</v>
      </c>
      <c r="M50" s="30">
        <f t="shared" ca="1" si="25"/>
        <v>1</v>
      </c>
      <c r="O50" s="58">
        <f t="shared" ca="1" si="20"/>
        <v>112.99314428154194</v>
      </c>
      <c r="P50" s="30">
        <f t="shared" ca="1" si="21"/>
        <v>163.01186437183642</v>
      </c>
      <c r="Q50" s="30" t="str">
        <f t="shared" ca="1" si="22"/>
        <v>112.993144281542 to &lt;163.011864371836</v>
      </c>
      <c r="R50" s="30">
        <f t="shared" ca="1" si="23"/>
        <v>10</v>
      </c>
      <c r="S50" s="30">
        <f t="shared" ca="1" si="26"/>
        <v>1</v>
      </c>
      <c r="T50" s="59">
        <f t="shared" ca="1" si="24"/>
        <v>8.3333333333333329E-2</v>
      </c>
      <c r="U50" s="60">
        <f t="shared" ca="1" si="27"/>
        <v>0.83333333333333337</v>
      </c>
      <c r="W50" s="51"/>
      <c r="X50" s="52"/>
      <c r="Z50" s="42">
        <v>2</v>
      </c>
      <c r="AA50" s="30">
        <f ca="1">IF(OR(ISBLANK(Z50),Z50&gt;$I$9),"NA",OFFSET(INDIRECT($AI$34),Z50-1,0,1,1))</f>
        <v>10661.79</v>
      </c>
      <c r="AB50" s="42">
        <f ca="1">$BE$13+SUMPRODUCT(OFFSET($BF$13,0,0,1,$BE$9),OFFSET(INDIRECT($AI$35),Z50-1,0,1,$BE$9))</f>
        <v>10444.860399270967</v>
      </c>
      <c r="AC50" s="42">
        <f ca="1">AA50-AB50</f>
        <v>216.92960072903406</v>
      </c>
      <c r="AI50" s="30" t="s">
        <v>312</v>
      </c>
    </row>
    <row r="51" spans="1:35" x14ac:dyDescent="0.2">
      <c r="A51" s="42">
        <v>9</v>
      </c>
      <c r="B51" s="49">
        <f>Example!B25</f>
        <v>8.5</v>
      </c>
      <c r="C51" s="30">
        <f t="shared" ca="1" si="12"/>
        <v>11420.13</v>
      </c>
      <c r="D51" s="42">
        <f t="shared" ca="1" si="13"/>
        <v>11157.080695447574</v>
      </c>
      <c r="E51" s="42">
        <f t="shared" ca="1" si="14"/>
        <v>263.04930455242538</v>
      </c>
      <c r="F51" s="49"/>
      <c r="G51" s="55">
        <f t="shared" ca="1" si="16"/>
        <v>263.04930455242538</v>
      </c>
      <c r="H51" s="30">
        <v>9</v>
      </c>
      <c r="I51" s="30">
        <f t="shared" ca="1" si="17"/>
        <v>0.70833333333333337</v>
      </c>
      <c r="J51" s="30">
        <f t="shared" ca="1" si="18"/>
        <v>0.29166666666666663</v>
      </c>
      <c r="K51" s="56">
        <f t="shared" ca="1" si="19"/>
        <v>0.54852228269809822</v>
      </c>
      <c r="L51" s="30">
        <f t="shared" ca="1" si="15"/>
        <v>108.50706593763425</v>
      </c>
      <c r="M51" s="30">
        <f t="shared" ca="1" si="25"/>
        <v>1</v>
      </c>
      <c r="O51" s="58">
        <f t="shared" ca="1" si="20"/>
        <v>163.01186437183642</v>
      </c>
      <c r="P51" s="30">
        <f t="shared" ca="1" si="21"/>
        <v>213.03058446213089</v>
      </c>
      <c r="Q51" s="30" t="str">
        <f t="shared" ca="1" si="22"/>
        <v>163.011864371836 to &lt;213.030584462131</v>
      </c>
      <c r="R51" s="30">
        <f t="shared" ca="1" si="23"/>
        <v>10</v>
      </c>
      <c r="S51" s="30">
        <f t="shared" ca="1" si="26"/>
        <v>0</v>
      </c>
      <c r="T51" s="59">
        <f t="shared" ca="1" si="24"/>
        <v>0</v>
      </c>
      <c r="U51" s="60">
        <f t="shared" ca="1" si="27"/>
        <v>0.83333333333333337</v>
      </c>
      <c r="W51" s="51"/>
      <c r="X51" s="52"/>
      <c r="Z51" s="42">
        <v>3</v>
      </c>
      <c r="AA51" s="30">
        <f ca="1">IF(OR(ISBLANK(Z51),Z51&gt;$I$9),"NA",OFFSET(INDIRECT($AI$34),Z51-1,0,1,1))</f>
        <v>10666.99</v>
      </c>
      <c r="AB51" s="42">
        <f ca="1">$BE$13+SUMPRODUCT(OFFSET($BF$13,0,0,1,$BE$9),OFFSET(INDIRECT($AI$35),Z51-1,0,1,$BE$9))</f>
        <v>10524.362637885759</v>
      </c>
      <c r="AC51" s="42">
        <f ca="1">AA51-AB51</f>
        <v>142.6273621142409</v>
      </c>
      <c r="AI51" s="30" t="s">
        <v>313</v>
      </c>
    </row>
    <row r="52" spans="1:35" x14ac:dyDescent="0.2">
      <c r="A52" s="42">
        <v>10</v>
      </c>
      <c r="B52" s="49">
        <f>Example!B26</f>
        <v>9.5</v>
      </c>
      <c r="C52" s="30">
        <f t="shared" ca="1" si="12"/>
        <v>10865.3</v>
      </c>
      <c r="D52" s="42">
        <f t="shared" ca="1" si="13"/>
        <v>10992.810310552642</v>
      </c>
      <c r="E52" s="42">
        <f t="shared" ca="1" si="14"/>
        <v>-127.5103105526432</v>
      </c>
      <c r="F52" s="49"/>
      <c r="G52" s="55">
        <f t="shared" ca="1" si="16"/>
        <v>-127.5103105526432</v>
      </c>
      <c r="H52" s="30">
        <v>10</v>
      </c>
      <c r="I52" s="30">
        <f t="shared" ca="1" si="17"/>
        <v>0.79166666666666663</v>
      </c>
      <c r="J52" s="30">
        <f t="shared" ca="1" si="18"/>
        <v>0.20833333333333337</v>
      </c>
      <c r="K52" s="56">
        <f t="shared" ca="1" si="19"/>
        <v>0.81221780149991241</v>
      </c>
      <c r="L52" s="30">
        <f t="shared" ca="1" si="15"/>
        <v>142.6273621142409</v>
      </c>
      <c r="M52" s="30">
        <f t="shared" ca="1" si="25"/>
        <v>1</v>
      </c>
      <c r="O52" s="58">
        <f t="shared" ca="1" si="20"/>
        <v>213.03058446213089</v>
      </c>
      <c r="P52" s="30">
        <f t="shared" ca="1" si="21"/>
        <v>263.04930455242538</v>
      </c>
      <c r="Q52" s="30" t="str">
        <f t="shared" ca="1" si="22"/>
        <v>213.030584462131 to &lt;263.049304552425</v>
      </c>
      <c r="R52" s="30">
        <f t="shared" ca="1" si="23"/>
        <v>11</v>
      </c>
      <c r="S52" s="30">
        <f t="shared" ca="1" si="26"/>
        <v>1</v>
      </c>
      <c r="T52" s="59">
        <f t="shared" ca="1" si="24"/>
        <v>8.3333333333333329E-2</v>
      </c>
      <c r="U52" s="60">
        <f t="shared" ca="1" si="27"/>
        <v>0.91666666666666674</v>
      </c>
      <c r="W52" s="51"/>
      <c r="X52" s="52"/>
      <c r="Z52" s="42">
        <v>4</v>
      </c>
      <c r="AA52" s="30">
        <f ca="1">IF(OR(ISBLANK(Z52),Z52&gt;$I$9),"NA",OFFSET(INDIRECT($AI$34),Z52-1,0,1,1))</f>
        <v>10574.23</v>
      </c>
      <c r="AB52" s="42">
        <f ca="1">$BE$13+SUMPRODUCT(OFFSET($BF$13,0,0,1,$BE$9),OFFSET(INDIRECT($AI$35),Z52-1,0,1,$BE$9))</f>
        <v>10688.63302278069</v>
      </c>
      <c r="AC52" s="42">
        <f ca="1">AA52-AB52</f>
        <v>-114.40302278069066</v>
      </c>
      <c r="AI52" s="30" t="s">
        <v>314</v>
      </c>
    </row>
    <row r="53" spans="1:35" x14ac:dyDescent="0.2">
      <c r="A53" s="42">
        <v>11</v>
      </c>
      <c r="B53" s="49">
        <f>Example!B27</f>
        <v>10.5</v>
      </c>
      <c r="C53" s="30">
        <f t="shared" ref="C53:C54" ca="1" si="28">IF(OR(ISBLANK(A53),A53&gt;$I$9),"NA",OFFSET(INDIRECT($BA$3),A53-1,0,1,1))</f>
        <v>10550.65</v>
      </c>
      <c r="D53" s="42">
        <f t="shared" ref="D53:D54" ca="1" si="29">$BE$13+SUMPRODUCT(OFFSET($BF$13,0,0,1,$BE$9),OFFSET(INDIRECT($BA$4),A53-1,0,1,$BE$9))</f>
        <v>10787.787896350519</v>
      </c>
      <c r="E53" s="42">
        <f t="shared" ref="E53:E54" ca="1" si="30">C53-D53</f>
        <v>-237.13789635051944</v>
      </c>
      <c r="F53" s="49"/>
      <c r="G53" s="55">
        <f t="shared" ref="G53:G54" ca="1" si="31">E53</f>
        <v>-237.13789635051944</v>
      </c>
      <c r="H53" s="30">
        <v>11</v>
      </c>
      <c r="I53" s="30">
        <f t="shared" ref="I53:I54" ca="1" si="32">(H53-0.5)/$B$8</f>
        <v>0.875</v>
      </c>
      <c r="J53" s="30">
        <f t="shared" ref="J53:J54" ca="1" si="33">1-I53</f>
        <v>0.125</v>
      </c>
      <c r="K53" s="56">
        <f t="shared" ref="K53:K54" ca="1" si="34">NORMINV(I53,0,1)</f>
        <v>1.1503493803760083</v>
      </c>
      <c r="L53" s="30">
        <f t="shared" ref="L53:L54" ca="1" si="35">IF(H53&lt;=$B$8,SMALL($E$43:$E$65535,H53),"NA")</f>
        <v>216.92960072903406</v>
      </c>
      <c r="M53" s="30">
        <f t="shared" ref="M53:M54" ca="1" si="36">IF(ROUND($AI$63*L53,$AI$61)=ROUND($AI$63*L52,$AI$61),M52+1,$M$43)</f>
        <v>1</v>
      </c>
      <c r="O53" s="58">
        <f t="shared" ca="1" si="20"/>
        <v>263.04930455242538</v>
      </c>
      <c r="P53" s="30">
        <f t="shared" ca="1" si="21"/>
        <v>313.06802464271988</v>
      </c>
      <c r="Q53" s="30" t="str">
        <f t="shared" ca="1" si="22"/>
        <v>263.049304552425 to &lt;313.06802464272</v>
      </c>
      <c r="R53" s="30">
        <f t="shared" ca="1" si="23"/>
        <v>12</v>
      </c>
      <c r="S53" s="30">
        <f t="shared" ca="1" si="26"/>
        <v>1</v>
      </c>
      <c r="T53" s="59">
        <f t="shared" ca="1" si="24"/>
        <v>8.3333333333333329E-2</v>
      </c>
      <c r="U53" s="60">
        <f t="shared" ca="1" si="27"/>
        <v>1</v>
      </c>
      <c r="W53" s="51"/>
      <c r="X53" s="52"/>
      <c r="Z53" s="42">
        <v>5</v>
      </c>
      <c r="AA53" s="30">
        <f ca="1">IF(OR(ISBLANK(Z53),Z53&gt;$I$9),"NA",OFFSET(INDIRECT($AI$34),Z53-1,0,1,1))</f>
        <v>10781.69</v>
      </c>
      <c r="AB53" s="42">
        <f ca="1">$BE$13+SUMPRODUCT(OFFSET($BF$13,0,0,1,$BE$9),OFFSET(INDIRECT($AI$35),Z53-1,0,1,$BE$9))</f>
        <v>10893.655436982814</v>
      </c>
      <c r="AC53" s="42">
        <f ca="1">AA53-AB53</f>
        <v>-111.96543698281312</v>
      </c>
      <c r="AI53" s="30" t="s">
        <v>315</v>
      </c>
    </row>
    <row r="54" spans="1:35" x14ac:dyDescent="0.2">
      <c r="A54" s="42">
        <v>12</v>
      </c>
      <c r="B54" s="49">
        <f>Example!B28</f>
        <v>11.5</v>
      </c>
      <c r="C54" s="30">
        <f t="shared" ca="1" si="28"/>
        <v>10611.02</v>
      </c>
      <c r="D54" s="42">
        <f t="shared" ca="1" si="29"/>
        <v>10596.949043156943</v>
      </c>
      <c r="E54" s="42">
        <f t="shared" ca="1" si="30"/>
        <v>14.070956843057502</v>
      </c>
      <c r="F54" s="49"/>
      <c r="G54" s="55">
        <f t="shared" ca="1" si="31"/>
        <v>14.070956843057502</v>
      </c>
      <c r="H54" s="30">
        <v>12</v>
      </c>
      <c r="I54" s="30">
        <f t="shared" ca="1" si="32"/>
        <v>0.95833333333333337</v>
      </c>
      <c r="J54" s="30">
        <f t="shared" ca="1" si="33"/>
        <v>4.166666666666663E-2</v>
      </c>
      <c r="K54" s="56">
        <f t="shared" ca="1" si="34"/>
        <v>1.7316643961222455</v>
      </c>
      <c r="L54" s="30">
        <f t="shared" ca="1" si="35"/>
        <v>263.04930455242538</v>
      </c>
      <c r="M54" s="30">
        <f t="shared" ca="1" si="36"/>
        <v>1</v>
      </c>
      <c r="O54" s="58">
        <f t="shared" ca="1" si="20"/>
        <v>313.06802464271988</v>
      </c>
      <c r="P54" s="30">
        <f t="shared" ca="1" si="21"/>
        <v>363.08674473301437</v>
      </c>
      <c r="Q54" s="30" t="str">
        <f t="shared" ca="1" si="22"/>
        <v>313.06802464272 to &lt;363.086744733014</v>
      </c>
      <c r="R54" s="30">
        <f t="shared" ca="1" si="23"/>
        <v>12</v>
      </c>
      <c r="S54" s="30">
        <f t="shared" ca="1" si="26"/>
        <v>0</v>
      </c>
      <c r="T54" s="59">
        <f t="shared" ca="1" si="24"/>
        <v>0</v>
      </c>
      <c r="U54" s="60">
        <f t="shared" ca="1" si="27"/>
        <v>1</v>
      </c>
      <c r="W54" s="51"/>
      <c r="X54" s="52"/>
      <c r="AI54" s="30" t="s">
        <v>316</v>
      </c>
    </row>
    <row r="55" spans="1:35" x14ac:dyDescent="0.2">
      <c r="A55" s="42"/>
      <c r="B55" s="49"/>
      <c r="D55" s="42"/>
      <c r="E55" s="42"/>
      <c r="F55" s="49"/>
      <c r="G55" s="55"/>
      <c r="K55" s="56"/>
      <c r="O55" s="58">
        <f t="shared" ca="1" si="20"/>
        <v>363.08674473301437</v>
      </c>
      <c r="P55" s="30">
        <f t="shared" ca="1" si="21"/>
        <v>413.10546482330886</v>
      </c>
      <c r="Q55" s="30" t="str">
        <f t="shared" ca="1" si="22"/>
        <v>363.086744733014 to &lt;413.105464823309</v>
      </c>
      <c r="R55" s="30">
        <f t="shared" ca="1" si="23"/>
        <v>12</v>
      </c>
      <c r="S55" s="30">
        <f t="shared" ca="1" si="26"/>
        <v>0</v>
      </c>
      <c r="T55" s="59">
        <f t="shared" ca="1" si="24"/>
        <v>0</v>
      </c>
      <c r="U55" s="60">
        <f t="shared" ca="1" si="27"/>
        <v>1</v>
      </c>
      <c r="W55" s="51"/>
      <c r="X55" s="52"/>
      <c r="AI55" s="30" t="s">
        <v>317</v>
      </c>
    </row>
    <row r="56" spans="1:35" x14ac:dyDescent="0.2">
      <c r="A56" s="42"/>
      <c r="B56" s="49"/>
      <c r="D56" s="42"/>
      <c r="E56" s="42"/>
      <c r="F56" s="49"/>
      <c r="O56" s="58">
        <f t="shared" ca="1" si="20"/>
        <v>413.10546482330886</v>
      </c>
      <c r="P56" s="30">
        <f t="shared" ca="1" si="21"/>
        <v>263.54949175332831</v>
      </c>
      <c r="Q56" s="30" t="str">
        <f t="shared" ca="1" si="22"/>
        <v>413.105464823309 to &lt;263.549491753328</v>
      </c>
      <c r="R56" s="30">
        <f t="shared" ca="1" si="23"/>
        <v>12</v>
      </c>
      <c r="S56" s="30">
        <f t="shared" ca="1" si="26"/>
        <v>0</v>
      </c>
      <c r="T56" s="59">
        <f t="shared" ca="1" si="24"/>
        <v>0</v>
      </c>
      <c r="U56" s="60">
        <f t="shared" ca="1" si="27"/>
        <v>1</v>
      </c>
      <c r="W56" s="51"/>
      <c r="X56" s="52"/>
    </row>
    <row r="57" spans="1:35" x14ac:dyDescent="0.2">
      <c r="A57" s="42"/>
      <c r="B57" s="49"/>
      <c r="D57" s="42"/>
      <c r="E57" s="42"/>
      <c r="F57" s="49"/>
      <c r="S57" s="61"/>
      <c r="T57" s="61"/>
      <c r="W57" s="51"/>
      <c r="X57" s="52"/>
      <c r="AI57" s="30" t="s">
        <v>318</v>
      </c>
    </row>
    <row r="58" spans="1:35" x14ac:dyDescent="0.2">
      <c r="A58" s="42"/>
      <c r="B58" s="49"/>
      <c r="D58" s="42"/>
      <c r="E58" s="42"/>
      <c r="F58" s="49"/>
      <c r="S58" s="61"/>
      <c r="T58" s="61"/>
      <c r="W58" s="51"/>
      <c r="X58" s="52"/>
      <c r="AI58" s="30" t="s">
        <v>319</v>
      </c>
    </row>
    <row r="59" spans="1:35" x14ac:dyDescent="0.2">
      <c r="S59" s="61"/>
      <c r="T59" s="61"/>
      <c r="W59" s="51"/>
      <c r="X59" s="52"/>
      <c r="AI59" s="30" t="s">
        <v>320</v>
      </c>
    </row>
    <row r="60" spans="1:35" x14ac:dyDescent="0.2">
      <c r="S60" s="61"/>
      <c r="T60" s="61"/>
      <c r="W60" s="51"/>
      <c r="X60" s="52"/>
      <c r="AI60" s="30" t="s">
        <v>321</v>
      </c>
    </row>
    <row r="61" spans="1:35" x14ac:dyDescent="0.2">
      <c r="S61" s="61"/>
      <c r="T61" s="61"/>
      <c r="W61" s="51"/>
      <c r="X61" s="52"/>
      <c r="AI61" s="58">
        <v>20</v>
      </c>
    </row>
    <row r="62" spans="1:35" x14ac:dyDescent="0.2">
      <c r="AI62" s="30" t="s">
        <v>322</v>
      </c>
    </row>
    <row r="63" spans="1:35" x14ac:dyDescent="0.2">
      <c r="AI63" s="58">
        <v>1</v>
      </c>
    </row>
    <row r="73" spans="22:24" x14ac:dyDescent="0.2">
      <c r="V73" s="30" t="s">
        <v>323</v>
      </c>
      <c r="X73" s="30" t="s">
        <v>324</v>
      </c>
    </row>
    <row r="74" spans="22:24" x14ac:dyDescent="0.2">
      <c r="V74" s="30" t="s">
        <v>325</v>
      </c>
      <c r="W74" s="30">
        <f ca="1">MIN($E$43:$E$65000)</f>
        <v>-237.13789635051944</v>
      </c>
      <c r="X74" s="30">
        <f ca="1">MAX($M$43:$M$65535)*1.1</f>
        <v>1.1000000000000001</v>
      </c>
    </row>
    <row r="75" spans="22:24" x14ac:dyDescent="0.2">
      <c r="V75" s="30" t="s">
        <v>326</v>
      </c>
      <c r="W75" s="30">
        <f ca="1">QUARTILE($E$43:$E$65000,1)</f>
        <v>-117.6798447236788</v>
      </c>
      <c r="X75" s="30">
        <f ca="1">X74</f>
        <v>1.1000000000000001</v>
      </c>
    </row>
    <row r="76" spans="22:24" x14ac:dyDescent="0.2">
      <c r="V76" s="30" t="s">
        <v>327</v>
      </c>
      <c r="W76" s="30">
        <f ca="1">MEDIAN($E$43:$E$65000)</f>
        <v>-23.013955363277091</v>
      </c>
      <c r="X76" s="30">
        <f ca="1">X75</f>
        <v>1.1000000000000001</v>
      </c>
    </row>
    <row r="77" spans="22:24" x14ac:dyDescent="0.2">
      <c r="V77" s="30" t="s">
        <v>328</v>
      </c>
      <c r="W77" s="30">
        <f ca="1">QUARTILE($E$43:$E$65000,3)</f>
        <v>117.03713998178591</v>
      </c>
      <c r="X77" s="30">
        <f ca="1">X76</f>
        <v>1.1000000000000001</v>
      </c>
    </row>
    <row r="78" spans="22:24" x14ac:dyDescent="0.2">
      <c r="V78" s="30" t="s">
        <v>329</v>
      </c>
      <c r="W78" s="30">
        <f ca="1">MAX($E$43:$E$65000)</f>
        <v>263.04930455242538</v>
      </c>
      <c r="X78" s="30">
        <f ca="1">X77</f>
        <v>1.1000000000000001</v>
      </c>
    </row>
    <row r="79" spans="22:24" x14ac:dyDescent="0.2">
      <c r="V79" s="30" t="s">
        <v>78</v>
      </c>
      <c r="W79" s="30">
        <f ca="1">AVERAGE($E$43:$E$65000)</f>
        <v>1.5158245029548803E-13</v>
      </c>
    </row>
    <row r="80" spans="22:24" x14ac:dyDescent="0.2">
      <c r="V80" s="30" t="s">
        <v>332</v>
      </c>
      <c r="W80" s="30">
        <f ca="1">W78+0.001*(W78-W74)</f>
        <v>263.54949175332831</v>
      </c>
    </row>
  </sheetData>
  <sheetProtection selectLockedCells="1" selectUnlockedCells="1"/>
  <mergeCells count="1">
    <mergeCell ref="A3:B3"/>
  </mergeCells>
  <conditionalFormatting sqref="I10">
    <cfRule type="cellIs" dxfId="4" priority="1" stopIfTrue="1" operator="lessThan">
      <formula>1</formula>
    </cfRule>
  </conditionalFormatting>
  <conditionalFormatting sqref="I13">
    <cfRule type="cellIs" dxfId="3" priority="2" stopIfTrue="1" operator="equal">
      <formula>0</formula>
    </cfRule>
    <cfRule type="cellIs" dxfId="2" priority="3" stopIfTrue="1" operator="equal">
      <formula>0.5</formula>
    </cfRule>
  </conditionalFormatting>
  <conditionalFormatting sqref="C41">
    <cfRule type="cellIs" dxfId="1" priority="4" stopIfTrue="1" operator="equal">
      <formula>0</formula>
    </cfRule>
    <cfRule type="cellIs" dxfId="0" priority="5" stopIfTrue="1" operator="equal">
      <formula>0.5</formula>
    </cfRule>
  </conditionalFormatting>
  <pageMargins left="0.7" right="0.7" top="0.75" bottom="0.75" header="0.51180555555555551" footer="0.51180555555555551"/>
  <pageSetup firstPageNumber="0" orientation="portrait" horizontalDpi="300" verticalDpi="300"/>
  <headerFooter alignWithMargins="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opLeftCell="A13" zoomScale="200" zoomScaleNormal="200" zoomScalePageLayoutView="200" workbookViewId="0">
      <selection activeCell="G12" sqref="G12"/>
    </sheetView>
  </sheetViews>
  <sheetFormatPr baseColWidth="10" defaultColWidth="8.83203125" defaultRowHeight="15" x14ac:dyDescent="0.2"/>
  <cols>
    <col min="2" max="2" width="10.6640625" customWidth="1"/>
    <col min="8" max="8" width="12.33203125" bestFit="1" customWidth="1"/>
    <col min="10" max="10" width="12.33203125" bestFit="1" customWidth="1"/>
    <col min="11" max="12" width="9" bestFit="1" customWidth="1"/>
  </cols>
  <sheetData>
    <row r="1" spans="1:12" x14ac:dyDescent="0.2">
      <c r="A1" t="s">
        <v>0</v>
      </c>
    </row>
    <row r="2" spans="1:12" x14ac:dyDescent="0.2">
      <c r="A2" t="s">
        <v>162</v>
      </c>
    </row>
    <row r="3" spans="1:12" x14ac:dyDescent="0.2">
      <c r="A3" t="s">
        <v>32</v>
      </c>
    </row>
    <row r="4" spans="1:12" x14ac:dyDescent="0.2">
      <c r="A4" t="s">
        <v>33</v>
      </c>
    </row>
    <row r="5" spans="1:12" x14ac:dyDescent="0.2">
      <c r="A5" t="s">
        <v>34</v>
      </c>
    </row>
    <row r="6" spans="1:12" x14ac:dyDescent="0.2">
      <c r="A6" t="s">
        <v>35</v>
      </c>
    </row>
    <row r="7" spans="1:12" x14ac:dyDescent="0.2">
      <c r="A7" t="s">
        <v>169</v>
      </c>
    </row>
    <row r="8" spans="1:12" x14ac:dyDescent="0.2">
      <c r="A8" t="s">
        <v>163</v>
      </c>
    </row>
    <row r="9" spans="1:12" x14ac:dyDescent="0.2">
      <c r="A9" t="s">
        <v>177</v>
      </c>
    </row>
    <row r="10" spans="1:12" x14ac:dyDescent="0.2">
      <c r="A10" t="s">
        <v>165</v>
      </c>
    </row>
    <row r="11" spans="1:12" x14ac:dyDescent="0.2">
      <c r="A11" t="s">
        <v>164</v>
      </c>
    </row>
    <row r="12" spans="1:12" x14ac:dyDescent="0.2">
      <c r="A12" t="s">
        <v>41</v>
      </c>
    </row>
    <row r="13" spans="1:12" x14ac:dyDescent="0.2">
      <c r="B13" t="s">
        <v>334</v>
      </c>
      <c r="D13" s="62" t="s">
        <v>45</v>
      </c>
      <c r="E13" s="62" t="s">
        <v>46</v>
      </c>
      <c r="F13" s="62" t="s">
        <v>333</v>
      </c>
    </row>
    <row r="14" spans="1:12" x14ac:dyDescent="0.2">
      <c r="A14" s="64" t="s">
        <v>79</v>
      </c>
      <c r="B14" s="8"/>
      <c r="C14" s="9" t="s">
        <v>80</v>
      </c>
      <c r="D14" s="62">
        <f>K16</f>
        <v>-7.9284336936475546</v>
      </c>
      <c r="E14" s="62">
        <f>J16</f>
        <v>-25.104780297825013</v>
      </c>
      <c r="F14" s="62">
        <f>L16</f>
        <v>59.75</v>
      </c>
    </row>
    <row r="15" spans="1:12" x14ac:dyDescent="0.2">
      <c r="A15" s="64"/>
      <c r="B15" s="8" t="s">
        <v>168</v>
      </c>
      <c r="C15" s="9" t="s">
        <v>167</v>
      </c>
      <c r="D15" t="s">
        <v>45</v>
      </c>
      <c r="E15" t="s">
        <v>46</v>
      </c>
      <c r="F15" t="s">
        <v>335</v>
      </c>
      <c r="G15" t="s">
        <v>336</v>
      </c>
      <c r="J15" t="s">
        <v>46</v>
      </c>
      <c r="K15" t="s">
        <v>45</v>
      </c>
      <c r="L15" t="s">
        <v>333</v>
      </c>
    </row>
    <row r="16" spans="1:12" ht="16" thickBot="1" x14ac:dyDescent="0.25">
      <c r="A16" t="s">
        <v>85</v>
      </c>
      <c r="B16" s="13">
        <v>0.5</v>
      </c>
      <c r="C16" s="12">
        <v>32</v>
      </c>
      <c r="D16">
        <f>SIN(2*PI()*$B16/12)</f>
        <v>0.25881904510252074</v>
      </c>
      <c r="E16">
        <f>COS(2*PI()*$B16/12)</f>
        <v>0.96592582628906831</v>
      </c>
      <c r="F16">
        <f>$D$14*D16+ $E$14*E16+$F$14</f>
        <v>33.448614709269343</v>
      </c>
      <c r="G16">
        <f>C16-F16</f>
        <v>-1.4486147092693429</v>
      </c>
      <c r="J16">
        <f t="array" ref="J16:L16">LINEST(C16:C27,D16:E27,TRUE,TRUE)</f>
        <v>-25.104780297825013</v>
      </c>
      <c r="K16">
        <v>-7.9284336936475546</v>
      </c>
      <c r="L16">
        <v>59.75</v>
      </c>
    </row>
    <row r="17" spans="1:7" ht="16" thickBot="1" x14ac:dyDescent="0.25">
      <c r="A17" t="s">
        <v>86</v>
      </c>
      <c r="B17" s="13">
        <v>1.5</v>
      </c>
      <c r="C17" s="12">
        <v>36</v>
      </c>
      <c r="D17">
        <f t="shared" ref="D17:D27" si="0">SIN(2*PI()*$B17/12)</f>
        <v>0.70710678118654746</v>
      </c>
      <c r="E17">
        <f t="shared" ref="E17:E27" si="1">COS(2*PI()*$B17/12)</f>
        <v>0.70710678118654757</v>
      </c>
      <c r="F17">
        <f t="shared" ref="F17:F27" si="2">$D$14*D17+ $E$14*E17+$F$14</f>
        <v>36.391990382243407</v>
      </c>
      <c r="G17">
        <f t="shared" ref="G17:G27" si="3">C17-F17</f>
        <v>-0.39199038224340654</v>
      </c>
    </row>
    <row r="18" spans="1:7" ht="16" thickBot="1" x14ac:dyDescent="0.25">
      <c r="A18" t="s">
        <v>87</v>
      </c>
      <c r="B18" s="13">
        <v>2.5</v>
      </c>
      <c r="C18" s="12">
        <v>47</v>
      </c>
      <c r="D18">
        <f t="shared" si="0"/>
        <v>0.96592582628906831</v>
      </c>
      <c r="E18">
        <f t="shared" si="1"/>
        <v>0.25881904510252074</v>
      </c>
      <c r="F18">
        <f t="shared" si="2"/>
        <v>45.594125869093752</v>
      </c>
      <c r="G18">
        <f t="shared" si="3"/>
        <v>1.4058741309062484</v>
      </c>
    </row>
    <row r="19" spans="1:7" ht="16" thickBot="1" x14ac:dyDescent="0.25">
      <c r="A19" t="s">
        <v>88</v>
      </c>
      <c r="B19" s="13">
        <v>3.5</v>
      </c>
      <c r="C19" s="12">
        <v>60</v>
      </c>
      <c r="D19">
        <f t="shared" si="0"/>
        <v>0.96592582628906831</v>
      </c>
      <c r="E19">
        <f t="shared" si="1"/>
        <v>-0.25881904510252063</v>
      </c>
      <c r="F19">
        <f t="shared" si="2"/>
        <v>58.589316397477042</v>
      </c>
      <c r="G19">
        <f t="shared" si="3"/>
        <v>1.4106836025229583</v>
      </c>
    </row>
    <row r="20" spans="1:7" ht="16" thickBot="1" x14ac:dyDescent="0.25">
      <c r="A20" t="s">
        <v>89</v>
      </c>
      <c r="B20" s="13">
        <v>4.5</v>
      </c>
      <c r="C20" s="12">
        <v>72</v>
      </c>
      <c r="D20">
        <f t="shared" si="0"/>
        <v>0.70710678118654757</v>
      </c>
      <c r="E20">
        <f t="shared" si="1"/>
        <v>-0.70710678118654746</v>
      </c>
      <c r="F20">
        <f t="shared" si="2"/>
        <v>71.895511159824409</v>
      </c>
      <c r="G20">
        <f t="shared" si="3"/>
        <v>0.10448884017559124</v>
      </c>
    </row>
    <row r="21" spans="1:7" ht="16" thickBot="1" x14ac:dyDescent="0.25">
      <c r="A21" t="s">
        <v>90</v>
      </c>
      <c r="B21" s="13">
        <v>5.5</v>
      </c>
      <c r="C21" s="12">
        <v>81</v>
      </c>
      <c r="D21">
        <f t="shared" si="0"/>
        <v>0.25881904510252102</v>
      </c>
      <c r="E21">
        <f t="shared" si="1"/>
        <v>-0.9659258262890682</v>
      </c>
      <c r="F21">
        <f t="shared" si="2"/>
        <v>81.947326015233628</v>
      </c>
      <c r="G21">
        <f t="shared" si="3"/>
        <v>-0.94732601523362803</v>
      </c>
    </row>
    <row r="22" spans="1:7" ht="16" thickBot="1" x14ac:dyDescent="0.25">
      <c r="A22" t="s">
        <v>91</v>
      </c>
      <c r="B22" s="13">
        <v>6.5</v>
      </c>
      <c r="C22" s="12">
        <v>85</v>
      </c>
      <c r="D22">
        <f t="shared" si="0"/>
        <v>-0.25881904510252079</v>
      </c>
      <c r="E22">
        <f t="shared" si="1"/>
        <v>-0.96592582628906831</v>
      </c>
      <c r="F22">
        <f t="shared" si="2"/>
        <v>86.05138529073065</v>
      </c>
      <c r="G22">
        <f t="shared" si="3"/>
        <v>-1.05138529073065</v>
      </c>
    </row>
    <row r="23" spans="1:7" ht="16" thickBot="1" x14ac:dyDescent="0.25">
      <c r="A23" t="s">
        <v>92</v>
      </c>
      <c r="B23" s="13">
        <v>7.5</v>
      </c>
      <c r="C23" s="12">
        <v>82</v>
      </c>
      <c r="D23">
        <f t="shared" si="0"/>
        <v>-0.70710678118654713</v>
      </c>
      <c r="E23">
        <f t="shared" si="1"/>
        <v>-0.70710678118654791</v>
      </c>
      <c r="F23">
        <f t="shared" si="2"/>
        <v>83.108009617756608</v>
      </c>
      <c r="G23">
        <f t="shared" si="3"/>
        <v>-1.1080096177566077</v>
      </c>
    </row>
    <row r="24" spans="1:7" ht="16" thickBot="1" x14ac:dyDescent="0.25">
      <c r="A24" t="s">
        <v>93</v>
      </c>
      <c r="B24" s="13">
        <v>8.5</v>
      </c>
      <c r="C24" s="12">
        <v>75</v>
      </c>
      <c r="D24">
        <f t="shared" si="0"/>
        <v>-0.96592582628906831</v>
      </c>
      <c r="E24">
        <f t="shared" si="1"/>
        <v>-0.25881904510252063</v>
      </c>
      <c r="F24">
        <f t="shared" si="2"/>
        <v>73.905874130906255</v>
      </c>
      <c r="G24">
        <f t="shared" si="3"/>
        <v>1.0941258690937445</v>
      </c>
    </row>
    <row r="25" spans="1:7" ht="16" thickBot="1" x14ac:dyDescent="0.25">
      <c r="A25" t="s">
        <v>94</v>
      </c>
      <c r="B25" s="13">
        <v>9.5</v>
      </c>
      <c r="C25" s="12">
        <v>63</v>
      </c>
      <c r="D25">
        <f t="shared" si="0"/>
        <v>-0.96592582628906842</v>
      </c>
      <c r="E25">
        <f t="shared" si="1"/>
        <v>0.2588190451025203</v>
      </c>
      <c r="F25">
        <f t="shared" si="2"/>
        <v>60.910683602522973</v>
      </c>
      <c r="G25">
        <f t="shared" si="3"/>
        <v>2.0893163974770275</v>
      </c>
    </row>
    <row r="26" spans="1:7" ht="16" thickBot="1" x14ac:dyDescent="0.25">
      <c r="A26" t="s">
        <v>95</v>
      </c>
      <c r="B26" s="13">
        <v>10.5</v>
      </c>
      <c r="C26" s="12">
        <v>48</v>
      </c>
      <c r="D26">
        <f t="shared" si="0"/>
        <v>-0.70710678118654768</v>
      </c>
      <c r="E26">
        <f t="shared" si="1"/>
        <v>0.70710678118654735</v>
      </c>
      <c r="F26">
        <f t="shared" si="2"/>
        <v>47.604488840175591</v>
      </c>
      <c r="G26">
        <f t="shared" si="3"/>
        <v>0.39551115982440876</v>
      </c>
    </row>
    <row r="27" spans="1:7" ht="16" thickBot="1" x14ac:dyDescent="0.25">
      <c r="A27" t="s">
        <v>96</v>
      </c>
      <c r="B27" s="13">
        <v>11.5</v>
      </c>
      <c r="C27" s="12">
        <v>36</v>
      </c>
      <c r="D27">
        <f t="shared" si="0"/>
        <v>-0.25881904510252157</v>
      </c>
      <c r="E27">
        <f t="shared" si="1"/>
        <v>0.96592582628906809</v>
      </c>
      <c r="F27">
        <f t="shared" si="2"/>
        <v>37.552673984766372</v>
      </c>
      <c r="G27">
        <f t="shared" si="3"/>
        <v>-1.552673984766372</v>
      </c>
    </row>
    <row r="28" spans="1:7" x14ac:dyDescent="0.2">
      <c r="A28" s="15"/>
      <c r="B28" s="16"/>
      <c r="C28" s="17"/>
    </row>
    <row r="29" spans="1:7" x14ac:dyDescent="0.2">
      <c r="A29" s="15"/>
      <c r="B29" s="16"/>
      <c r="C29" s="17"/>
    </row>
    <row r="30" spans="1:7" x14ac:dyDescent="0.2">
      <c r="A30" s="15"/>
      <c r="B30" s="16"/>
      <c r="C30" s="17"/>
    </row>
    <row r="31" spans="1:7" x14ac:dyDescent="0.2">
      <c r="A31" s="15"/>
      <c r="B31" s="16"/>
      <c r="C31" s="17"/>
    </row>
    <row r="32" spans="1:7" x14ac:dyDescent="0.2">
      <c r="A32" s="15"/>
      <c r="B32" s="16"/>
      <c r="C32" s="17"/>
    </row>
    <row r="33" spans="1:3" x14ac:dyDescent="0.2">
      <c r="A33" s="15"/>
      <c r="B33" s="16"/>
      <c r="C33" s="17"/>
    </row>
    <row r="34" spans="1:3" x14ac:dyDescent="0.2">
      <c r="A34" s="15"/>
      <c r="B34" s="16"/>
      <c r="C34" s="17"/>
    </row>
    <row r="35" spans="1:3" x14ac:dyDescent="0.2">
      <c r="A35" s="15"/>
      <c r="B35" s="16"/>
      <c r="C35" s="17"/>
    </row>
    <row r="36" spans="1:3" x14ac:dyDescent="0.2">
      <c r="A36" s="15"/>
      <c r="B36" s="16"/>
      <c r="C36" s="17"/>
    </row>
    <row r="37" spans="1:3" x14ac:dyDescent="0.2">
      <c r="A37" s="15"/>
      <c r="B37" s="16"/>
      <c r="C37" s="17"/>
    </row>
    <row r="38" spans="1:3" x14ac:dyDescent="0.2">
      <c r="A38" s="15"/>
      <c r="B38" s="16"/>
      <c r="C38" s="17"/>
    </row>
    <row r="39" spans="1:3" x14ac:dyDescent="0.2">
      <c r="A39" s="15"/>
      <c r="B39" s="16"/>
      <c r="C39" s="17"/>
    </row>
    <row r="40" spans="1:3" x14ac:dyDescent="0.2">
      <c r="A40" s="15"/>
      <c r="B40" s="16"/>
      <c r="C40" s="17"/>
    </row>
    <row r="41" spans="1:3" x14ac:dyDescent="0.2">
      <c r="A41" s="15"/>
      <c r="B41" s="16"/>
      <c r="C41" s="17"/>
    </row>
    <row r="42" spans="1:3" x14ac:dyDescent="0.2">
      <c r="A42" s="15"/>
      <c r="B42" s="16"/>
      <c r="C42" s="17"/>
    </row>
    <row r="43" spans="1:3" x14ac:dyDescent="0.2">
      <c r="A43" s="15"/>
      <c r="B43" s="16"/>
      <c r="C43" s="17"/>
    </row>
    <row r="44" spans="1:3" x14ac:dyDescent="0.2">
      <c r="A44" s="15"/>
      <c r="B44" s="16"/>
      <c r="C44" s="17"/>
    </row>
    <row r="45" spans="1:3" x14ac:dyDescent="0.2">
      <c r="A45" s="15"/>
      <c r="B45" s="16"/>
      <c r="C45" s="17"/>
    </row>
    <row r="46" spans="1:3" x14ac:dyDescent="0.2">
      <c r="A46" s="15"/>
      <c r="B46" s="16"/>
      <c r="C46" s="17"/>
    </row>
    <row r="47" spans="1:3" x14ac:dyDescent="0.2">
      <c r="A47" s="15"/>
      <c r="B47" s="16"/>
      <c r="C47" s="17"/>
    </row>
    <row r="48" spans="1:3" x14ac:dyDescent="0.2">
      <c r="A48" t="s">
        <v>166</v>
      </c>
    </row>
    <row r="49" spans="1:7" x14ac:dyDescent="0.2">
      <c r="A49" t="s">
        <v>113</v>
      </c>
    </row>
    <row r="50" spans="1:7" x14ac:dyDescent="0.2">
      <c r="A50" s="14" t="s">
        <v>99</v>
      </c>
    </row>
    <row r="51" spans="1:7" x14ac:dyDescent="0.2">
      <c r="C51" t="s">
        <v>97</v>
      </c>
    </row>
    <row r="52" spans="1:7" x14ac:dyDescent="0.2">
      <c r="A52" s="64" t="s">
        <v>79</v>
      </c>
      <c r="B52" s="8"/>
      <c r="C52" s="9" t="s">
        <v>80</v>
      </c>
      <c r="D52" s="9" t="s">
        <v>80</v>
      </c>
      <c r="E52" s="9" t="s">
        <v>80</v>
      </c>
      <c r="F52" s="9" t="s">
        <v>84</v>
      </c>
      <c r="G52" s="9" t="s">
        <v>84</v>
      </c>
    </row>
    <row r="53" spans="1:7" ht="23" x14ac:dyDescent="0.2">
      <c r="A53" s="64"/>
      <c r="B53" s="8" t="s">
        <v>21</v>
      </c>
      <c r="C53" s="9" t="s">
        <v>81</v>
      </c>
      <c r="D53" s="9" t="s">
        <v>82</v>
      </c>
      <c r="E53" s="9" t="s">
        <v>98</v>
      </c>
      <c r="F53" s="9" t="s">
        <v>81</v>
      </c>
      <c r="G53" s="9" t="s">
        <v>82</v>
      </c>
    </row>
    <row r="54" spans="1:7" ht="16" thickBot="1" x14ac:dyDescent="0.25">
      <c r="A54" s="10" t="s">
        <v>85</v>
      </c>
      <c r="B54" s="13">
        <v>0.5</v>
      </c>
      <c r="C54" s="12">
        <v>32</v>
      </c>
      <c r="D54" s="12">
        <v>18</v>
      </c>
      <c r="E54" s="12">
        <v>1.77</v>
      </c>
      <c r="F54" s="11" t="s">
        <v>138</v>
      </c>
      <c r="G54" s="11" t="s">
        <v>139</v>
      </c>
    </row>
    <row r="55" spans="1:7" ht="16" thickBot="1" x14ac:dyDescent="0.25">
      <c r="A55" s="10" t="s">
        <v>86</v>
      </c>
      <c r="B55" s="13">
        <v>1.5</v>
      </c>
      <c r="C55" s="12">
        <v>36</v>
      </c>
      <c r="D55" s="12">
        <v>20</v>
      </c>
      <c r="E55" s="12">
        <v>1.65</v>
      </c>
      <c r="F55" s="11" t="s">
        <v>140</v>
      </c>
      <c r="G55" s="11" t="s">
        <v>141</v>
      </c>
    </row>
    <row r="56" spans="1:7" ht="16" thickBot="1" x14ac:dyDescent="0.25">
      <c r="A56" s="10" t="s">
        <v>87</v>
      </c>
      <c r="B56" s="13">
        <v>2.5</v>
      </c>
      <c r="C56" s="12">
        <v>47</v>
      </c>
      <c r="D56" s="12">
        <v>28</v>
      </c>
      <c r="E56" s="12">
        <v>2.46</v>
      </c>
      <c r="F56" s="11" t="s">
        <v>142</v>
      </c>
      <c r="G56" s="11" t="s">
        <v>143</v>
      </c>
    </row>
    <row r="57" spans="1:7" ht="16" thickBot="1" x14ac:dyDescent="0.25">
      <c r="A57" s="10" t="s">
        <v>88</v>
      </c>
      <c r="B57" s="13">
        <v>3.5</v>
      </c>
      <c r="C57" s="12">
        <v>60</v>
      </c>
      <c r="D57" s="12">
        <v>38</v>
      </c>
      <c r="E57" s="12">
        <v>3.08</v>
      </c>
      <c r="F57" s="11" t="s">
        <v>144</v>
      </c>
      <c r="G57" s="11" t="s">
        <v>145</v>
      </c>
    </row>
    <row r="58" spans="1:7" ht="16" thickBot="1" x14ac:dyDescent="0.25">
      <c r="A58" s="10" t="s">
        <v>89</v>
      </c>
      <c r="B58" s="13">
        <v>4.5</v>
      </c>
      <c r="C58" s="12">
        <v>72</v>
      </c>
      <c r="D58" s="12">
        <v>50</v>
      </c>
      <c r="E58" s="12">
        <v>3.2</v>
      </c>
      <c r="F58" s="11" t="s">
        <v>146</v>
      </c>
      <c r="G58" s="11" t="s">
        <v>147</v>
      </c>
    </row>
    <row r="59" spans="1:7" ht="16" thickBot="1" x14ac:dyDescent="0.25">
      <c r="A59" s="10" t="s">
        <v>90</v>
      </c>
      <c r="B59" s="13">
        <v>5.5</v>
      </c>
      <c r="C59" s="12">
        <v>81</v>
      </c>
      <c r="D59" s="12">
        <v>59</v>
      </c>
      <c r="E59" s="12">
        <v>3.29</v>
      </c>
      <c r="F59" s="11" t="s">
        <v>148</v>
      </c>
      <c r="G59" s="11" t="s">
        <v>149</v>
      </c>
    </row>
    <row r="60" spans="1:7" ht="16" thickBot="1" x14ac:dyDescent="0.25">
      <c r="A60" s="10" t="s">
        <v>91</v>
      </c>
      <c r="B60" s="13">
        <v>6.5</v>
      </c>
      <c r="C60" s="12">
        <v>85</v>
      </c>
      <c r="D60" s="12">
        <v>63</v>
      </c>
      <c r="E60" s="12">
        <v>2.93</v>
      </c>
      <c r="F60" s="11" t="s">
        <v>150</v>
      </c>
      <c r="G60" s="11" t="s">
        <v>151</v>
      </c>
    </row>
    <row r="61" spans="1:7" ht="16" thickBot="1" x14ac:dyDescent="0.25">
      <c r="A61" s="10" t="s">
        <v>92</v>
      </c>
      <c r="B61" s="13">
        <v>7.5</v>
      </c>
      <c r="C61" s="12">
        <v>82</v>
      </c>
      <c r="D61" s="12">
        <v>61</v>
      </c>
      <c r="E61" s="12">
        <v>3.35</v>
      </c>
      <c r="F61" s="11" t="s">
        <v>152</v>
      </c>
      <c r="G61" s="11" t="s">
        <v>153</v>
      </c>
    </row>
    <row r="62" spans="1:7" ht="16" thickBot="1" x14ac:dyDescent="0.25">
      <c r="A62" s="10" t="s">
        <v>93</v>
      </c>
      <c r="B62" s="13">
        <v>8.5</v>
      </c>
      <c r="C62" s="12">
        <v>75</v>
      </c>
      <c r="D62" s="12">
        <v>54</v>
      </c>
      <c r="E62" s="12">
        <v>3.49</v>
      </c>
      <c r="F62" s="11" t="s">
        <v>154</v>
      </c>
      <c r="G62" s="11" t="s">
        <v>155</v>
      </c>
    </row>
    <row r="63" spans="1:7" ht="16" thickBot="1" x14ac:dyDescent="0.25">
      <c r="A63" s="10" t="s">
        <v>94</v>
      </c>
      <c r="B63" s="13">
        <v>9.5</v>
      </c>
      <c r="C63" s="12">
        <v>63</v>
      </c>
      <c r="D63" s="12">
        <v>43</v>
      </c>
      <c r="E63" s="12">
        <v>2.35</v>
      </c>
      <c r="F63" s="11" t="s">
        <v>156</v>
      </c>
      <c r="G63" s="11" t="s">
        <v>157</v>
      </c>
    </row>
    <row r="64" spans="1:7" ht="16" thickBot="1" x14ac:dyDescent="0.25">
      <c r="A64" s="10" t="s">
        <v>95</v>
      </c>
      <c r="B64" s="13">
        <v>10.5</v>
      </c>
      <c r="C64" s="12">
        <v>48</v>
      </c>
      <c r="D64" s="12">
        <v>33</v>
      </c>
      <c r="E64" s="12">
        <v>2.79</v>
      </c>
      <c r="F64" s="11" t="s">
        <v>158</v>
      </c>
      <c r="G64" s="11" t="s">
        <v>159</v>
      </c>
    </row>
    <row r="65" spans="1:7" ht="16" thickBot="1" x14ac:dyDescent="0.25">
      <c r="A65" s="10" t="s">
        <v>96</v>
      </c>
      <c r="B65" s="13">
        <v>11.5</v>
      </c>
      <c r="C65" s="12">
        <v>36</v>
      </c>
      <c r="D65" s="12">
        <v>23</v>
      </c>
      <c r="E65" s="12">
        <v>2.44</v>
      </c>
      <c r="F65" s="11" t="s">
        <v>160</v>
      </c>
      <c r="G65" s="11" t="s">
        <v>161</v>
      </c>
    </row>
    <row r="68" spans="1:7" x14ac:dyDescent="0.2">
      <c r="A68" t="s">
        <v>114</v>
      </c>
    </row>
    <row r="69" spans="1:7" x14ac:dyDescent="0.2">
      <c r="A69" s="14" t="s">
        <v>112</v>
      </c>
    </row>
    <row r="71" spans="1:7" x14ac:dyDescent="0.2">
      <c r="A71" s="64" t="s">
        <v>79</v>
      </c>
      <c r="C71" s="9" t="s">
        <v>80</v>
      </c>
      <c r="D71" s="9" t="s">
        <v>80</v>
      </c>
      <c r="E71" s="9" t="s">
        <v>80</v>
      </c>
      <c r="F71" s="9" t="s">
        <v>84</v>
      </c>
      <c r="G71" s="9" t="s">
        <v>84</v>
      </c>
    </row>
    <row r="72" spans="1:7" x14ac:dyDescent="0.2">
      <c r="A72" s="64"/>
      <c r="B72" s="8" t="s">
        <v>21</v>
      </c>
      <c r="C72" s="9" t="s">
        <v>81</v>
      </c>
      <c r="D72" s="9" t="s">
        <v>82</v>
      </c>
      <c r="E72" s="9" t="s">
        <v>83</v>
      </c>
      <c r="F72" s="9" t="s">
        <v>81</v>
      </c>
      <c r="G72" s="9" t="s">
        <v>82</v>
      </c>
    </row>
    <row r="73" spans="1:7" ht="16" thickBot="1" x14ac:dyDescent="0.25">
      <c r="A73" s="10" t="s">
        <v>85</v>
      </c>
      <c r="B73" s="13">
        <v>0.5</v>
      </c>
      <c r="C73" s="11">
        <v>68</v>
      </c>
      <c r="D73" s="11">
        <v>46</v>
      </c>
      <c r="E73" s="11" t="s">
        <v>100</v>
      </c>
      <c r="F73" s="11" t="s">
        <v>115</v>
      </c>
      <c r="G73" s="11" t="s">
        <v>116</v>
      </c>
    </row>
    <row r="74" spans="1:7" ht="16" thickBot="1" x14ac:dyDescent="0.25">
      <c r="A74" s="10" t="s">
        <v>86</v>
      </c>
      <c r="B74" s="13">
        <v>1.5</v>
      </c>
      <c r="C74" s="11">
        <v>70</v>
      </c>
      <c r="D74" s="11">
        <v>47</v>
      </c>
      <c r="E74" s="11" t="s">
        <v>101</v>
      </c>
      <c r="F74" s="11" t="s">
        <v>117</v>
      </c>
      <c r="G74" s="11" t="s">
        <v>118</v>
      </c>
    </row>
    <row r="75" spans="1:7" ht="16" thickBot="1" x14ac:dyDescent="0.25">
      <c r="A75" s="10" t="s">
        <v>87</v>
      </c>
      <c r="B75" s="13">
        <v>2.5</v>
      </c>
      <c r="C75" s="11">
        <v>70</v>
      </c>
      <c r="D75" s="11">
        <v>49</v>
      </c>
      <c r="E75" s="11" t="s">
        <v>102</v>
      </c>
      <c r="F75" s="11" t="s">
        <v>119</v>
      </c>
      <c r="G75" s="11" t="s">
        <v>120</v>
      </c>
    </row>
    <row r="76" spans="1:7" ht="16" thickBot="1" x14ac:dyDescent="0.25">
      <c r="A76" s="10" t="s">
        <v>88</v>
      </c>
      <c r="B76" s="13">
        <v>3.5</v>
      </c>
      <c r="C76" s="11">
        <v>73</v>
      </c>
      <c r="D76" s="11">
        <v>51</v>
      </c>
      <c r="E76" s="11" t="s">
        <v>103</v>
      </c>
      <c r="F76" s="11" t="s">
        <v>121</v>
      </c>
      <c r="G76" s="11" t="s">
        <v>122</v>
      </c>
    </row>
    <row r="77" spans="1:7" ht="16" thickBot="1" x14ac:dyDescent="0.25">
      <c r="A77" s="10" t="s">
        <v>89</v>
      </c>
      <c r="B77" s="13">
        <v>4.5</v>
      </c>
      <c r="C77" s="11">
        <v>74</v>
      </c>
      <c r="D77" s="11">
        <v>55</v>
      </c>
      <c r="E77" s="11" t="s">
        <v>104</v>
      </c>
      <c r="F77" s="11" t="s">
        <v>123</v>
      </c>
      <c r="G77" s="11" t="s">
        <v>124</v>
      </c>
    </row>
    <row r="78" spans="1:7" ht="16" thickBot="1" x14ac:dyDescent="0.25">
      <c r="A78" s="10" t="s">
        <v>90</v>
      </c>
      <c r="B78" s="13">
        <v>5.5</v>
      </c>
      <c r="C78" s="11">
        <v>79</v>
      </c>
      <c r="D78" s="11">
        <v>59</v>
      </c>
      <c r="E78" s="11" t="s">
        <v>105</v>
      </c>
      <c r="F78" s="11" t="s">
        <v>125</v>
      </c>
      <c r="G78" s="11" t="s">
        <v>126</v>
      </c>
    </row>
    <row r="79" spans="1:7" ht="16" thickBot="1" x14ac:dyDescent="0.25">
      <c r="A79" s="10" t="s">
        <v>91</v>
      </c>
      <c r="B79" s="13">
        <v>6.5</v>
      </c>
      <c r="C79" s="11">
        <v>84</v>
      </c>
      <c r="D79" s="11">
        <v>62</v>
      </c>
      <c r="E79" s="11" t="s">
        <v>106</v>
      </c>
      <c r="F79" s="11" t="s">
        <v>127</v>
      </c>
      <c r="G79" s="11" t="s">
        <v>128</v>
      </c>
    </row>
    <row r="80" spans="1:7" ht="16" thickBot="1" x14ac:dyDescent="0.25">
      <c r="A80" s="10" t="s">
        <v>92</v>
      </c>
      <c r="B80" s="13">
        <v>7.5</v>
      </c>
      <c r="C80" s="11">
        <v>86</v>
      </c>
      <c r="D80" s="11">
        <v>64</v>
      </c>
      <c r="E80" s="11" t="s">
        <v>107</v>
      </c>
      <c r="F80" s="11" t="s">
        <v>129</v>
      </c>
      <c r="G80" s="11" t="s">
        <v>130</v>
      </c>
    </row>
    <row r="81" spans="1:7" ht="16" thickBot="1" x14ac:dyDescent="0.25">
      <c r="A81" s="10" t="s">
        <v>93</v>
      </c>
      <c r="B81" s="13">
        <v>8.5</v>
      </c>
      <c r="C81" s="11">
        <v>84</v>
      </c>
      <c r="D81" s="11">
        <v>62</v>
      </c>
      <c r="E81" s="11" t="s">
        <v>108</v>
      </c>
      <c r="F81" s="11" t="s">
        <v>131</v>
      </c>
      <c r="G81" s="11" t="s">
        <v>132</v>
      </c>
    </row>
    <row r="82" spans="1:7" ht="16" thickBot="1" x14ac:dyDescent="0.25">
      <c r="A82" s="10" t="s">
        <v>94</v>
      </c>
      <c r="B82" s="13">
        <v>9.5</v>
      </c>
      <c r="C82" s="11">
        <v>80</v>
      </c>
      <c r="D82" s="11">
        <v>57</v>
      </c>
      <c r="E82" s="11" t="s">
        <v>109</v>
      </c>
      <c r="F82" s="11" t="s">
        <v>133</v>
      </c>
      <c r="G82" s="11" t="s">
        <v>134</v>
      </c>
    </row>
    <row r="83" spans="1:7" ht="16" thickBot="1" x14ac:dyDescent="0.25">
      <c r="A83" s="10" t="s">
        <v>95</v>
      </c>
      <c r="B83" s="13">
        <v>10.5</v>
      </c>
      <c r="C83" s="11">
        <v>73</v>
      </c>
      <c r="D83" s="11">
        <v>50</v>
      </c>
      <c r="E83" s="11" t="s">
        <v>110</v>
      </c>
      <c r="F83" s="11" t="s">
        <v>135</v>
      </c>
      <c r="G83" s="11" t="s">
        <v>134</v>
      </c>
    </row>
    <row r="84" spans="1:7" ht="16" thickBot="1" x14ac:dyDescent="0.25">
      <c r="A84" s="10" t="s">
        <v>96</v>
      </c>
      <c r="B84" s="13">
        <v>11.5</v>
      </c>
      <c r="C84" s="11">
        <v>69</v>
      </c>
      <c r="D84" s="11">
        <v>45</v>
      </c>
      <c r="E84" s="11" t="s">
        <v>111</v>
      </c>
      <c r="F84" s="11" t="s">
        <v>136</v>
      </c>
      <c r="G84" s="11" t="s">
        <v>137</v>
      </c>
    </row>
  </sheetData>
  <mergeCells count="3">
    <mergeCell ref="A52:A53"/>
    <mergeCell ref="A71:A72"/>
    <mergeCell ref="A14:A15"/>
  </mergeCells>
  <hyperlinks>
    <hyperlink ref="A54" r:id="rId1" display="http://www.weather.com/outlook/recreation/ski/wxclimatology/daily/48197?climoMonth=1"/>
    <hyperlink ref="A55" r:id="rId2" display="http://www.weather.com/outlook/recreation/ski/wxclimatology/daily/48197?climoMonth=2"/>
    <hyperlink ref="A56" r:id="rId3" display="http://www.weather.com/outlook/recreation/ski/wxclimatology/daily/48197?climoMonth=3"/>
    <hyperlink ref="A57" r:id="rId4" display="http://www.weather.com/outlook/recreation/ski/wxclimatology/daily/48197?climoMonth=4"/>
    <hyperlink ref="A58" r:id="rId5" display="http://www.weather.com/outlook/recreation/ski/wxclimatology/daily/48197?climoMonth=5"/>
    <hyperlink ref="A59" r:id="rId6" display="http://www.weather.com/outlook/recreation/ski/wxclimatology/daily/48197?climoMonth=6"/>
    <hyperlink ref="A60" r:id="rId7" display="http://www.weather.com/outlook/recreation/ski/wxclimatology/daily/48197?climoMonth=7"/>
    <hyperlink ref="A61" r:id="rId8" display="http://www.weather.com/outlook/recreation/ski/wxclimatology/daily/48197?climoMonth=8"/>
    <hyperlink ref="A62" r:id="rId9" display="http://www.weather.com/outlook/recreation/ski/wxclimatology/daily/48197?climoMonth=9"/>
    <hyperlink ref="A63" r:id="rId10" display="http://www.weather.com/outlook/recreation/ski/wxclimatology/daily/48197?climoMonth=10"/>
    <hyperlink ref="A64" r:id="rId11" display="http://www.weather.com/outlook/recreation/ski/wxclimatology/daily/48197?climoMonth=11"/>
    <hyperlink ref="A65" r:id="rId12" display="http://www.weather.com/outlook/recreation/ski/wxclimatology/daily/48197?climoMonth=12"/>
    <hyperlink ref="A50" r:id="rId13"/>
    <hyperlink ref="A73" r:id="rId14" display="http://www.weather.com/outlook/recreation/ski/wxclimatology/daily/92115?climoMonth=1"/>
    <hyperlink ref="A74" r:id="rId15" display="http://www.weather.com/outlook/recreation/ski/wxclimatology/daily/92115?climoMonth=2"/>
    <hyperlink ref="A75" r:id="rId16" display="http://www.weather.com/outlook/recreation/ski/wxclimatology/daily/92115?climoMonth=3"/>
    <hyperlink ref="A76" r:id="rId17" display="http://www.weather.com/outlook/recreation/ski/wxclimatology/daily/92115?climoMonth=4"/>
    <hyperlink ref="A77" r:id="rId18" display="http://www.weather.com/outlook/recreation/ski/wxclimatology/daily/92115?climoMonth=5"/>
    <hyperlink ref="A78" r:id="rId19" display="http://www.weather.com/outlook/recreation/ski/wxclimatology/daily/92115?climoMonth=6"/>
    <hyperlink ref="A79" r:id="rId20" display="http://www.weather.com/outlook/recreation/ski/wxclimatology/daily/92115?climoMonth=7"/>
    <hyperlink ref="A80" r:id="rId21" display="http://www.weather.com/outlook/recreation/ski/wxclimatology/daily/92115?climoMonth=8"/>
    <hyperlink ref="A81" r:id="rId22" display="http://www.weather.com/outlook/recreation/ski/wxclimatology/daily/92115?climoMonth=9"/>
    <hyperlink ref="A82" r:id="rId23" display="http://www.weather.com/outlook/recreation/ski/wxclimatology/daily/92115?climoMonth=10"/>
    <hyperlink ref="A83" r:id="rId24" display="http://www.weather.com/outlook/recreation/ski/wxclimatology/daily/92115?climoMonth=11"/>
    <hyperlink ref="A84" r:id="rId25" display="http://www.weather.com/outlook/recreation/ski/wxclimatology/daily/92115?climoMonth=12"/>
    <hyperlink ref="A69" r:id="rId26"/>
  </hyperlinks>
  <pageMargins left="0.7" right="0.7" top="0.75" bottom="0.75" header="0.3" footer="0.3"/>
  <pageSetup orientation="portrait" horizontalDpi="0" verticalDpi="0"/>
  <drawing r:id="rId2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opLeftCell="A3" zoomScale="150" zoomScaleNormal="150" zoomScalePageLayoutView="150" workbookViewId="0">
      <selection activeCell="J18" sqref="J18"/>
    </sheetView>
  </sheetViews>
  <sheetFormatPr baseColWidth="10" defaultColWidth="8.83203125" defaultRowHeight="15" x14ac:dyDescent="0.2"/>
  <cols>
    <col min="2" max="2" width="10.6640625" customWidth="1"/>
    <col min="3" max="3" width="9.33203125" bestFit="1" customWidth="1"/>
    <col min="4" max="4" width="11.83203125" bestFit="1" customWidth="1"/>
  </cols>
  <sheetData>
    <row r="1" spans="1:15" x14ac:dyDescent="0.2">
      <c r="A1" t="s">
        <v>170</v>
      </c>
    </row>
    <row r="2" spans="1:15" x14ac:dyDescent="0.2">
      <c r="A2" t="s">
        <v>171</v>
      </c>
    </row>
    <row r="3" spans="1:15" x14ac:dyDescent="0.2">
      <c r="A3" t="s">
        <v>172</v>
      </c>
      <c r="J3" t="s">
        <v>341</v>
      </c>
    </row>
    <row r="4" spans="1:15" x14ac:dyDescent="0.2">
      <c r="A4" t="s">
        <v>33</v>
      </c>
    </row>
    <row r="5" spans="1:15" x14ac:dyDescent="0.2">
      <c r="A5" t="s">
        <v>34</v>
      </c>
    </row>
    <row r="6" spans="1:15" x14ac:dyDescent="0.2">
      <c r="A6" t="s">
        <v>35</v>
      </c>
    </row>
    <row r="7" spans="1:15" x14ac:dyDescent="0.2">
      <c r="A7" t="s">
        <v>169</v>
      </c>
    </row>
    <row r="8" spans="1:15" x14ac:dyDescent="0.2">
      <c r="A8" t="s">
        <v>173</v>
      </c>
    </row>
    <row r="9" spans="1:15" x14ac:dyDescent="0.2">
      <c r="A9" t="s">
        <v>177</v>
      </c>
    </row>
    <row r="10" spans="1:15" x14ac:dyDescent="0.2">
      <c r="A10" t="s">
        <v>176</v>
      </c>
    </row>
    <row r="11" spans="1:15" x14ac:dyDescent="0.2">
      <c r="A11" t="s">
        <v>174</v>
      </c>
    </row>
    <row r="12" spans="1:15" x14ac:dyDescent="0.2">
      <c r="A12" t="s">
        <v>175</v>
      </c>
    </row>
    <row r="13" spans="1:15" x14ac:dyDescent="0.2">
      <c r="D13">
        <v>1</v>
      </c>
      <c r="E13">
        <v>1</v>
      </c>
      <c r="F13">
        <v>2</v>
      </c>
      <c r="G13">
        <v>2</v>
      </c>
    </row>
    <row r="14" spans="1:15" x14ac:dyDescent="0.2">
      <c r="A14" s="64" t="s">
        <v>79</v>
      </c>
      <c r="B14" s="8"/>
      <c r="C14" s="9" t="s">
        <v>80</v>
      </c>
      <c r="D14">
        <f>N15</f>
        <v>-7.9284336936475546</v>
      </c>
      <c r="E14">
        <f>M15</f>
        <v>-25.104780297825013</v>
      </c>
      <c r="F14">
        <f>L15</f>
        <v>-0.41666666666666513</v>
      </c>
      <c r="G14">
        <f>K15</f>
        <v>-1.5877132402714755</v>
      </c>
      <c r="H14">
        <f>O15</f>
        <v>59.75</v>
      </c>
      <c r="I14" t="s">
        <v>340</v>
      </c>
      <c r="K14" t="s">
        <v>339</v>
      </c>
      <c r="L14" t="s">
        <v>338</v>
      </c>
      <c r="M14" t="s">
        <v>46</v>
      </c>
      <c r="N14" t="s">
        <v>45</v>
      </c>
      <c r="O14" t="s">
        <v>333</v>
      </c>
    </row>
    <row r="15" spans="1:15" x14ac:dyDescent="0.2">
      <c r="A15" s="64"/>
      <c r="B15" s="8" t="s">
        <v>168</v>
      </c>
      <c r="C15" s="9" t="s">
        <v>167</v>
      </c>
      <c r="D15" t="s">
        <v>45</v>
      </c>
      <c r="E15" t="s">
        <v>46</v>
      </c>
      <c r="F15" t="s">
        <v>338</v>
      </c>
      <c r="G15" t="s">
        <v>339</v>
      </c>
      <c r="H15" t="s">
        <v>337</v>
      </c>
      <c r="I15" t="s">
        <v>336</v>
      </c>
      <c r="K15">
        <f t="array" ref="K15:O15">LINEST(C16:C27,D16:G27,TRUE,TRUE)</f>
        <v>-1.5877132402714755</v>
      </c>
      <c r="L15">
        <v>-0.41666666666666513</v>
      </c>
      <c r="M15">
        <v>-25.104780297825013</v>
      </c>
      <c r="N15">
        <v>-7.9284336936475546</v>
      </c>
      <c r="O15">
        <v>59.75</v>
      </c>
    </row>
    <row r="16" spans="1:15" ht="16" thickBot="1" x14ac:dyDescent="0.25">
      <c r="A16" t="s">
        <v>85</v>
      </c>
      <c r="B16" s="13">
        <v>0.5</v>
      </c>
      <c r="C16" s="12">
        <v>32</v>
      </c>
      <c r="D16">
        <f>SIN(2*PI()*B16*D$13/12)</f>
        <v>0.25881904510252074</v>
      </c>
      <c r="E16">
        <f>COS(2*PI()*B16*$E$13/12)</f>
        <v>0.96592582628906831</v>
      </c>
      <c r="F16">
        <f>SIN(2*PI()*B16*F$13/12)</f>
        <v>0.49999999999999994</v>
      </c>
      <c r="G16">
        <f>COS(2*PI()*B16*G$13/12)</f>
        <v>0.86602540378443871</v>
      </c>
      <c r="H16">
        <f>$D$14*D16+$E$14*E16+$F$14*F16+$G$14*G16+$H$14</f>
        <v>31.865281375936007</v>
      </c>
      <c r="I16">
        <f>C16-H16</f>
        <v>0.13471862406399282</v>
      </c>
    </row>
    <row r="17" spans="1:9" ht="16" thickBot="1" x14ac:dyDescent="0.25">
      <c r="A17" t="s">
        <v>86</v>
      </c>
      <c r="B17" s="13">
        <v>1.5</v>
      </c>
      <c r="C17" s="12">
        <v>36</v>
      </c>
      <c r="D17">
        <f t="shared" ref="D17:D27" si="0">SIN(2*PI()*B17*D$13/12)</f>
        <v>0.70710678118654746</v>
      </c>
      <c r="E17">
        <f t="shared" ref="E17:E27" si="1">COS(2*PI()*B17*$E$13/12)</f>
        <v>0.70710678118654757</v>
      </c>
      <c r="F17">
        <f t="shared" ref="F17:F27" si="2">SIN(2*PI()*B17*F$13/12)</f>
        <v>1</v>
      </c>
      <c r="G17">
        <f t="shared" ref="G17:G27" si="3">COS(2*PI()*B17*G$13/12)</f>
        <v>6.1257422745431001E-17</v>
      </c>
      <c r="H17">
        <f t="shared" ref="H17:H27" si="4">$D$14*D17+$E$14*E17+$F$14*F17+$G$14*G17+$H$14</f>
        <v>35.975323715576742</v>
      </c>
      <c r="I17">
        <f t="shared" ref="I17:I27" si="5">C17-H17</f>
        <v>2.4676284423257755E-2</v>
      </c>
    </row>
    <row r="18" spans="1:9" ht="16" thickBot="1" x14ac:dyDescent="0.25">
      <c r="A18" t="s">
        <v>87</v>
      </c>
      <c r="B18" s="13">
        <v>2.5</v>
      </c>
      <c r="C18" s="12">
        <v>47</v>
      </c>
      <c r="D18">
        <f t="shared" si="0"/>
        <v>0.96592582628906831</v>
      </c>
      <c r="E18">
        <f t="shared" si="1"/>
        <v>0.25881904510252074</v>
      </c>
      <c r="F18">
        <f t="shared" si="2"/>
        <v>0.49999999999999994</v>
      </c>
      <c r="G18">
        <f t="shared" si="3"/>
        <v>-0.86602540378443871</v>
      </c>
      <c r="H18">
        <f t="shared" si="4"/>
        <v>46.760792535760423</v>
      </c>
      <c r="I18">
        <f t="shared" si="5"/>
        <v>0.23920746423957695</v>
      </c>
    </row>
    <row r="19" spans="1:9" ht="16" thickBot="1" x14ac:dyDescent="0.25">
      <c r="A19" t="s">
        <v>88</v>
      </c>
      <c r="B19" s="13">
        <v>3.5</v>
      </c>
      <c r="C19" s="12">
        <v>60</v>
      </c>
      <c r="D19">
        <f t="shared" si="0"/>
        <v>0.96592582628906831</v>
      </c>
      <c r="E19">
        <f t="shared" si="1"/>
        <v>-0.25881904510252063</v>
      </c>
      <c r="F19">
        <f t="shared" si="2"/>
        <v>-0.49999999999999972</v>
      </c>
      <c r="G19">
        <f t="shared" si="3"/>
        <v>-0.86602540378443882</v>
      </c>
      <c r="H19">
        <f t="shared" si="4"/>
        <v>60.172649730810377</v>
      </c>
      <c r="I19">
        <f t="shared" si="5"/>
        <v>-0.17264973081037738</v>
      </c>
    </row>
    <row r="20" spans="1:9" ht="16" thickBot="1" x14ac:dyDescent="0.25">
      <c r="A20" t="s">
        <v>89</v>
      </c>
      <c r="B20" s="13">
        <v>4.5</v>
      </c>
      <c r="C20" s="12">
        <v>72</v>
      </c>
      <c r="D20">
        <f t="shared" si="0"/>
        <v>0.70710678118654757</v>
      </c>
      <c r="E20">
        <f t="shared" si="1"/>
        <v>-0.70710678118654746</v>
      </c>
      <c r="F20">
        <f t="shared" si="2"/>
        <v>-1</v>
      </c>
      <c r="G20">
        <f t="shared" si="3"/>
        <v>-1.83772268236293E-16</v>
      </c>
      <c r="H20">
        <f t="shared" si="4"/>
        <v>72.312177826491066</v>
      </c>
      <c r="I20">
        <f t="shared" si="5"/>
        <v>-0.31217782649106596</v>
      </c>
    </row>
    <row r="21" spans="1:9" ht="16" thickBot="1" x14ac:dyDescent="0.25">
      <c r="A21" t="s">
        <v>90</v>
      </c>
      <c r="B21" s="13">
        <v>5.5</v>
      </c>
      <c r="C21" s="12">
        <v>81</v>
      </c>
      <c r="D21">
        <f t="shared" si="0"/>
        <v>0.25881904510252102</v>
      </c>
      <c r="E21">
        <f t="shared" si="1"/>
        <v>-0.9659258262890682</v>
      </c>
      <c r="F21">
        <f t="shared" si="2"/>
        <v>-0.50000000000000044</v>
      </c>
      <c r="G21">
        <f t="shared" si="3"/>
        <v>0.86602540378443837</v>
      </c>
      <c r="H21">
        <f t="shared" si="4"/>
        <v>80.780659348566957</v>
      </c>
      <c r="I21">
        <f t="shared" si="5"/>
        <v>0.21934065143304338</v>
      </c>
    </row>
    <row r="22" spans="1:9" ht="16" thickBot="1" x14ac:dyDescent="0.25">
      <c r="A22" t="s">
        <v>91</v>
      </c>
      <c r="B22" s="13">
        <v>6.5</v>
      </c>
      <c r="C22" s="12">
        <v>85</v>
      </c>
      <c r="D22">
        <f t="shared" si="0"/>
        <v>-0.25881904510252079</v>
      </c>
      <c r="E22">
        <f t="shared" si="1"/>
        <v>-0.96592582628906831</v>
      </c>
      <c r="F22">
        <f t="shared" si="2"/>
        <v>0.5</v>
      </c>
      <c r="G22">
        <f t="shared" si="3"/>
        <v>0.8660254037844386</v>
      </c>
      <c r="H22">
        <f t="shared" si="4"/>
        <v>84.468051957397321</v>
      </c>
      <c r="I22">
        <f t="shared" si="5"/>
        <v>0.53194804260267858</v>
      </c>
    </row>
    <row r="23" spans="1:9" ht="16" thickBot="1" x14ac:dyDescent="0.25">
      <c r="A23" t="s">
        <v>92</v>
      </c>
      <c r="B23" s="13">
        <v>7.5</v>
      </c>
      <c r="C23" s="12">
        <v>82</v>
      </c>
      <c r="D23">
        <f t="shared" si="0"/>
        <v>-0.70710678118654713</v>
      </c>
      <c r="E23">
        <f t="shared" si="1"/>
        <v>-0.70710678118654791</v>
      </c>
      <c r="F23">
        <f t="shared" si="2"/>
        <v>1</v>
      </c>
      <c r="G23">
        <f t="shared" si="3"/>
        <v>1.1944655334272802E-15</v>
      </c>
      <c r="H23">
        <f t="shared" si="4"/>
        <v>82.691342951089936</v>
      </c>
      <c r="I23">
        <f t="shared" si="5"/>
        <v>-0.69134295108993626</v>
      </c>
    </row>
    <row r="24" spans="1:9" ht="16" thickBot="1" x14ac:dyDescent="0.25">
      <c r="A24" t="s">
        <v>93</v>
      </c>
      <c r="B24" s="13">
        <v>8.5</v>
      </c>
      <c r="C24" s="12">
        <v>75</v>
      </c>
      <c r="D24">
        <f t="shared" si="0"/>
        <v>-0.96592582628906831</v>
      </c>
      <c r="E24">
        <f t="shared" si="1"/>
        <v>-0.25881904510252063</v>
      </c>
      <c r="F24">
        <f t="shared" si="2"/>
        <v>0.49999999999999978</v>
      </c>
      <c r="G24">
        <f t="shared" si="3"/>
        <v>-0.86602540378443882</v>
      </c>
      <c r="H24">
        <f t="shared" si="4"/>
        <v>75.072540797572913</v>
      </c>
      <c r="I24">
        <f t="shared" si="5"/>
        <v>-7.2540797572912652E-2</v>
      </c>
    </row>
    <row r="25" spans="1:9" ht="16" thickBot="1" x14ac:dyDescent="0.25">
      <c r="A25" t="s">
        <v>94</v>
      </c>
      <c r="B25" s="13">
        <v>9.5</v>
      </c>
      <c r="C25" s="12">
        <v>63</v>
      </c>
      <c r="D25">
        <f t="shared" si="0"/>
        <v>-0.96592582628906842</v>
      </c>
      <c r="E25">
        <f t="shared" si="1"/>
        <v>0.2588190451025203</v>
      </c>
      <c r="F25">
        <f t="shared" si="2"/>
        <v>-0.49999999999999917</v>
      </c>
      <c r="G25">
        <f t="shared" si="3"/>
        <v>-0.86602540378443915</v>
      </c>
      <c r="H25">
        <f t="shared" si="4"/>
        <v>62.494016935856308</v>
      </c>
      <c r="I25">
        <f t="shared" si="5"/>
        <v>0.50598306414369176</v>
      </c>
    </row>
    <row r="26" spans="1:9" ht="16" thickBot="1" x14ac:dyDescent="0.25">
      <c r="A26" t="s">
        <v>95</v>
      </c>
      <c r="B26" s="13">
        <v>10.5</v>
      </c>
      <c r="C26" s="12">
        <v>48</v>
      </c>
      <c r="D26">
        <f t="shared" si="0"/>
        <v>-0.70710678118654768</v>
      </c>
      <c r="E26">
        <f t="shared" si="1"/>
        <v>0.70710678118654735</v>
      </c>
      <c r="F26">
        <f t="shared" si="2"/>
        <v>-1</v>
      </c>
      <c r="G26">
        <f t="shared" si="3"/>
        <v>-4.28801959218017E-16</v>
      </c>
      <c r="H26">
        <f t="shared" si="4"/>
        <v>48.021155506842263</v>
      </c>
      <c r="I26">
        <f t="shared" si="5"/>
        <v>-2.1155506842262639E-2</v>
      </c>
    </row>
    <row r="27" spans="1:9" ht="16" thickBot="1" x14ac:dyDescent="0.25">
      <c r="A27" t="s">
        <v>96</v>
      </c>
      <c r="B27" s="13">
        <v>11.5</v>
      </c>
      <c r="C27" s="12">
        <v>36</v>
      </c>
      <c r="D27">
        <f t="shared" si="0"/>
        <v>-0.25881904510252157</v>
      </c>
      <c r="E27">
        <f t="shared" si="1"/>
        <v>0.96592582628906809</v>
      </c>
      <c r="F27">
        <f t="shared" si="2"/>
        <v>-0.50000000000000144</v>
      </c>
      <c r="G27">
        <f t="shared" si="3"/>
        <v>0.86602540378443782</v>
      </c>
      <c r="H27">
        <f t="shared" si="4"/>
        <v>36.386007318099701</v>
      </c>
      <c r="I27">
        <f t="shared" si="5"/>
        <v>-0.38600731809970057</v>
      </c>
    </row>
    <row r="28" spans="1:9" x14ac:dyDescent="0.2">
      <c r="A28" s="15"/>
      <c r="B28" s="16"/>
      <c r="C28" s="17"/>
    </row>
    <row r="29" spans="1:9" x14ac:dyDescent="0.2">
      <c r="A29" s="15"/>
      <c r="B29" s="16"/>
      <c r="C29" s="17"/>
    </row>
  </sheetData>
  <mergeCells count="1">
    <mergeCell ref="A14:A15"/>
  </mergeCells>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160" zoomScaleNormal="160" zoomScalePageLayoutView="160" workbookViewId="0">
      <selection activeCell="E21" sqref="E21"/>
    </sheetView>
  </sheetViews>
  <sheetFormatPr baseColWidth="10" defaultRowHeight="15" x14ac:dyDescent="0.2"/>
  <sheetData>
    <row r="1" spans="1:9" x14ac:dyDescent="0.2">
      <c r="A1" t="s">
        <v>47</v>
      </c>
    </row>
    <row r="2" spans="1:9" ht="16" thickBot="1" x14ac:dyDescent="0.25"/>
    <row r="3" spans="1:9" x14ac:dyDescent="0.2">
      <c r="A3" s="6" t="s">
        <v>48</v>
      </c>
      <c r="B3" s="6"/>
    </row>
    <row r="4" spans="1:9" x14ac:dyDescent="0.2">
      <c r="A4" s="3" t="s">
        <v>49</v>
      </c>
      <c r="B4" s="3">
        <v>0.99979137258667805</v>
      </c>
    </row>
    <row r="5" spans="1:9" x14ac:dyDescent="0.2">
      <c r="A5" s="3" t="s">
        <v>50</v>
      </c>
      <c r="B5" s="3">
        <v>0.99958278869875372</v>
      </c>
    </row>
    <row r="6" spans="1:9" x14ac:dyDescent="0.2">
      <c r="A6" s="3" t="s">
        <v>51</v>
      </c>
      <c r="B6" s="3">
        <v>0.99930464783125628</v>
      </c>
    </row>
    <row r="7" spans="1:9" x14ac:dyDescent="0.2">
      <c r="A7" s="3" t="s">
        <v>52</v>
      </c>
      <c r="B7" s="3">
        <v>0.48164522862746406</v>
      </c>
    </row>
    <row r="8" spans="1:9" ht="16" thickBot="1" x14ac:dyDescent="0.25">
      <c r="A8" s="4" t="s">
        <v>53</v>
      </c>
      <c r="B8" s="4">
        <v>11</v>
      </c>
    </row>
    <row r="10" spans="1:9" ht="16" thickBot="1" x14ac:dyDescent="0.25">
      <c r="A10" t="s">
        <v>54</v>
      </c>
    </row>
    <row r="11" spans="1:9" x14ac:dyDescent="0.2">
      <c r="A11" s="5"/>
      <c r="B11" s="5" t="s">
        <v>59</v>
      </c>
      <c r="C11" s="5" t="s">
        <v>60</v>
      </c>
      <c r="D11" s="5" t="s">
        <v>61</v>
      </c>
      <c r="E11" s="5" t="s">
        <v>62</v>
      </c>
      <c r="F11" s="5" t="s">
        <v>63</v>
      </c>
    </row>
    <row r="12" spans="1:9" x14ac:dyDescent="0.2">
      <c r="A12" s="3" t="s">
        <v>55</v>
      </c>
      <c r="B12" s="3">
        <v>4</v>
      </c>
      <c r="C12" s="3">
        <v>3334.7899254242602</v>
      </c>
      <c r="D12" s="3">
        <v>833.69748135606505</v>
      </c>
      <c r="E12" s="3">
        <v>3593.8005000570897</v>
      </c>
      <c r="F12" s="3">
        <v>2.9039709485171488E-10</v>
      </c>
    </row>
    <row r="13" spans="1:9" x14ac:dyDescent="0.2">
      <c r="A13" s="3" t="s">
        <v>56</v>
      </c>
      <c r="B13" s="3">
        <v>6</v>
      </c>
      <c r="C13" s="3">
        <v>1.3918927575576128</v>
      </c>
      <c r="D13" s="3">
        <v>0.23198212625960213</v>
      </c>
      <c r="E13" s="3"/>
      <c r="F13" s="3"/>
    </row>
    <row r="14" spans="1:9" ht="16" thickBot="1" x14ac:dyDescent="0.25">
      <c r="A14" s="4" t="s">
        <v>57</v>
      </c>
      <c r="B14" s="4">
        <v>10</v>
      </c>
      <c r="C14" s="4">
        <v>3336.181818181818</v>
      </c>
      <c r="D14" s="4"/>
      <c r="E14" s="4"/>
      <c r="F14" s="4"/>
    </row>
    <row r="15" spans="1:9" ht="16" thickBot="1" x14ac:dyDescent="0.25"/>
    <row r="16" spans="1:9" x14ac:dyDescent="0.2">
      <c r="A16" s="5"/>
      <c r="B16" s="5" t="s">
        <v>64</v>
      </c>
      <c r="C16" s="5" t="s">
        <v>52</v>
      </c>
      <c r="D16" s="5" t="s">
        <v>65</v>
      </c>
      <c r="E16" s="5" t="s">
        <v>66</v>
      </c>
      <c r="F16" s="5" t="s">
        <v>67</v>
      </c>
      <c r="G16" s="5" t="s">
        <v>68</v>
      </c>
      <c r="H16" s="5" t="s">
        <v>69</v>
      </c>
      <c r="I16" s="5" t="s">
        <v>70</v>
      </c>
    </row>
    <row r="17" spans="1:9" x14ac:dyDescent="0.2">
      <c r="A17" s="3" t="s">
        <v>58</v>
      </c>
      <c r="B17" s="3">
        <v>59.730754482276573</v>
      </c>
      <c r="C17" s="3">
        <v>0.14863894454095075</v>
      </c>
      <c r="D17" s="3">
        <v>401.85130933717346</v>
      </c>
      <c r="E17" s="3">
        <v>1.602762192998597E-14</v>
      </c>
      <c r="F17" s="3">
        <v>59.367048087337643</v>
      </c>
      <c r="G17" s="3">
        <v>60.094460877215504</v>
      </c>
      <c r="H17" s="3">
        <v>59.367048087337643</v>
      </c>
      <c r="I17" s="3">
        <v>60.094460877215504</v>
      </c>
    </row>
    <row r="18" spans="1:9" x14ac:dyDescent="0.2">
      <c r="A18" s="3">
        <v>0.25881904510252074</v>
      </c>
      <c r="B18" s="3">
        <v>-7.9383959066869147</v>
      </c>
      <c r="C18" s="3">
        <v>0.19850360411218115</v>
      </c>
      <c r="D18" s="3">
        <v>-39.991192815827446</v>
      </c>
      <c r="E18" s="3">
        <v>1.6339864779678604E-8</v>
      </c>
      <c r="F18" s="3">
        <v>-8.4241167280839999</v>
      </c>
      <c r="G18" s="3">
        <v>-7.4526750852898296</v>
      </c>
      <c r="H18" s="3">
        <v>-8.4241167280839999</v>
      </c>
      <c r="I18" s="3">
        <v>-7.4526750852898296</v>
      </c>
    </row>
    <row r="19" spans="1:9" x14ac:dyDescent="0.2">
      <c r="A19" s="3">
        <v>0.96592582628906831</v>
      </c>
      <c r="B19" s="3">
        <v>-25.141959783043742</v>
      </c>
      <c r="C19" s="3">
        <v>0.22129270772320037</v>
      </c>
      <c r="D19" s="3">
        <v>-113.61404558568675</v>
      </c>
      <c r="E19" s="3">
        <v>3.1345978922063934E-11</v>
      </c>
      <c r="F19" s="3">
        <v>-25.683443532143599</v>
      </c>
      <c r="G19" s="3">
        <v>-24.600476033943885</v>
      </c>
      <c r="H19" s="3">
        <v>-25.683443532143599</v>
      </c>
      <c r="I19" s="3">
        <v>-24.600476033943885</v>
      </c>
    </row>
    <row r="20" spans="1:9" x14ac:dyDescent="0.2">
      <c r="A20" s="3">
        <v>0.49999999999999994</v>
      </c>
      <c r="B20" s="3">
        <v>-0.43591218439009538</v>
      </c>
      <c r="C20" s="3">
        <v>0.20353225712209516</v>
      </c>
      <c r="D20" s="3">
        <v>-2.1417351261849364</v>
      </c>
      <c r="E20" s="3">
        <v>7.5968146827198907E-2</v>
      </c>
      <c r="F20" s="3">
        <v>-0.93393767643243519</v>
      </c>
      <c r="G20" s="3">
        <v>6.2113307652244432E-2</v>
      </c>
      <c r="H20" s="3">
        <v>-0.93393767643243519</v>
      </c>
      <c r="I20" s="3">
        <v>6.2113307652244432E-2</v>
      </c>
    </row>
    <row r="21" spans="1:9" ht="16" thickBot="1" x14ac:dyDescent="0.25">
      <c r="A21" s="4">
        <v>0.86602540378443871</v>
      </c>
      <c r="B21" s="4">
        <v>-1.6210474547864153</v>
      </c>
      <c r="C21" s="4">
        <v>0.21667663382971558</v>
      </c>
      <c r="D21" s="4">
        <v>-7.4814133214769409</v>
      </c>
      <c r="E21" s="4">
        <v>2.9455213525212429E-4</v>
      </c>
      <c r="F21" s="4">
        <v>-2.1512360779705455</v>
      </c>
      <c r="G21" s="4">
        <v>-1.0908588316022851</v>
      </c>
      <c r="H21" s="4">
        <v>-2.1512360779705455</v>
      </c>
      <c r="I21" s="4">
        <v>-1.0908588316022851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topLeftCell="D8" zoomScale="170" zoomScaleNormal="170" zoomScalePageLayoutView="170" workbookViewId="0">
      <selection activeCell="K10" sqref="K10"/>
    </sheetView>
  </sheetViews>
  <sheetFormatPr baseColWidth="10" defaultColWidth="8.83203125" defaultRowHeight="15" x14ac:dyDescent="0.2"/>
  <cols>
    <col min="1" max="1" width="10.83203125" customWidth="1"/>
    <col min="2" max="2" width="9.1640625" bestFit="1" customWidth="1"/>
    <col min="3" max="3" width="16.6640625" bestFit="1" customWidth="1"/>
    <col min="5" max="5" width="10.83203125" bestFit="1" customWidth="1"/>
    <col min="6" max="6" width="12.33203125" bestFit="1" customWidth="1"/>
    <col min="9" max="9" width="12.33203125" bestFit="1" customWidth="1"/>
    <col min="10" max="11" width="9" bestFit="1" customWidth="1"/>
    <col min="12" max="12" width="12.5" bestFit="1" customWidth="1"/>
    <col min="13" max="13" width="11" bestFit="1" customWidth="1"/>
    <col min="14" max="14" width="12.5" bestFit="1" customWidth="1"/>
    <col min="15" max="15" width="10.83203125" bestFit="1" customWidth="1"/>
    <col min="16" max="16" width="12.33203125" bestFit="1" customWidth="1"/>
  </cols>
  <sheetData>
    <row r="1" spans="1:16" x14ac:dyDescent="0.2">
      <c r="A1" t="s">
        <v>178</v>
      </c>
    </row>
    <row r="2" spans="1:16" x14ac:dyDescent="0.2">
      <c r="A2" t="s">
        <v>179</v>
      </c>
    </row>
    <row r="3" spans="1:16" x14ac:dyDescent="0.2">
      <c r="A3" t="s">
        <v>172</v>
      </c>
    </row>
    <row r="4" spans="1:16" x14ac:dyDescent="0.2">
      <c r="A4" t="s">
        <v>33</v>
      </c>
    </row>
    <row r="5" spans="1:16" x14ac:dyDescent="0.2">
      <c r="A5" t="s">
        <v>180</v>
      </c>
    </row>
    <row r="6" spans="1:16" x14ac:dyDescent="0.2">
      <c r="A6" t="s">
        <v>35</v>
      </c>
    </row>
    <row r="7" spans="1:16" x14ac:dyDescent="0.2">
      <c r="A7" t="s">
        <v>185</v>
      </c>
    </row>
    <row r="8" spans="1:16" x14ac:dyDescent="0.2">
      <c r="A8" t="s">
        <v>173</v>
      </c>
    </row>
    <row r="9" spans="1:16" x14ac:dyDescent="0.2">
      <c r="A9" t="s">
        <v>181</v>
      </c>
      <c r="E9">
        <v>1</v>
      </c>
      <c r="F9">
        <v>1</v>
      </c>
      <c r="G9">
        <v>2</v>
      </c>
      <c r="H9">
        <v>2</v>
      </c>
    </row>
    <row r="10" spans="1:16" x14ac:dyDescent="0.2">
      <c r="A10" t="s">
        <v>182</v>
      </c>
      <c r="E10" t="s">
        <v>342</v>
      </c>
      <c r="F10" t="s">
        <v>343</v>
      </c>
      <c r="G10" t="s">
        <v>344</v>
      </c>
      <c r="H10" t="s">
        <v>345</v>
      </c>
      <c r="I10" t="s">
        <v>346</v>
      </c>
      <c r="L10" t="s">
        <v>339</v>
      </c>
      <c r="M10" t="s">
        <v>338</v>
      </c>
      <c r="N10" t="s">
        <v>46</v>
      </c>
      <c r="O10" t="s">
        <v>45</v>
      </c>
      <c r="P10" t="s">
        <v>333</v>
      </c>
    </row>
    <row r="11" spans="1:16" ht="16" thickBot="1" x14ac:dyDescent="0.25">
      <c r="A11" t="s">
        <v>183</v>
      </c>
      <c r="E11">
        <f>O11</f>
        <v>8.2627070973077339E-15</v>
      </c>
      <c r="F11">
        <f>N11</f>
        <v>-6.6287322831137779E-15</v>
      </c>
      <c r="G11">
        <f>M11</f>
        <v>-0.4166666666666653</v>
      </c>
      <c r="H11">
        <f>L11</f>
        <v>-1.5877132402714698</v>
      </c>
      <c r="I11">
        <f>P11</f>
        <v>-3.7636797279051969E-15</v>
      </c>
      <c r="L11">
        <f t="array" ref="L11:P11">LINEST(C13:C24,E13:H24,TRUE,TRUE)</f>
        <v>-1.5877132402714698</v>
      </c>
      <c r="M11">
        <v>-0.4166666666666653</v>
      </c>
      <c r="N11">
        <v>-6.6287322831137779E-15</v>
      </c>
      <c r="O11">
        <v>8.2627070973077339E-15</v>
      </c>
      <c r="P11">
        <v>-3.7636797279051969E-15</v>
      </c>
    </row>
    <row r="12" spans="1:16" x14ac:dyDescent="0.2">
      <c r="A12" s="8"/>
      <c r="B12" s="8" t="s">
        <v>168</v>
      </c>
      <c r="C12" s="5" t="s">
        <v>184</v>
      </c>
      <c r="E12" t="s">
        <v>45</v>
      </c>
      <c r="F12" t="s">
        <v>46</v>
      </c>
      <c r="G12" t="s">
        <v>338</v>
      </c>
      <c r="H12" t="s">
        <v>339</v>
      </c>
      <c r="I12" t="s">
        <v>335</v>
      </c>
      <c r="J12" t="s">
        <v>347</v>
      </c>
    </row>
    <row r="13" spans="1:16" ht="16" thickBot="1" x14ac:dyDescent="0.25">
      <c r="A13" s="13"/>
      <c r="B13" s="13">
        <v>0.5</v>
      </c>
      <c r="C13" s="3">
        <v>-1.44861470926935</v>
      </c>
      <c r="E13">
        <f>SIN(2 * PI() * B13 * $E$9 / 12)</f>
        <v>0.25881904510252074</v>
      </c>
      <c r="F13">
        <f>COS(2 * PI() * B13 * $F$9 / 12)</f>
        <v>0.96592582628906831</v>
      </c>
      <c r="G13">
        <f>SIN(2 * PI() * B13 * $G$9 / 12)</f>
        <v>0.49999999999999994</v>
      </c>
      <c r="H13">
        <f>COS(2 * PI() * B13 * $H$9 / 12)</f>
        <v>0.86602540378443871</v>
      </c>
      <c r="I13">
        <f>$E$11*E13+$F$11*F13+$G$11*G13+$H$11*H13+$I$11</f>
        <v>-1.5833333333333397</v>
      </c>
      <c r="J13">
        <f>C13-I13</f>
        <v>0.13471862406398971</v>
      </c>
    </row>
    <row r="14" spans="1:16" ht="16" thickBot="1" x14ac:dyDescent="0.25">
      <c r="A14" s="13"/>
      <c r="B14" s="13">
        <v>1.5</v>
      </c>
      <c r="C14" s="3">
        <v>-0.39199038224341365</v>
      </c>
      <c r="E14">
        <f t="shared" ref="E14:E24" si="0">SIN(2 * PI() * B14 * $E$9 / 12)</f>
        <v>0.70710678118654746</v>
      </c>
      <c r="F14">
        <f t="shared" ref="F14:F24" si="1">COS(2 * PI() * B14 * $F$9 / 12)</f>
        <v>0.70710678118654757</v>
      </c>
      <c r="G14">
        <f t="shared" ref="G14:G24" si="2">SIN(2 * PI() * B14 * $G$9 / 12)</f>
        <v>1</v>
      </c>
      <c r="H14">
        <f t="shared" ref="H14:H24" si="3">COS(2 * PI() * B14 * $H$9 / 12)</f>
        <v>6.1257422745431001E-17</v>
      </c>
      <c r="I14">
        <f t="shared" ref="I14:I24" si="4">$E$11*E14+$F$11*F14+$G$11*G14+$H$11*H14+$I$11</f>
        <v>-0.41666666666666802</v>
      </c>
      <c r="J14">
        <f t="shared" ref="J14:J24" si="5">C14-I14</f>
        <v>2.4676284423254369E-2</v>
      </c>
    </row>
    <row r="15" spans="1:16" ht="16" thickBot="1" x14ac:dyDescent="0.25">
      <c r="A15" s="13"/>
      <c r="B15" s="13">
        <v>2.5</v>
      </c>
      <c r="C15" s="3">
        <v>1.4058741309062484</v>
      </c>
      <c r="E15">
        <f t="shared" si="0"/>
        <v>0.96592582628906831</v>
      </c>
      <c r="F15">
        <f t="shared" si="1"/>
        <v>0.25881904510252074</v>
      </c>
      <c r="G15">
        <f t="shared" si="2"/>
        <v>0.49999999999999994</v>
      </c>
      <c r="H15">
        <f t="shared" si="3"/>
        <v>-0.86602540378443871</v>
      </c>
      <c r="I15">
        <f t="shared" si="4"/>
        <v>1.166666666666669</v>
      </c>
      <c r="J15">
        <f t="shared" si="5"/>
        <v>0.23920746423957939</v>
      </c>
    </row>
    <row r="16" spans="1:16" ht="16" thickBot="1" x14ac:dyDescent="0.25">
      <c r="A16" s="13"/>
      <c r="B16" s="13">
        <v>3.5</v>
      </c>
      <c r="C16" s="3">
        <v>1.4106836025229654</v>
      </c>
      <c r="E16">
        <f t="shared" si="0"/>
        <v>0.96592582628906831</v>
      </c>
      <c r="F16">
        <f t="shared" si="1"/>
        <v>-0.25881904510252063</v>
      </c>
      <c r="G16">
        <f t="shared" si="2"/>
        <v>-0.49999999999999972</v>
      </c>
      <c r="H16">
        <f t="shared" si="3"/>
        <v>-0.86602540378443882</v>
      </c>
      <c r="I16">
        <f t="shared" si="4"/>
        <v>1.5833333333333377</v>
      </c>
      <c r="J16">
        <f t="shared" si="5"/>
        <v>-0.17264973081037227</v>
      </c>
    </row>
    <row r="17" spans="1:10" ht="16" thickBot="1" x14ac:dyDescent="0.25">
      <c r="A17" s="13"/>
      <c r="B17" s="13">
        <v>4.5</v>
      </c>
      <c r="C17" s="3">
        <v>0.10448884017560545</v>
      </c>
      <c r="E17">
        <f t="shared" si="0"/>
        <v>0.70710678118654757</v>
      </c>
      <c r="F17">
        <f t="shared" si="1"/>
        <v>-0.70710678118654746</v>
      </c>
      <c r="G17">
        <f t="shared" si="2"/>
        <v>-1</v>
      </c>
      <c r="H17">
        <f t="shared" si="3"/>
        <v>-1.83772268236293E-16</v>
      </c>
      <c r="I17">
        <f t="shared" si="4"/>
        <v>0.41666666666667235</v>
      </c>
      <c r="J17">
        <f t="shared" si="5"/>
        <v>-0.3121778264910669</v>
      </c>
    </row>
    <row r="18" spans="1:10" ht="16" thickBot="1" x14ac:dyDescent="0.25">
      <c r="A18" s="13"/>
      <c r="B18" s="13">
        <v>5.5</v>
      </c>
      <c r="C18" s="3">
        <v>-0.94732601523362803</v>
      </c>
      <c r="E18">
        <f t="shared" si="0"/>
        <v>0.25881904510252102</v>
      </c>
      <c r="F18">
        <f t="shared" si="1"/>
        <v>-0.9659258262890682</v>
      </c>
      <c r="G18">
        <f t="shared" si="2"/>
        <v>-0.50000000000000044</v>
      </c>
      <c r="H18">
        <f t="shared" si="3"/>
        <v>0.86602540378443837</v>
      </c>
      <c r="I18">
        <f t="shared" si="4"/>
        <v>-1.166666666666661</v>
      </c>
      <c r="J18">
        <f t="shared" si="5"/>
        <v>0.21934065143303294</v>
      </c>
    </row>
    <row r="19" spans="1:10" ht="16" thickBot="1" x14ac:dyDescent="0.25">
      <c r="A19" s="13"/>
      <c r="B19" s="13">
        <v>6.5</v>
      </c>
      <c r="C19" s="3">
        <v>-1.05138529073065</v>
      </c>
      <c r="E19">
        <f t="shared" si="0"/>
        <v>-0.25881904510252079</v>
      </c>
      <c r="F19">
        <f t="shared" si="1"/>
        <v>-0.96592582628906831</v>
      </c>
      <c r="G19">
        <f t="shared" si="2"/>
        <v>0.5</v>
      </c>
      <c r="H19">
        <f t="shared" si="3"/>
        <v>0.8660254037844386</v>
      </c>
      <c r="I19">
        <f t="shared" si="4"/>
        <v>-1.583333333333331</v>
      </c>
      <c r="J19">
        <f t="shared" si="5"/>
        <v>0.53194804260268103</v>
      </c>
    </row>
    <row r="20" spans="1:10" ht="16" thickBot="1" x14ac:dyDescent="0.25">
      <c r="A20" s="13"/>
      <c r="B20" s="13">
        <v>7.5</v>
      </c>
      <c r="C20" s="3">
        <v>-1.1080096177565935</v>
      </c>
      <c r="E20">
        <f t="shared" si="0"/>
        <v>-0.70710678118654713</v>
      </c>
      <c r="F20">
        <f t="shared" si="1"/>
        <v>-0.70710678118654791</v>
      </c>
      <c r="G20">
        <f t="shared" si="2"/>
        <v>1</v>
      </c>
      <c r="H20">
        <f t="shared" si="3"/>
        <v>1.1944655334272802E-15</v>
      </c>
      <c r="I20">
        <f t="shared" si="4"/>
        <v>-0.41666666666667213</v>
      </c>
      <c r="J20">
        <f t="shared" si="5"/>
        <v>-0.69134295108992139</v>
      </c>
    </row>
    <row r="21" spans="1:10" ht="16" thickBot="1" x14ac:dyDescent="0.25">
      <c r="A21" s="13"/>
      <c r="B21" s="13">
        <v>8.5</v>
      </c>
      <c r="C21" s="3">
        <v>1.0941258690937445</v>
      </c>
      <c r="E21">
        <f t="shared" si="0"/>
        <v>-0.96592582628906831</v>
      </c>
      <c r="F21">
        <f t="shared" si="1"/>
        <v>-0.25881904510252063</v>
      </c>
      <c r="G21">
        <f t="shared" si="2"/>
        <v>0.49999999999999978</v>
      </c>
      <c r="H21">
        <f t="shared" si="3"/>
        <v>-0.86602540378443882</v>
      </c>
      <c r="I21">
        <f t="shared" si="4"/>
        <v>1.1666666666666567</v>
      </c>
      <c r="J21">
        <f t="shared" si="5"/>
        <v>-7.2540797572912208E-2</v>
      </c>
    </row>
    <row r="22" spans="1:10" ht="16" thickBot="1" x14ac:dyDescent="0.25">
      <c r="A22" s="13"/>
      <c r="B22" s="13">
        <v>9.5</v>
      </c>
      <c r="C22" s="3">
        <v>2.0893163974770204</v>
      </c>
      <c r="E22">
        <f t="shared" si="0"/>
        <v>-0.96592582628906842</v>
      </c>
      <c r="F22">
        <f t="shared" si="1"/>
        <v>0.2588190451025203</v>
      </c>
      <c r="G22">
        <f t="shared" si="2"/>
        <v>-0.49999999999999917</v>
      </c>
      <c r="H22">
        <f t="shared" si="3"/>
        <v>-0.86602540378443915</v>
      </c>
      <c r="I22">
        <f t="shared" si="4"/>
        <v>1.5833333333333186</v>
      </c>
      <c r="J22">
        <f t="shared" si="5"/>
        <v>0.50598306414370176</v>
      </c>
    </row>
    <row r="23" spans="1:10" ht="16" thickBot="1" x14ac:dyDescent="0.25">
      <c r="A23" s="13"/>
      <c r="B23" s="13">
        <v>10.5</v>
      </c>
      <c r="C23" s="3">
        <v>0.39551115982439455</v>
      </c>
      <c r="E23">
        <f t="shared" si="0"/>
        <v>-0.70710678118654768</v>
      </c>
      <c r="F23">
        <f t="shared" si="1"/>
        <v>0.70710678118654735</v>
      </c>
      <c r="G23">
        <f t="shared" si="2"/>
        <v>-1</v>
      </c>
      <c r="H23">
        <f t="shared" si="3"/>
        <v>-4.28801959218017E-16</v>
      </c>
      <c r="I23">
        <f t="shared" si="4"/>
        <v>0.41666666666665164</v>
      </c>
      <c r="J23">
        <f t="shared" si="5"/>
        <v>-2.1155506842257088E-2</v>
      </c>
    </row>
    <row r="24" spans="1:10" ht="16" thickBot="1" x14ac:dyDescent="0.25">
      <c r="A24" s="13"/>
      <c r="B24" s="13">
        <v>11.5</v>
      </c>
      <c r="C24" s="4">
        <v>-1.5526739847663862</v>
      </c>
      <c r="E24">
        <f t="shared" si="0"/>
        <v>-0.25881904510252157</v>
      </c>
      <c r="F24">
        <f t="shared" si="1"/>
        <v>0.96592582628906809</v>
      </c>
      <c r="G24">
        <f t="shared" si="2"/>
        <v>-0.50000000000000144</v>
      </c>
      <c r="H24">
        <f t="shared" si="3"/>
        <v>0.86602540378443782</v>
      </c>
      <c r="I24">
        <f t="shared" si="4"/>
        <v>-1.166666666666677</v>
      </c>
      <c r="J24">
        <f t="shared" si="5"/>
        <v>-0.38600731809970923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4" zoomScale="160" zoomScaleNormal="160" zoomScalePageLayoutView="160" workbookViewId="0">
      <selection activeCell="E26" sqref="E26"/>
    </sheetView>
  </sheetViews>
  <sheetFormatPr baseColWidth="10" defaultRowHeight="15" x14ac:dyDescent="0.2"/>
  <sheetData>
    <row r="1" spans="1:9" x14ac:dyDescent="0.2">
      <c r="A1" t="s">
        <v>47</v>
      </c>
    </row>
    <row r="2" spans="1:9" ht="16" thickBot="1" x14ac:dyDescent="0.25"/>
    <row r="3" spans="1:9" x14ac:dyDescent="0.2">
      <c r="A3" s="6" t="s">
        <v>48</v>
      </c>
      <c r="B3" s="6"/>
    </row>
    <row r="4" spans="1:9" x14ac:dyDescent="0.2">
      <c r="A4" s="3" t="s">
        <v>49</v>
      </c>
      <c r="B4" s="3">
        <v>0.95869700177122918</v>
      </c>
    </row>
    <row r="5" spans="1:9" x14ac:dyDescent="0.2">
      <c r="A5" s="3" t="s">
        <v>50</v>
      </c>
      <c r="B5" s="3">
        <v>0.91909994120514416</v>
      </c>
    </row>
    <row r="6" spans="1:9" x14ac:dyDescent="0.2">
      <c r="A6" s="3" t="s">
        <v>51</v>
      </c>
      <c r="B6" s="3">
        <v>0.8728713361795124</v>
      </c>
    </row>
    <row r="7" spans="1:9" x14ac:dyDescent="0.2">
      <c r="A7" s="3" t="s">
        <v>52</v>
      </c>
      <c r="B7" s="3">
        <v>0.45087304414606905</v>
      </c>
    </row>
    <row r="8" spans="1:9" ht="16" thickBot="1" x14ac:dyDescent="0.25">
      <c r="A8" s="4" t="s">
        <v>53</v>
      </c>
      <c r="B8" s="4">
        <v>12</v>
      </c>
    </row>
    <row r="10" spans="1:9" ht="16" thickBot="1" x14ac:dyDescent="0.25">
      <c r="A10" t="s">
        <v>54</v>
      </c>
    </row>
    <row r="11" spans="1:9" x14ac:dyDescent="0.2">
      <c r="A11" s="5"/>
      <c r="B11" s="5" t="s">
        <v>59</v>
      </c>
      <c r="C11" s="5" t="s">
        <v>60</v>
      </c>
      <c r="D11" s="5" t="s">
        <v>61</v>
      </c>
      <c r="E11" s="5" t="s">
        <v>62</v>
      </c>
      <c r="F11" s="5" t="s">
        <v>63</v>
      </c>
    </row>
    <row r="12" spans="1:9" x14ac:dyDescent="0.2">
      <c r="A12" s="3" t="s">
        <v>55</v>
      </c>
      <c r="B12" s="3">
        <v>4</v>
      </c>
      <c r="C12" s="3">
        <v>16.166666666666643</v>
      </c>
      <c r="D12" s="3">
        <v>4.0416666666666607</v>
      </c>
      <c r="E12" s="3">
        <v>19.881628283949738</v>
      </c>
      <c r="F12" s="3">
        <v>6.3505166921910686E-4</v>
      </c>
    </row>
    <row r="13" spans="1:9" x14ac:dyDescent="0.2">
      <c r="A13" s="3" t="s">
        <v>56</v>
      </c>
      <c r="B13" s="3">
        <v>7</v>
      </c>
      <c r="C13" s="3">
        <v>1.4230055135628019</v>
      </c>
      <c r="D13" s="3">
        <v>0.20328650193754313</v>
      </c>
      <c r="E13" s="3"/>
      <c r="F13" s="3"/>
    </row>
    <row r="14" spans="1:9" ht="16" thickBot="1" x14ac:dyDescent="0.25">
      <c r="A14" s="4" t="s">
        <v>57</v>
      </c>
      <c r="B14" s="4">
        <v>11</v>
      </c>
      <c r="C14" s="4">
        <v>17.589672180229446</v>
      </c>
      <c r="D14" s="4"/>
      <c r="E14" s="4"/>
      <c r="F14" s="4"/>
    </row>
    <row r="15" spans="1:9" ht="16" thickBot="1" x14ac:dyDescent="0.25"/>
    <row r="16" spans="1:9" x14ac:dyDescent="0.2">
      <c r="A16" s="5"/>
      <c r="B16" s="5" t="s">
        <v>64</v>
      </c>
      <c r="C16" s="5" t="s">
        <v>52</v>
      </c>
      <c r="D16" s="5" t="s">
        <v>65</v>
      </c>
      <c r="E16" s="5" t="s">
        <v>66</v>
      </c>
      <c r="F16" s="5" t="s">
        <v>67</v>
      </c>
      <c r="G16" s="5" t="s">
        <v>68</v>
      </c>
      <c r="H16" s="5" t="s">
        <v>69</v>
      </c>
      <c r="I16" s="5" t="s">
        <v>70</v>
      </c>
    </row>
    <row r="17" spans="1:9" x14ac:dyDescent="0.2">
      <c r="A17" s="3" t="s">
        <v>58</v>
      </c>
      <c r="B17" s="3">
        <v>-3.7636797279051969E-15</v>
      </c>
      <c r="C17" s="3">
        <v>0.13015583670403952</v>
      </c>
      <c r="D17" s="3">
        <v>-2.8916718782757339E-14</v>
      </c>
      <c r="E17" s="3">
        <v>1</v>
      </c>
      <c r="F17" s="3">
        <v>-0.30776964795672596</v>
      </c>
      <c r="G17" s="3">
        <v>0.30776964795671841</v>
      </c>
      <c r="H17" s="3">
        <v>-0.30776964795672596</v>
      </c>
      <c r="I17" s="3">
        <v>0.30776964795671841</v>
      </c>
    </row>
    <row r="18" spans="1:9" x14ac:dyDescent="0.2">
      <c r="A18" s="3" t="s">
        <v>348</v>
      </c>
      <c r="B18" s="3">
        <v>8.2627070973077339E-15</v>
      </c>
      <c r="C18" s="3">
        <v>0.18406814948887051</v>
      </c>
      <c r="D18" s="3">
        <v>4.4889390805807658E-14</v>
      </c>
      <c r="E18" s="3">
        <v>1</v>
      </c>
      <c r="F18" s="3">
        <v>-0.43525201022718102</v>
      </c>
      <c r="G18" s="3">
        <v>0.43525201022719756</v>
      </c>
      <c r="H18" s="3">
        <v>-0.43525201022718102</v>
      </c>
      <c r="I18" s="3">
        <v>0.43525201022719756</v>
      </c>
    </row>
    <row r="19" spans="1:9" x14ac:dyDescent="0.2">
      <c r="A19" s="3" t="s">
        <v>349</v>
      </c>
      <c r="B19" s="3">
        <v>-6.6287322831137779E-15</v>
      </c>
      <c r="C19" s="3">
        <v>0.18406814948887057</v>
      </c>
      <c r="D19" s="3">
        <v>-3.6012380748764876E-14</v>
      </c>
      <c r="E19" s="3">
        <v>1</v>
      </c>
      <c r="F19" s="3">
        <v>-0.43525201022719601</v>
      </c>
      <c r="G19" s="3">
        <v>0.4352520102271828</v>
      </c>
      <c r="H19" s="3">
        <v>-0.43525201022719601</v>
      </c>
      <c r="I19" s="3">
        <v>0.4352520102271828</v>
      </c>
    </row>
    <row r="20" spans="1:9" x14ac:dyDescent="0.2">
      <c r="A20" s="3" t="s">
        <v>350</v>
      </c>
      <c r="B20" s="3">
        <v>-0.4166666666666653</v>
      </c>
      <c r="C20" s="3">
        <v>0.18406814948887051</v>
      </c>
      <c r="D20" s="3">
        <v>-2.2636543466302332</v>
      </c>
      <c r="E20" s="3">
        <v>5.8017860711265731E-2</v>
      </c>
      <c r="F20" s="3">
        <v>-0.85191867689385459</v>
      </c>
      <c r="G20" s="3">
        <v>1.8585343560523993E-2</v>
      </c>
      <c r="H20" s="3">
        <v>-0.85191867689385459</v>
      </c>
      <c r="I20" s="3">
        <v>1.8585343560523993E-2</v>
      </c>
    </row>
    <row r="21" spans="1:9" ht="16" thickBot="1" x14ac:dyDescent="0.25">
      <c r="A21" s="4" t="s">
        <v>351</v>
      </c>
      <c r="B21" s="4">
        <v>-1.5877132402714698</v>
      </c>
      <c r="C21" s="4">
        <v>0.18406814948887051</v>
      </c>
      <c r="D21" s="4">
        <v>-8.6256815461029515</v>
      </c>
      <c r="E21" s="4">
        <v>5.6184975692123255E-5</v>
      </c>
      <c r="F21" s="4">
        <v>-2.0229652504986593</v>
      </c>
      <c r="G21" s="4">
        <v>-1.1524612300442805</v>
      </c>
      <c r="H21" s="4">
        <v>-2.0229652504986593</v>
      </c>
      <c r="I21" s="4">
        <v>-1.1524612300442805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topLeftCell="A15" zoomScale="190" zoomScaleNormal="190" zoomScalePageLayoutView="190" workbookViewId="0">
      <selection activeCell="K18" sqref="K18"/>
    </sheetView>
  </sheetViews>
  <sheetFormatPr baseColWidth="10" defaultColWidth="8.83203125" defaultRowHeight="15" x14ac:dyDescent="0.2"/>
  <sheetData>
    <row r="1" spans="1:15" x14ac:dyDescent="0.2">
      <c r="A1" t="s">
        <v>186</v>
      </c>
    </row>
    <row r="2" spans="1:15" x14ac:dyDescent="0.2">
      <c r="A2" t="s">
        <v>187</v>
      </c>
    </row>
    <row r="3" spans="1:15" x14ac:dyDescent="0.2">
      <c r="A3" t="s">
        <v>188</v>
      </c>
    </row>
    <row r="4" spans="1:15" x14ac:dyDescent="0.2">
      <c r="A4" t="s">
        <v>189</v>
      </c>
    </row>
    <row r="5" spans="1:15" x14ac:dyDescent="0.2">
      <c r="A5" t="s">
        <v>190</v>
      </c>
    </row>
    <row r="6" spans="1:15" x14ac:dyDescent="0.2">
      <c r="A6" t="s">
        <v>191</v>
      </c>
    </row>
    <row r="7" spans="1:15" x14ac:dyDescent="0.2">
      <c r="A7" t="s">
        <v>192</v>
      </c>
    </row>
    <row r="8" spans="1:15" x14ac:dyDescent="0.2">
      <c r="A8" t="s">
        <v>193</v>
      </c>
    </row>
    <row r="9" spans="1:15" x14ac:dyDescent="0.2">
      <c r="A9" t="s">
        <v>204</v>
      </c>
    </row>
    <row r="10" spans="1:15" x14ac:dyDescent="0.2">
      <c r="K10" t="s">
        <v>210</v>
      </c>
    </row>
    <row r="11" spans="1:15" x14ac:dyDescent="0.2">
      <c r="B11" t="s">
        <v>209</v>
      </c>
      <c r="K11" s="26">
        <v>0</v>
      </c>
      <c r="L11" s="26">
        <v>7</v>
      </c>
      <c r="M11" s="26">
        <v>20</v>
      </c>
    </row>
    <row r="12" spans="1:15" x14ac:dyDescent="0.2">
      <c r="B12">
        <v>5</v>
      </c>
      <c r="K12" t="s">
        <v>199</v>
      </c>
    </row>
    <row r="13" spans="1:15" ht="16" thickBot="1" x14ac:dyDescent="0.25">
      <c r="A13" t="s">
        <v>21</v>
      </c>
      <c r="B13" t="s">
        <v>194</v>
      </c>
      <c r="C13" t="s">
        <v>195</v>
      </c>
      <c r="D13" t="s">
        <v>44</v>
      </c>
      <c r="E13" t="s">
        <v>196</v>
      </c>
      <c r="F13" t="s">
        <v>197</v>
      </c>
      <c r="G13" t="s">
        <v>202</v>
      </c>
      <c r="H13" t="s">
        <v>203</v>
      </c>
      <c r="K13" t="s">
        <v>197</v>
      </c>
      <c r="L13" t="s">
        <v>196</v>
      </c>
      <c r="M13" t="s">
        <v>44</v>
      </c>
    </row>
    <row r="14" spans="1:15" x14ac:dyDescent="0.2">
      <c r="A14">
        <v>0</v>
      </c>
      <c r="B14">
        <f ca="1">20+7*SIN(2*PI()*$A14/12)+NORMINV(RAND(),0,1)*$B$12</f>
        <v>22.913284982662052</v>
      </c>
      <c r="C14">
        <f ca="1">AVERAGE(B14,B26,B38)</f>
        <v>22.466015164316104</v>
      </c>
      <c r="D14">
        <v>1</v>
      </c>
      <c r="E14">
        <f>SIN(2*PI()*$A14/12)</f>
        <v>0</v>
      </c>
      <c r="F14">
        <f>COS(2*PI()*$A14/12)</f>
        <v>1</v>
      </c>
      <c r="G14">
        <f ca="1">$M$14*D14+$L$14*E14+$K$14*F14</f>
        <v>19.864270483787731</v>
      </c>
      <c r="H14">
        <f ca="1">$M$22*D14+$L$22*E14+$K$22*F14</f>
        <v>19.864270483787735</v>
      </c>
      <c r="K14" s="27">
        <f t="array" aca="1" ref="K14:M18" ca="1">LINEST(B14:B49,D14:F49,FALSE,TRUE)</f>
        <v>-7.5610454224574158E-2</v>
      </c>
      <c r="L14" s="28">
        <f ca="1"/>
        <v>5.5927450805729126</v>
      </c>
      <c r="M14" s="29">
        <f ca="1"/>
        <v>19.939880938012305</v>
      </c>
      <c r="O14" s="26" t="s">
        <v>201</v>
      </c>
    </row>
    <row r="15" spans="1:15" x14ac:dyDescent="0.2">
      <c r="A15">
        <v>1</v>
      </c>
      <c r="B15">
        <f t="shared" ref="B15:B49" ca="1" si="0">20+7*SIN(2*PI()*$A15/12)+NORMINV(RAND(),0,1)*$B$12</f>
        <v>24.159483606452458</v>
      </c>
      <c r="C15">
        <f t="shared" ref="C15:C25" ca="1" si="1">AVERAGE(B15,B27,B39)</f>
        <v>17.86913250051763</v>
      </c>
      <c r="D15">
        <v>1</v>
      </c>
      <c r="E15">
        <f t="shared" ref="E15:E49" si="2">SIN(2*PI()*$A15/12)</f>
        <v>0.49999999999999994</v>
      </c>
      <c r="F15">
        <f t="shared" ref="F15:F49" si="3">COS(2*PI()*$A15/12)</f>
        <v>0.86602540378443871</v>
      </c>
      <c r="G15">
        <f t="shared" ref="G15:G49" ca="1" si="4">$M$14*D15+$L$14*E15+$K$14*F15</f>
        <v>22.670772904148599</v>
      </c>
      <c r="H15">
        <f t="shared" ref="H15:H25" ca="1" si="5">$M$22*D15+$L$22*E15+$K$22*F15</f>
        <v>22.670772904148603</v>
      </c>
      <c r="K15" s="19">
        <f ca="1"/>
        <v>1.3012781902305437</v>
      </c>
      <c r="L15" s="20">
        <f ca="1"/>
        <v>1.3012781902305437</v>
      </c>
      <c r="M15" s="21">
        <f ca="1"/>
        <v>0.92014263252217543</v>
      </c>
    </row>
    <row r="16" spans="1:15" x14ac:dyDescent="0.2">
      <c r="A16">
        <v>2</v>
      </c>
      <c r="B16">
        <f t="shared" ca="1" si="0"/>
        <v>31.210749210886803</v>
      </c>
      <c r="C16">
        <f t="shared" ca="1" si="1"/>
        <v>26.405139468571946</v>
      </c>
      <c r="D16">
        <v>1</v>
      </c>
      <c r="E16">
        <f t="shared" si="2"/>
        <v>0.8660254037844386</v>
      </c>
      <c r="F16">
        <f t="shared" si="3"/>
        <v>0.50000000000000011</v>
      </c>
      <c r="G16">
        <f t="shared" ca="1" si="4"/>
        <v>24.745535027566607</v>
      </c>
      <c r="H16">
        <f t="shared" ca="1" si="5"/>
        <v>24.745535027566611</v>
      </c>
      <c r="K16" s="22">
        <f ca="1"/>
        <v>0.93667029361190612</v>
      </c>
      <c r="L16" s="20">
        <f ca="1"/>
        <v>5.5208557951330528</v>
      </c>
      <c r="M16" s="21" t="e">
        <f ca="1"/>
        <v>#N/A</v>
      </c>
      <c r="O16" s="18" t="s">
        <v>200</v>
      </c>
    </row>
    <row r="17" spans="1:15" x14ac:dyDescent="0.2">
      <c r="A17">
        <v>3</v>
      </c>
      <c r="B17">
        <f t="shared" ca="1" si="0"/>
        <v>33.10131257179016</v>
      </c>
      <c r="C17">
        <f t="shared" ca="1" si="1"/>
        <v>31.779673123898004</v>
      </c>
      <c r="D17">
        <v>1</v>
      </c>
      <c r="E17">
        <f t="shared" si="2"/>
        <v>1</v>
      </c>
      <c r="F17">
        <f t="shared" si="3"/>
        <v>6.1257422745431001E-17</v>
      </c>
      <c r="G17">
        <f t="shared" ca="1" si="4"/>
        <v>25.532626018585219</v>
      </c>
      <c r="H17">
        <f t="shared" ca="1" si="5"/>
        <v>25.532626018585219</v>
      </c>
      <c r="K17" s="19">
        <f ca="1"/>
        <v>162.69415756628285</v>
      </c>
      <c r="L17" s="20">
        <f ca="1"/>
        <v>33</v>
      </c>
      <c r="M17" s="21" t="e">
        <f ca="1"/>
        <v>#N/A</v>
      </c>
    </row>
    <row r="18" spans="1:15" ht="16" thickBot="1" x14ac:dyDescent="0.25">
      <c r="A18">
        <v>4</v>
      </c>
      <c r="B18">
        <f t="shared" ca="1" si="0"/>
        <v>16.891596118541727</v>
      </c>
      <c r="C18">
        <f t="shared" ca="1" si="1"/>
        <v>20.957917768937047</v>
      </c>
      <c r="D18">
        <v>1</v>
      </c>
      <c r="E18">
        <f t="shared" si="2"/>
        <v>0.86602540378443871</v>
      </c>
      <c r="F18">
        <f t="shared" si="3"/>
        <v>-0.49999999999999978</v>
      </c>
      <c r="G18">
        <f t="shared" ca="1" si="4"/>
        <v>24.821145481791181</v>
      </c>
      <c r="H18">
        <f t="shared" ca="1" si="5"/>
        <v>24.821145481791184</v>
      </c>
      <c r="K18" s="23">
        <f ca="1"/>
        <v>14876.67992618292</v>
      </c>
      <c r="L18" s="24">
        <f ca="1"/>
        <v>1005.835007451589</v>
      </c>
      <c r="M18" s="25" t="e">
        <f ca="1"/>
        <v>#N/A</v>
      </c>
    </row>
    <row r="19" spans="1:15" x14ac:dyDescent="0.2">
      <c r="A19">
        <v>5</v>
      </c>
      <c r="B19">
        <f t="shared" ca="1" si="0"/>
        <v>12.394615619147984</v>
      </c>
      <c r="C19">
        <f t="shared" ca="1" si="1"/>
        <v>17.616419545760465</v>
      </c>
      <c r="D19">
        <v>1</v>
      </c>
      <c r="E19">
        <f t="shared" si="2"/>
        <v>0.49999999999999994</v>
      </c>
      <c r="F19">
        <f t="shared" si="3"/>
        <v>-0.86602540378443871</v>
      </c>
      <c r="G19">
        <f t="shared" ca="1" si="4"/>
        <v>22.801734052448921</v>
      </c>
      <c r="H19">
        <f t="shared" ca="1" si="5"/>
        <v>22.801734052448925</v>
      </c>
    </row>
    <row r="20" spans="1:15" x14ac:dyDescent="0.2">
      <c r="A20">
        <v>6</v>
      </c>
      <c r="B20">
        <f t="shared" ca="1" si="0"/>
        <v>30.737548499967005</v>
      </c>
      <c r="C20">
        <f t="shared" ca="1" si="1"/>
        <v>25.682280941440705</v>
      </c>
      <c r="D20">
        <v>1</v>
      </c>
      <c r="E20">
        <f t="shared" si="2"/>
        <v>1.22514845490862E-16</v>
      </c>
      <c r="F20">
        <f t="shared" si="3"/>
        <v>-1</v>
      </c>
      <c r="G20">
        <f t="shared" ca="1" si="4"/>
        <v>20.015491392236878</v>
      </c>
      <c r="H20">
        <f t="shared" ca="1" si="5"/>
        <v>20.015491392236882</v>
      </c>
      <c r="K20" t="s">
        <v>198</v>
      </c>
    </row>
    <row r="21" spans="1:15" ht="16" thickBot="1" x14ac:dyDescent="0.25">
      <c r="A21">
        <v>7</v>
      </c>
      <c r="B21">
        <f t="shared" ca="1" si="0"/>
        <v>13.547201785480096</v>
      </c>
      <c r="C21">
        <f t="shared" ca="1" si="1"/>
        <v>16.649908781663399</v>
      </c>
      <c r="D21">
        <v>1</v>
      </c>
      <c r="E21">
        <f t="shared" si="2"/>
        <v>-0.49999999999999972</v>
      </c>
      <c r="F21">
        <f t="shared" si="3"/>
        <v>-0.86602540378443882</v>
      </c>
      <c r="G21">
        <f t="shared" ca="1" si="4"/>
        <v>17.208988971876011</v>
      </c>
      <c r="H21">
        <f t="shared" ca="1" si="5"/>
        <v>17.208988971876014</v>
      </c>
      <c r="K21" t="s">
        <v>197</v>
      </c>
      <c r="L21" t="s">
        <v>196</v>
      </c>
      <c r="M21" t="s">
        <v>44</v>
      </c>
    </row>
    <row r="22" spans="1:15" x14ac:dyDescent="0.2">
      <c r="A22">
        <v>8</v>
      </c>
      <c r="B22">
        <f t="shared" ca="1" si="0"/>
        <v>12.944659674956391</v>
      </c>
      <c r="C22">
        <f t="shared" ca="1" si="1"/>
        <v>12.167069514183716</v>
      </c>
      <c r="D22">
        <v>1</v>
      </c>
      <c r="E22">
        <f t="shared" si="2"/>
        <v>-0.86602540378443837</v>
      </c>
      <c r="F22">
        <f t="shared" si="3"/>
        <v>-0.50000000000000044</v>
      </c>
      <c r="G22">
        <f t="shared" ca="1" si="4"/>
        <v>15.134226848458002</v>
      </c>
      <c r="H22">
        <f t="shared" ca="1" si="5"/>
        <v>15.134226848458008</v>
      </c>
      <c r="K22" s="27">
        <f t="array" aca="1" ref="K22:M26" ca="1">LINEST(C14:C25,D14:F25,FALSE,TRUE)</f>
        <v>-7.5610454224575449E-2</v>
      </c>
      <c r="L22" s="28">
        <f ca="1"/>
        <v>5.5927450805729126</v>
      </c>
      <c r="M22" s="29">
        <f ca="1"/>
        <v>19.939880938012308</v>
      </c>
      <c r="O22" s="26" t="s">
        <v>201</v>
      </c>
    </row>
    <row r="23" spans="1:15" x14ac:dyDescent="0.2">
      <c r="A23">
        <v>9</v>
      </c>
      <c r="B23">
        <f t="shared" ca="1" si="0"/>
        <v>13.40975759817769</v>
      </c>
      <c r="C23">
        <f t="shared" ca="1" si="1"/>
        <v>18.289392475463316</v>
      </c>
      <c r="D23">
        <v>1</v>
      </c>
      <c r="E23">
        <f t="shared" si="2"/>
        <v>-1</v>
      </c>
      <c r="F23">
        <f t="shared" si="3"/>
        <v>-1.83772268236293E-16</v>
      </c>
      <c r="G23">
        <f t="shared" ca="1" si="4"/>
        <v>14.347135857439392</v>
      </c>
      <c r="H23">
        <f t="shared" ca="1" si="5"/>
        <v>14.347135857439396</v>
      </c>
      <c r="K23" s="19">
        <f ca="1"/>
        <v>1.7959535737856318</v>
      </c>
      <c r="L23" s="20">
        <f ca="1"/>
        <v>1.7959535737856318</v>
      </c>
      <c r="M23" s="21">
        <f ca="1"/>
        <v>1.2699309507200347</v>
      </c>
    </row>
    <row r="24" spans="1:15" x14ac:dyDescent="0.2">
      <c r="A24">
        <v>10</v>
      </c>
      <c r="B24">
        <f t="shared" ca="1" si="0"/>
        <v>15.153374942437763</v>
      </c>
      <c r="C24">
        <f t="shared" ca="1" si="1"/>
        <v>14.027551744238002</v>
      </c>
      <c r="D24">
        <v>1</v>
      </c>
      <c r="E24">
        <f t="shared" si="2"/>
        <v>-0.8660254037844386</v>
      </c>
      <c r="F24">
        <f t="shared" si="3"/>
        <v>0.50000000000000011</v>
      </c>
      <c r="G24">
        <f t="shared" ca="1" si="4"/>
        <v>15.058616394233429</v>
      </c>
      <c r="H24">
        <f t="shared" ca="1" si="5"/>
        <v>15.058616394233432</v>
      </c>
      <c r="K24" s="22">
        <f ca="1"/>
        <v>0.9660681928259941</v>
      </c>
      <c r="L24" s="20">
        <f ca="1"/>
        <v>4.3991698575026961</v>
      </c>
      <c r="M24" s="21" t="e">
        <f ca="1"/>
        <v>#N/A</v>
      </c>
      <c r="O24" s="18" t="s">
        <v>200</v>
      </c>
    </row>
    <row r="25" spans="1:15" x14ac:dyDescent="0.2">
      <c r="A25">
        <v>11</v>
      </c>
      <c r="B25">
        <f t="shared" ca="1" si="0"/>
        <v>10.683214006613287</v>
      </c>
      <c r="C25">
        <f t="shared" ca="1" si="1"/>
        <v>15.368070227157318</v>
      </c>
      <c r="D25">
        <v>1</v>
      </c>
      <c r="E25">
        <f t="shared" si="2"/>
        <v>-0.50000000000000044</v>
      </c>
      <c r="F25">
        <f t="shared" si="3"/>
        <v>0.86602540378443837</v>
      </c>
      <c r="G25">
        <f t="shared" ca="1" si="4"/>
        <v>17.078027823575685</v>
      </c>
      <c r="H25">
        <f t="shared" ca="1" si="5"/>
        <v>17.078027823575688</v>
      </c>
      <c r="K25" s="19">
        <f ca="1"/>
        <v>85.41262077836528</v>
      </c>
      <c r="L25" s="20">
        <f ca="1"/>
        <v>9</v>
      </c>
      <c r="M25" s="21" t="e">
        <f ca="1"/>
        <v>#N/A</v>
      </c>
    </row>
    <row r="26" spans="1:15" ht="16" thickBot="1" x14ac:dyDescent="0.25">
      <c r="A26">
        <v>12</v>
      </c>
      <c r="B26">
        <f t="shared" ca="1" si="0"/>
        <v>25.32670929310526</v>
      </c>
      <c r="D26">
        <v>1</v>
      </c>
      <c r="E26">
        <f t="shared" si="2"/>
        <v>-2.45029690981724E-16</v>
      </c>
      <c r="F26">
        <f t="shared" si="3"/>
        <v>1</v>
      </c>
      <c r="G26">
        <f t="shared" ca="1" si="4"/>
        <v>19.864270483787731</v>
      </c>
      <c r="K26" s="23">
        <f ca="1"/>
        <v>4958.8933087276409</v>
      </c>
      <c r="L26" s="24">
        <f ca="1"/>
        <v>174.17425891644262</v>
      </c>
      <c r="M26" s="25" t="e">
        <f ca="1"/>
        <v>#N/A</v>
      </c>
    </row>
    <row r="27" spans="1:15" x14ac:dyDescent="0.2">
      <c r="A27">
        <v>13</v>
      </c>
      <c r="B27">
        <f t="shared" ca="1" si="0"/>
        <v>13.240308961530115</v>
      </c>
      <c r="D27">
        <v>1</v>
      </c>
      <c r="E27">
        <f t="shared" si="2"/>
        <v>0.5</v>
      </c>
      <c r="F27">
        <f t="shared" si="3"/>
        <v>0.8660254037844386</v>
      </c>
      <c r="G27">
        <f t="shared" ca="1" si="4"/>
        <v>22.670772904148599</v>
      </c>
    </row>
    <row r="28" spans="1:15" x14ac:dyDescent="0.2">
      <c r="A28">
        <v>14</v>
      </c>
      <c r="B28">
        <f t="shared" ca="1" si="0"/>
        <v>21.777487502581035</v>
      </c>
      <c r="D28">
        <v>1</v>
      </c>
      <c r="E28">
        <f t="shared" si="2"/>
        <v>0.86602540378443837</v>
      </c>
      <c r="F28">
        <f t="shared" si="3"/>
        <v>0.50000000000000056</v>
      </c>
      <c r="G28">
        <f t="shared" ca="1" si="4"/>
        <v>24.745535027566607</v>
      </c>
    </row>
    <row r="29" spans="1:15" x14ac:dyDescent="0.2">
      <c r="A29">
        <v>15</v>
      </c>
      <c r="B29">
        <f t="shared" ca="1" si="0"/>
        <v>31.16563034747761</v>
      </c>
      <c r="D29">
        <v>1</v>
      </c>
      <c r="E29">
        <f t="shared" si="2"/>
        <v>1</v>
      </c>
      <c r="F29">
        <f t="shared" si="3"/>
        <v>1.1944655334272802E-15</v>
      </c>
      <c r="G29">
        <f t="shared" ca="1" si="4"/>
        <v>25.532626018585219</v>
      </c>
    </row>
    <row r="30" spans="1:15" x14ac:dyDescent="0.2">
      <c r="A30">
        <v>16</v>
      </c>
      <c r="B30">
        <f t="shared" ca="1" si="0"/>
        <v>28.626296457815805</v>
      </c>
      <c r="D30">
        <v>1</v>
      </c>
      <c r="E30">
        <f t="shared" si="2"/>
        <v>0.86602540378443915</v>
      </c>
      <c r="F30">
        <f t="shared" si="3"/>
        <v>-0.49999999999999922</v>
      </c>
      <c r="G30">
        <f t="shared" ca="1" si="4"/>
        <v>24.821145481791184</v>
      </c>
    </row>
    <row r="31" spans="1:15" x14ac:dyDescent="0.2">
      <c r="A31">
        <v>17</v>
      </c>
      <c r="B31">
        <f t="shared" ca="1" si="0"/>
        <v>17.347461809310772</v>
      </c>
      <c r="D31">
        <v>1</v>
      </c>
      <c r="E31">
        <f t="shared" si="2"/>
        <v>0.49999999999999978</v>
      </c>
      <c r="F31">
        <f t="shared" si="3"/>
        <v>-0.86602540378443882</v>
      </c>
      <c r="G31">
        <f t="shared" ca="1" si="4"/>
        <v>22.801734052448921</v>
      </c>
    </row>
    <row r="32" spans="1:15" x14ac:dyDescent="0.2">
      <c r="A32">
        <v>18</v>
      </c>
      <c r="B32">
        <f t="shared" ca="1" si="0"/>
        <v>26.588041571459293</v>
      </c>
      <c r="D32">
        <v>1</v>
      </c>
      <c r="E32">
        <f t="shared" si="2"/>
        <v>3.67544536472586E-16</v>
      </c>
      <c r="F32">
        <f t="shared" si="3"/>
        <v>-1</v>
      </c>
      <c r="G32">
        <f t="shared" ca="1" si="4"/>
        <v>20.015491392236882</v>
      </c>
    </row>
    <row r="33" spans="1:7" x14ac:dyDescent="0.2">
      <c r="A33">
        <v>19</v>
      </c>
      <c r="B33">
        <f t="shared" ca="1" si="0"/>
        <v>21.579087277317942</v>
      </c>
      <c r="D33">
        <v>1</v>
      </c>
      <c r="E33">
        <f t="shared" si="2"/>
        <v>-0.49999999999999917</v>
      </c>
      <c r="F33">
        <f t="shared" si="3"/>
        <v>-0.86602540378443915</v>
      </c>
      <c r="G33">
        <f t="shared" ca="1" si="4"/>
        <v>17.208988971876014</v>
      </c>
    </row>
    <row r="34" spans="1:7" x14ac:dyDescent="0.2">
      <c r="A34">
        <v>20</v>
      </c>
      <c r="B34">
        <f t="shared" ca="1" si="0"/>
        <v>9.9970422827742205</v>
      </c>
      <c r="D34">
        <v>1</v>
      </c>
      <c r="E34">
        <f t="shared" si="2"/>
        <v>-0.86602540378443871</v>
      </c>
      <c r="F34">
        <f t="shared" si="3"/>
        <v>-0.49999999999999983</v>
      </c>
      <c r="G34">
        <f t="shared" ca="1" si="4"/>
        <v>15.134226848458002</v>
      </c>
    </row>
    <row r="35" spans="1:7" x14ac:dyDescent="0.2">
      <c r="A35">
        <v>21</v>
      </c>
      <c r="B35">
        <f t="shared" ca="1" si="0"/>
        <v>20.240973009873699</v>
      </c>
      <c r="D35">
        <v>1</v>
      </c>
      <c r="E35">
        <f t="shared" si="2"/>
        <v>-1</v>
      </c>
      <c r="F35">
        <f t="shared" si="3"/>
        <v>-4.28801959218017E-16</v>
      </c>
      <c r="G35">
        <f t="shared" ca="1" si="4"/>
        <v>14.347135857439392</v>
      </c>
    </row>
    <row r="36" spans="1:7" x14ac:dyDescent="0.2">
      <c r="A36">
        <v>22</v>
      </c>
      <c r="B36">
        <f t="shared" ca="1" si="0"/>
        <v>10.69425308811412</v>
      </c>
      <c r="D36">
        <v>1</v>
      </c>
      <c r="E36">
        <f t="shared" si="2"/>
        <v>-0.86602540378443915</v>
      </c>
      <c r="F36">
        <f t="shared" si="3"/>
        <v>0.49999999999999911</v>
      </c>
      <c r="G36">
        <f t="shared" ca="1" si="4"/>
        <v>15.058616394233425</v>
      </c>
    </row>
    <row r="37" spans="1:7" x14ac:dyDescent="0.2">
      <c r="A37">
        <v>23</v>
      </c>
      <c r="B37">
        <f t="shared" ca="1" si="0"/>
        <v>15.020192797716103</v>
      </c>
      <c r="D37">
        <v>1</v>
      </c>
      <c r="E37">
        <f t="shared" si="2"/>
        <v>-0.50000000000000144</v>
      </c>
      <c r="F37">
        <f t="shared" si="3"/>
        <v>0.86602540378443782</v>
      </c>
      <c r="G37">
        <f t="shared" ca="1" si="4"/>
        <v>17.078027823575678</v>
      </c>
    </row>
    <row r="38" spans="1:7" x14ac:dyDescent="0.2">
      <c r="A38">
        <v>24</v>
      </c>
      <c r="B38">
        <f t="shared" ca="1" si="0"/>
        <v>19.158051217181001</v>
      </c>
      <c r="D38">
        <v>1</v>
      </c>
      <c r="E38">
        <f t="shared" si="2"/>
        <v>-4.90059381963448E-16</v>
      </c>
      <c r="F38">
        <f t="shared" si="3"/>
        <v>1</v>
      </c>
      <c r="G38">
        <f t="shared" ca="1" si="4"/>
        <v>19.864270483787728</v>
      </c>
    </row>
    <row r="39" spans="1:7" x14ac:dyDescent="0.2">
      <c r="A39">
        <v>25</v>
      </c>
      <c r="B39">
        <f t="shared" ca="1" si="0"/>
        <v>16.207604933570316</v>
      </c>
      <c r="D39">
        <v>1</v>
      </c>
      <c r="E39">
        <f t="shared" si="2"/>
        <v>0.50000000000000056</v>
      </c>
      <c r="F39">
        <f t="shared" si="3"/>
        <v>0.86602540378443826</v>
      </c>
      <c r="G39">
        <f t="shared" ca="1" si="4"/>
        <v>22.670772904148603</v>
      </c>
    </row>
    <row r="40" spans="1:7" x14ac:dyDescent="0.2">
      <c r="A40">
        <v>26</v>
      </c>
      <c r="B40">
        <f t="shared" ca="1" si="0"/>
        <v>26.227181692247999</v>
      </c>
      <c r="D40">
        <v>1</v>
      </c>
      <c r="E40">
        <f t="shared" si="2"/>
        <v>0.86602540378443871</v>
      </c>
      <c r="F40">
        <f t="shared" si="3"/>
        <v>0.49999999999999994</v>
      </c>
      <c r="G40">
        <f t="shared" ca="1" si="4"/>
        <v>24.745535027566607</v>
      </c>
    </row>
    <row r="41" spans="1:7" x14ac:dyDescent="0.2">
      <c r="A41">
        <v>27</v>
      </c>
      <c r="B41">
        <f t="shared" ca="1" si="0"/>
        <v>31.072076452426245</v>
      </c>
      <c r="D41">
        <v>1</v>
      </c>
      <c r="E41">
        <f t="shared" si="2"/>
        <v>1</v>
      </c>
      <c r="F41">
        <f t="shared" si="3"/>
        <v>5.51316804708879E-16</v>
      </c>
      <c r="G41">
        <f t="shared" ca="1" si="4"/>
        <v>25.532626018585219</v>
      </c>
    </row>
    <row r="42" spans="1:7" x14ac:dyDescent="0.2">
      <c r="A42">
        <v>28</v>
      </c>
      <c r="B42">
        <f t="shared" ca="1" si="0"/>
        <v>17.355860730453603</v>
      </c>
      <c r="D42">
        <v>1</v>
      </c>
      <c r="E42">
        <f t="shared" si="2"/>
        <v>0.86602540378443926</v>
      </c>
      <c r="F42">
        <f t="shared" si="3"/>
        <v>-0.499999999999999</v>
      </c>
      <c r="G42">
        <f t="shared" ca="1" si="4"/>
        <v>24.821145481791184</v>
      </c>
    </row>
    <row r="43" spans="1:7" x14ac:dyDescent="0.2">
      <c r="A43">
        <v>29</v>
      </c>
      <c r="B43">
        <f t="shared" ca="1" si="0"/>
        <v>23.107181208822638</v>
      </c>
      <c r="D43">
        <v>1</v>
      </c>
      <c r="E43">
        <f t="shared" si="2"/>
        <v>0.5</v>
      </c>
      <c r="F43">
        <f t="shared" si="3"/>
        <v>-0.8660254037844386</v>
      </c>
      <c r="G43">
        <f t="shared" ca="1" si="4"/>
        <v>22.801734052448921</v>
      </c>
    </row>
    <row r="44" spans="1:7" x14ac:dyDescent="0.2">
      <c r="A44">
        <v>30</v>
      </c>
      <c r="B44">
        <f t="shared" ca="1" si="0"/>
        <v>19.721252752895815</v>
      </c>
      <c r="D44">
        <v>1</v>
      </c>
      <c r="E44">
        <f t="shared" si="2"/>
        <v>2.3889310668545605E-15</v>
      </c>
      <c r="F44">
        <f t="shared" si="3"/>
        <v>-1</v>
      </c>
      <c r="G44">
        <f t="shared" ca="1" si="4"/>
        <v>20.015491392236893</v>
      </c>
    </row>
    <row r="45" spans="1:7" x14ac:dyDescent="0.2">
      <c r="A45">
        <v>31</v>
      </c>
      <c r="B45">
        <f t="shared" ca="1" si="0"/>
        <v>14.82343728219216</v>
      </c>
      <c r="D45">
        <v>1</v>
      </c>
      <c r="E45">
        <f t="shared" si="2"/>
        <v>-0.49999999999999895</v>
      </c>
      <c r="F45">
        <f t="shared" si="3"/>
        <v>-0.86602540378443926</v>
      </c>
      <c r="G45">
        <f t="shared" ca="1" si="4"/>
        <v>17.208988971876014</v>
      </c>
    </row>
    <row r="46" spans="1:7" x14ac:dyDescent="0.2">
      <c r="A46">
        <v>32</v>
      </c>
      <c r="B46">
        <f t="shared" ca="1" si="0"/>
        <v>13.559506584820538</v>
      </c>
      <c r="D46">
        <v>1</v>
      </c>
      <c r="E46">
        <f t="shared" si="2"/>
        <v>-0.86602540378443771</v>
      </c>
      <c r="F46">
        <f t="shared" si="3"/>
        <v>-0.50000000000000155</v>
      </c>
      <c r="G46">
        <f t="shared" ca="1" si="4"/>
        <v>15.134226848458006</v>
      </c>
    </row>
    <row r="47" spans="1:7" x14ac:dyDescent="0.2">
      <c r="A47">
        <v>33</v>
      </c>
      <c r="B47">
        <f t="shared" ca="1" si="0"/>
        <v>21.217446818338555</v>
      </c>
      <c r="D47">
        <v>1</v>
      </c>
      <c r="E47">
        <f t="shared" si="2"/>
        <v>-1</v>
      </c>
      <c r="F47">
        <f t="shared" si="3"/>
        <v>1.1025251892005095E-15</v>
      </c>
      <c r="G47">
        <f t="shared" ca="1" si="4"/>
        <v>14.347135857439392</v>
      </c>
    </row>
    <row r="48" spans="1:7" x14ac:dyDescent="0.2">
      <c r="A48">
        <v>34</v>
      </c>
      <c r="B48">
        <f t="shared" ca="1" si="0"/>
        <v>16.235027202162119</v>
      </c>
      <c r="D48">
        <v>1</v>
      </c>
      <c r="E48">
        <f t="shared" si="2"/>
        <v>-0.86602540378443837</v>
      </c>
      <c r="F48">
        <f t="shared" si="3"/>
        <v>0.50000000000000044</v>
      </c>
      <c r="G48">
        <f t="shared" ca="1" si="4"/>
        <v>15.058616394233429</v>
      </c>
    </row>
    <row r="49" spans="1:7" x14ac:dyDescent="0.2">
      <c r="A49">
        <v>35</v>
      </c>
      <c r="B49">
        <f t="shared" ca="1" si="0"/>
        <v>20.400803877142565</v>
      </c>
      <c r="D49">
        <v>1</v>
      </c>
      <c r="E49">
        <f t="shared" si="2"/>
        <v>-0.50000000000000011</v>
      </c>
      <c r="F49">
        <f t="shared" si="3"/>
        <v>0.8660254037844386</v>
      </c>
      <c r="G49">
        <f t="shared" ca="1" si="4"/>
        <v>17.078027823575688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abSelected="1" topLeftCell="A30" zoomScale="190" zoomScaleNormal="190" zoomScalePageLayoutView="190" workbookViewId="0">
      <selection activeCell="I33" sqref="I33"/>
    </sheetView>
  </sheetViews>
  <sheetFormatPr baseColWidth="10" defaultColWidth="8.83203125" defaultRowHeight="15" x14ac:dyDescent="0.2"/>
  <cols>
    <col min="7" max="7" width="9" bestFit="1" customWidth="1"/>
    <col min="9" max="12" width="9" bestFit="1" customWidth="1"/>
  </cols>
  <sheetData>
    <row r="1" spans="1:12" x14ac:dyDescent="0.2">
      <c r="A1" t="s">
        <v>205</v>
      </c>
    </row>
    <row r="2" spans="1:12" x14ac:dyDescent="0.2">
      <c r="A2" t="s">
        <v>226</v>
      </c>
    </row>
    <row r="3" spans="1:12" x14ac:dyDescent="0.2">
      <c r="A3" t="s">
        <v>206</v>
      </c>
    </row>
    <row r="4" spans="1:12" x14ac:dyDescent="0.2">
      <c r="A4" t="s">
        <v>216</v>
      </c>
    </row>
    <row r="5" spans="1:12" x14ac:dyDescent="0.2">
      <c r="A5" t="s">
        <v>207</v>
      </c>
    </row>
    <row r="6" spans="1:12" x14ac:dyDescent="0.2">
      <c r="A6" t="s">
        <v>208</v>
      </c>
    </row>
    <row r="8" spans="1:12" x14ac:dyDescent="0.2">
      <c r="I8" t="s">
        <v>353</v>
      </c>
    </row>
    <row r="9" spans="1:12" x14ac:dyDescent="0.2">
      <c r="A9" t="s">
        <v>21</v>
      </c>
      <c r="B9" t="s">
        <v>194</v>
      </c>
      <c r="C9" t="s">
        <v>44</v>
      </c>
      <c r="D9" t="s">
        <v>352</v>
      </c>
      <c r="E9" t="s">
        <v>45</v>
      </c>
      <c r="F9" t="s">
        <v>46</v>
      </c>
      <c r="G9" t="s">
        <v>335</v>
      </c>
      <c r="H9" t="s">
        <v>336</v>
      </c>
      <c r="I9" t="s">
        <v>354</v>
      </c>
      <c r="J9" t="s">
        <v>355</v>
      </c>
      <c r="K9" t="s">
        <v>356</v>
      </c>
      <c r="L9" t="s">
        <v>357</v>
      </c>
    </row>
    <row r="10" spans="1:12" x14ac:dyDescent="0.2">
      <c r="A10">
        <v>0</v>
      </c>
      <c r="B10">
        <v>8.5537202491556314</v>
      </c>
      <c r="C10">
        <v>1</v>
      </c>
      <c r="D10">
        <v>1</v>
      </c>
      <c r="E10">
        <f>SIN(2*PI()*A10/12)</f>
        <v>0</v>
      </c>
      <c r="F10">
        <f>COS(2*PI()*A10/12)</f>
        <v>1</v>
      </c>
      <c r="G10">
        <f>$I$10*COS(2*PI()*A10/12)+J10*SIN(2*PI()*A10)+$K$10*A10+$L$10</f>
        <v>8.7541698218263253</v>
      </c>
      <c r="H10">
        <f>B10-G10</f>
        <v>-0.20044957267069385</v>
      </c>
      <c r="I10">
        <f t="array" ref="I10:L14">LINEST(B10:B57,C10:F57,FALSE,TRUE)</f>
        <v>-1.2170937330843212</v>
      </c>
      <c r="J10">
        <v>-2.4806946903102185</v>
      </c>
      <c r="K10">
        <v>0.37532367529523319</v>
      </c>
      <c r="L10">
        <v>9.9712635549106459</v>
      </c>
    </row>
    <row r="11" spans="1:12" x14ac:dyDescent="0.2">
      <c r="A11">
        <v>1</v>
      </c>
      <c r="B11">
        <v>8.6996388020554516</v>
      </c>
      <c r="C11">
        <v>1</v>
      </c>
      <c r="D11">
        <v>2</v>
      </c>
      <c r="E11">
        <f t="shared" ref="E11:E57" si="0">SIN(2*PI()*A11/12)</f>
        <v>0.49999999999999994</v>
      </c>
      <c r="F11">
        <f t="shared" ref="F11:F57" si="1">COS(2*PI()*A11/12)</f>
        <v>0.86602540378443871</v>
      </c>
      <c r="G11">
        <f t="shared" ref="G11:G57" si="2">$I$10*COS(2*PI()*A11/12)+J11*SIN(2*PI()*A11)+$K$10*A11+$L$10</f>
        <v>9.2925531385680191</v>
      </c>
      <c r="H11">
        <f t="shared" ref="H11:H57" si="3">B11-G11</f>
        <v>-0.59291433651256753</v>
      </c>
      <c r="I11">
        <v>0.18484786854282317</v>
      </c>
      <c r="J11">
        <v>0.18805034837685439</v>
      </c>
      <c r="K11">
        <v>9.6110153287751639E-3</v>
      </c>
      <c r="L11">
        <v>0.26922898012374274</v>
      </c>
    </row>
    <row r="12" spans="1:12" x14ac:dyDescent="0.2">
      <c r="A12">
        <v>2</v>
      </c>
      <c r="B12">
        <v>8.6219231960835359</v>
      </c>
      <c r="C12">
        <v>1</v>
      </c>
      <c r="D12">
        <v>3</v>
      </c>
      <c r="E12">
        <f t="shared" si="0"/>
        <v>0.8660254037844386</v>
      </c>
      <c r="F12">
        <f t="shared" si="1"/>
        <v>0.50000000000000011</v>
      </c>
      <c r="G12">
        <f t="shared" si="2"/>
        <v>10.113364038958951</v>
      </c>
      <c r="H12">
        <f t="shared" si="3"/>
        <v>-1.4914408428754147</v>
      </c>
      <c r="I12">
        <v>0.99813927113997802</v>
      </c>
      <c r="J12">
        <v>0.90434103597050008</v>
      </c>
      <c r="K12" t="e">
        <v>#N/A</v>
      </c>
      <c r="L12" t="e">
        <v>#N/A</v>
      </c>
    </row>
    <row r="13" spans="1:12" x14ac:dyDescent="0.2">
      <c r="A13">
        <v>3</v>
      </c>
      <c r="B13">
        <v>9.1697765444927413</v>
      </c>
      <c r="C13">
        <v>1</v>
      </c>
      <c r="D13">
        <v>4</v>
      </c>
      <c r="E13">
        <f t="shared" si="0"/>
        <v>1</v>
      </c>
      <c r="F13">
        <f t="shared" si="1"/>
        <v>6.1257422745431001E-17</v>
      </c>
      <c r="G13">
        <f t="shared" si="2"/>
        <v>11.097234580796313</v>
      </c>
      <c r="H13">
        <f t="shared" si="3"/>
        <v>-1.9274580363035714</v>
      </c>
      <c r="I13">
        <v>5900.6619494310717</v>
      </c>
      <c r="J13">
        <v>44</v>
      </c>
      <c r="K13" t="e">
        <v>#N/A</v>
      </c>
      <c r="L13" t="e">
        <v>#N/A</v>
      </c>
    </row>
    <row r="14" spans="1:12" x14ac:dyDescent="0.2">
      <c r="A14">
        <v>4</v>
      </c>
      <c r="B14">
        <v>11.028602015384507</v>
      </c>
      <c r="C14">
        <v>1</v>
      </c>
      <c r="D14">
        <v>5</v>
      </c>
      <c r="E14">
        <f t="shared" si="0"/>
        <v>0.86602540378443871</v>
      </c>
      <c r="F14">
        <f t="shared" si="1"/>
        <v>-0.49999999999999978</v>
      </c>
      <c r="G14">
        <f t="shared" si="2"/>
        <v>12.081105122633703</v>
      </c>
      <c r="H14">
        <f t="shared" si="3"/>
        <v>-1.0525031072491959</v>
      </c>
      <c r="I14">
        <v>19303.017396015293</v>
      </c>
      <c r="J14">
        <v>35.98463921096868</v>
      </c>
      <c r="K14" t="e">
        <v>#N/A</v>
      </c>
      <c r="L14" t="e">
        <v>#N/A</v>
      </c>
    </row>
    <row r="15" spans="1:12" x14ac:dyDescent="0.2">
      <c r="A15">
        <v>5</v>
      </c>
      <c r="B15">
        <v>13.107000615054217</v>
      </c>
      <c r="C15">
        <v>1</v>
      </c>
      <c r="D15">
        <v>6</v>
      </c>
      <c r="E15">
        <f t="shared" si="0"/>
        <v>0.49999999999999994</v>
      </c>
      <c r="F15">
        <f t="shared" si="1"/>
        <v>-0.86602540378443871</v>
      </c>
      <c r="G15">
        <f t="shared" si="2"/>
        <v>12.901916023024672</v>
      </c>
      <c r="H15">
        <f t="shared" si="3"/>
        <v>0.20508459202954477</v>
      </c>
    </row>
    <row r="16" spans="1:12" x14ac:dyDescent="0.2">
      <c r="A16">
        <v>6</v>
      </c>
      <c r="B16">
        <v>13.998717332195559</v>
      </c>
      <c r="C16">
        <v>1</v>
      </c>
      <c r="D16">
        <v>7</v>
      </c>
      <c r="E16">
        <f t="shared" si="0"/>
        <v>1.22514845490862E-16</v>
      </c>
      <c r="F16">
        <f t="shared" si="1"/>
        <v>-1</v>
      </c>
      <c r="G16">
        <f t="shared" si="2"/>
        <v>13.440299339766366</v>
      </c>
      <c r="H16">
        <f t="shared" si="3"/>
        <v>0.55841799242919343</v>
      </c>
    </row>
    <row r="17" spans="1:8" x14ac:dyDescent="0.2">
      <c r="A17">
        <v>7</v>
      </c>
      <c r="B17">
        <v>15.4624681879557</v>
      </c>
      <c r="C17">
        <v>1</v>
      </c>
      <c r="D17">
        <v>8</v>
      </c>
      <c r="E17">
        <f t="shared" si="0"/>
        <v>-0.49999999999999972</v>
      </c>
      <c r="F17">
        <f t="shared" si="1"/>
        <v>-0.86602540378443882</v>
      </c>
      <c r="G17">
        <f t="shared" si="2"/>
        <v>13.652563373615138</v>
      </c>
      <c r="H17">
        <f t="shared" si="3"/>
        <v>1.8099048143405625</v>
      </c>
    </row>
    <row r="18" spans="1:8" x14ac:dyDescent="0.2">
      <c r="A18">
        <v>8</v>
      </c>
      <c r="B18">
        <v>16.269372047695153</v>
      </c>
      <c r="C18">
        <v>1</v>
      </c>
      <c r="D18">
        <v>9</v>
      </c>
      <c r="E18">
        <f t="shared" si="0"/>
        <v>-0.86602540378443837</v>
      </c>
      <c r="F18">
        <f t="shared" si="1"/>
        <v>-0.50000000000000044</v>
      </c>
      <c r="G18">
        <f t="shared" si="2"/>
        <v>13.582399823814672</v>
      </c>
      <c r="H18">
        <f t="shared" si="3"/>
        <v>2.6869722238804812</v>
      </c>
    </row>
    <row r="19" spans="1:8" x14ac:dyDescent="0.2">
      <c r="A19">
        <v>9</v>
      </c>
      <c r="B19">
        <v>16.773807989070306</v>
      </c>
      <c r="C19">
        <v>1</v>
      </c>
      <c r="D19">
        <v>10</v>
      </c>
      <c r="E19">
        <f t="shared" si="0"/>
        <v>-1</v>
      </c>
      <c r="F19">
        <f t="shared" si="1"/>
        <v>-1.83772268236293E-16</v>
      </c>
      <c r="G19">
        <f t="shared" si="2"/>
        <v>13.349176632567746</v>
      </c>
      <c r="H19">
        <f t="shared" si="3"/>
        <v>3.4246313565025606</v>
      </c>
    </row>
    <row r="20" spans="1:8" x14ac:dyDescent="0.2">
      <c r="A20">
        <v>10</v>
      </c>
      <c r="B20">
        <v>15.487431922179283</v>
      </c>
      <c r="C20">
        <v>1</v>
      </c>
      <c r="D20">
        <v>11</v>
      </c>
      <c r="E20">
        <f t="shared" si="0"/>
        <v>-0.8660254037844386</v>
      </c>
      <c r="F20">
        <f t="shared" si="1"/>
        <v>0.50000000000000011</v>
      </c>
      <c r="G20">
        <f t="shared" si="2"/>
        <v>13.115953441320817</v>
      </c>
      <c r="H20">
        <f t="shared" si="3"/>
        <v>2.3714784808584657</v>
      </c>
    </row>
    <row r="21" spans="1:8" x14ac:dyDescent="0.2">
      <c r="A21">
        <v>11</v>
      </c>
      <c r="B21">
        <v>16.401009417969682</v>
      </c>
      <c r="C21">
        <v>1</v>
      </c>
      <c r="D21">
        <v>12</v>
      </c>
      <c r="E21">
        <f t="shared" si="0"/>
        <v>-0.50000000000000044</v>
      </c>
      <c r="F21">
        <f t="shared" si="1"/>
        <v>0.86602540378443837</v>
      </c>
      <c r="G21">
        <f t="shared" si="2"/>
        <v>13.045789891520352</v>
      </c>
      <c r="H21">
        <f t="shared" si="3"/>
        <v>3.3552195264493303</v>
      </c>
    </row>
    <row r="22" spans="1:8" x14ac:dyDescent="0.2">
      <c r="A22">
        <v>12</v>
      </c>
      <c r="B22">
        <v>12.891498809990628</v>
      </c>
      <c r="C22">
        <v>1</v>
      </c>
      <c r="D22">
        <v>13</v>
      </c>
      <c r="E22">
        <f t="shared" si="0"/>
        <v>-2.45029690981724E-16</v>
      </c>
      <c r="F22">
        <f t="shared" si="1"/>
        <v>1</v>
      </c>
      <c r="G22">
        <f t="shared" si="2"/>
        <v>13.258053925369122</v>
      </c>
      <c r="H22">
        <f t="shared" si="3"/>
        <v>-0.36655511537849428</v>
      </c>
    </row>
    <row r="23" spans="1:8" x14ac:dyDescent="0.2">
      <c r="A23">
        <v>13</v>
      </c>
      <c r="B23">
        <v>13.686605306782191</v>
      </c>
      <c r="C23">
        <v>1</v>
      </c>
      <c r="D23">
        <v>14</v>
      </c>
      <c r="E23">
        <f t="shared" si="0"/>
        <v>0.5</v>
      </c>
      <c r="F23">
        <f t="shared" si="1"/>
        <v>0.8660254037844386</v>
      </c>
      <c r="G23">
        <f t="shared" si="2"/>
        <v>13.796437242110819</v>
      </c>
      <c r="H23">
        <f t="shared" si="3"/>
        <v>-0.10983193532862856</v>
      </c>
    </row>
    <row r="24" spans="1:8" x14ac:dyDescent="0.2">
      <c r="A24">
        <v>14</v>
      </c>
      <c r="B24">
        <v>11.603906795658871</v>
      </c>
      <c r="C24">
        <v>1</v>
      </c>
      <c r="D24">
        <v>15</v>
      </c>
      <c r="E24">
        <f t="shared" si="0"/>
        <v>0.86602540378443837</v>
      </c>
      <c r="F24">
        <f t="shared" si="1"/>
        <v>0.50000000000000056</v>
      </c>
      <c r="G24">
        <f t="shared" si="2"/>
        <v>14.617248142501749</v>
      </c>
      <c r="H24">
        <f t="shared" si="3"/>
        <v>-3.0133413468428785</v>
      </c>
    </row>
    <row r="25" spans="1:8" x14ac:dyDescent="0.2">
      <c r="A25">
        <v>15</v>
      </c>
      <c r="B25">
        <v>12.722920783842035</v>
      </c>
      <c r="C25">
        <v>1</v>
      </c>
      <c r="D25">
        <v>16</v>
      </c>
      <c r="E25">
        <f t="shared" si="0"/>
        <v>1</v>
      </c>
      <c r="F25">
        <f t="shared" si="1"/>
        <v>1.1944655334272802E-15</v>
      </c>
      <c r="G25">
        <f t="shared" si="2"/>
        <v>15.601118684339141</v>
      </c>
      <c r="H25">
        <f t="shared" si="3"/>
        <v>-2.8781979004971063</v>
      </c>
    </row>
    <row r="26" spans="1:8" x14ac:dyDescent="0.2">
      <c r="A26">
        <v>16</v>
      </c>
      <c r="B26">
        <v>14.33916283207035</v>
      </c>
      <c r="C26">
        <v>1</v>
      </c>
      <c r="D26">
        <v>17</v>
      </c>
      <c r="E26">
        <f t="shared" si="0"/>
        <v>0.86602540378443915</v>
      </c>
      <c r="F26">
        <f t="shared" si="1"/>
        <v>-0.49999999999999922</v>
      </c>
      <c r="G26">
        <f t="shared" si="2"/>
        <v>16.584989226176535</v>
      </c>
      <c r="H26">
        <f t="shared" si="3"/>
        <v>-2.2458263941061851</v>
      </c>
    </row>
    <row r="27" spans="1:8" x14ac:dyDescent="0.2">
      <c r="A27">
        <v>17</v>
      </c>
      <c r="B27">
        <v>15.640869482842014</v>
      </c>
      <c r="C27">
        <v>1</v>
      </c>
      <c r="D27">
        <v>18</v>
      </c>
      <c r="E27">
        <f t="shared" si="0"/>
        <v>0.49999999999999978</v>
      </c>
      <c r="F27">
        <f t="shared" si="1"/>
        <v>-0.86602540378443882</v>
      </c>
      <c r="G27">
        <f t="shared" si="2"/>
        <v>17.40580012656747</v>
      </c>
      <c r="H27">
        <f t="shared" si="3"/>
        <v>-1.7649306437254566</v>
      </c>
    </row>
    <row r="28" spans="1:8" x14ac:dyDescent="0.2">
      <c r="A28">
        <v>18</v>
      </c>
      <c r="B28">
        <v>16.844343388090586</v>
      </c>
      <c r="C28">
        <v>1</v>
      </c>
      <c r="D28">
        <v>19</v>
      </c>
      <c r="E28">
        <f t="shared" si="0"/>
        <v>3.67544536472586E-16</v>
      </c>
      <c r="F28">
        <f t="shared" si="1"/>
        <v>-1</v>
      </c>
      <c r="G28">
        <f t="shared" si="2"/>
        <v>17.944183443309164</v>
      </c>
      <c r="H28">
        <f t="shared" si="3"/>
        <v>-1.0998400552185785</v>
      </c>
    </row>
    <row r="29" spans="1:8" x14ac:dyDescent="0.2">
      <c r="A29">
        <v>19</v>
      </c>
      <c r="B29">
        <v>20.997377889792791</v>
      </c>
      <c r="C29">
        <v>1</v>
      </c>
      <c r="D29">
        <v>20</v>
      </c>
      <c r="E29">
        <f t="shared" si="0"/>
        <v>-0.49999999999999917</v>
      </c>
      <c r="F29">
        <f t="shared" si="1"/>
        <v>-0.86602540378443915</v>
      </c>
      <c r="G29">
        <f t="shared" si="2"/>
        <v>18.156447477157936</v>
      </c>
      <c r="H29">
        <f t="shared" si="3"/>
        <v>2.8409304126348545</v>
      </c>
    </row>
    <row r="30" spans="1:8" x14ac:dyDescent="0.2">
      <c r="A30">
        <v>20</v>
      </c>
      <c r="B30">
        <v>19.560550890171129</v>
      </c>
      <c r="C30">
        <v>1</v>
      </c>
      <c r="D30">
        <v>21</v>
      </c>
      <c r="E30">
        <f t="shared" si="0"/>
        <v>-0.86602540378443871</v>
      </c>
      <c r="F30">
        <f t="shared" si="1"/>
        <v>-0.49999999999999983</v>
      </c>
      <c r="G30">
        <f t="shared" si="2"/>
        <v>18.086283927357471</v>
      </c>
      <c r="H30">
        <f t="shared" si="3"/>
        <v>1.4742669628136582</v>
      </c>
    </row>
    <row r="31" spans="1:8" x14ac:dyDescent="0.2">
      <c r="A31">
        <v>21</v>
      </c>
      <c r="B31">
        <v>19.452449119834789</v>
      </c>
      <c r="C31">
        <v>1</v>
      </c>
      <c r="D31">
        <v>22</v>
      </c>
      <c r="E31">
        <f t="shared" si="0"/>
        <v>-1</v>
      </c>
      <c r="F31">
        <f t="shared" si="1"/>
        <v>-4.28801959218017E-16</v>
      </c>
      <c r="G31">
        <f t="shared" si="2"/>
        <v>17.853060736110542</v>
      </c>
      <c r="H31">
        <f t="shared" si="3"/>
        <v>1.5993883837242464</v>
      </c>
    </row>
    <row r="32" spans="1:8" x14ac:dyDescent="0.2">
      <c r="A32">
        <v>22</v>
      </c>
      <c r="B32">
        <v>19.023082367876714</v>
      </c>
      <c r="C32">
        <v>1</v>
      </c>
      <c r="D32">
        <v>23</v>
      </c>
      <c r="E32">
        <f t="shared" si="0"/>
        <v>-0.86602540378443915</v>
      </c>
      <c r="F32">
        <f t="shared" si="1"/>
        <v>0.49999999999999911</v>
      </c>
      <c r="G32">
        <f t="shared" si="2"/>
        <v>17.619837544863614</v>
      </c>
      <c r="H32">
        <f t="shared" si="3"/>
        <v>1.4032448230131003</v>
      </c>
    </row>
    <row r="33" spans="1:8" x14ac:dyDescent="0.2">
      <c r="A33">
        <v>23</v>
      </c>
      <c r="B33">
        <v>18.773133252953844</v>
      </c>
      <c r="C33">
        <v>1</v>
      </c>
      <c r="D33">
        <v>24</v>
      </c>
      <c r="E33">
        <f t="shared" si="0"/>
        <v>-0.50000000000000144</v>
      </c>
      <c r="F33">
        <f t="shared" si="1"/>
        <v>0.86602540378443782</v>
      </c>
      <c r="G33">
        <f t="shared" si="2"/>
        <v>17.549673995063152</v>
      </c>
      <c r="H33">
        <f t="shared" si="3"/>
        <v>1.223459257890692</v>
      </c>
    </row>
    <row r="34" spans="1:8" x14ac:dyDescent="0.2">
      <c r="A34">
        <v>24</v>
      </c>
      <c r="B34">
        <v>19.489708410368401</v>
      </c>
      <c r="C34">
        <v>1</v>
      </c>
      <c r="D34">
        <v>25</v>
      </c>
      <c r="E34">
        <f t="shared" si="0"/>
        <v>-4.90059381963448E-16</v>
      </c>
      <c r="F34">
        <f t="shared" si="1"/>
        <v>1</v>
      </c>
      <c r="G34">
        <f t="shared" si="2"/>
        <v>17.761938028911921</v>
      </c>
      <c r="H34">
        <f t="shared" si="3"/>
        <v>1.7277703814564802</v>
      </c>
    </row>
    <row r="35" spans="1:8" x14ac:dyDescent="0.2">
      <c r="A35">
        <v>25</v>
      </c>
      <c r="B35">
        <v>18.280507897371578</v>
      </c>
      <c r="C35">
        <v>1</v>
      </c>
      <c r="D35">
        <v>26</v>
      </c>
      <c r="E35">
        <f t="shared" si="0"/>
        <v>0.50000000000000056</v>
      </c>
      <c r="F35">
        <f t="shared" si="1"/>
        <v>0.86602540378443826</v>
      </c>
      <c r="G35">
        <f t="shared" si="2"/>
        <v>18.300321345653618</v>
      </c>
      <c r="H35">
        <f t="shared" si="3"/>
        <v>-1.9813448282040014E-2</v>
      </c>
    </row>
    <row r="36" spans="1:8" x14ac:dyDescent="0.2">
      <c r="A36">
        <v>26</v>
      </c>
      <c r="B36">
        <v>17.659433157006212</v>
      </c>
      <c r="C36">
        <v>1</v>
      </c>
      <c r="D36">
        <v>27</v>
      </c>
      <c r="E36">
        <f t="shared" si="0"/>
        <v>0.86602540378443871</v>
      </c>
      <c r="F36">
        <f t="shared" si="1"/>
        <v>0.49999999999999994</v>
      </c>
      <c r="G36">
        <f t="shared" si="2"/>
        <v>19.121132246044546</v>
      </c>
      <c r="H36">
        <f t="shared" si="3"/>
        <v>-1.4616990890383335</v>
      </c>
    </row>
    <row r="37" spans="1:8" x14ac:dyDescent="0.2">
      <c r="A37">
        <v>27</v>
      </c>
      <c r="B37">
        <v>18.608808495173307</v>
      </c>
      <c r="C37">
        <v>1</v>
      </c>
      <c r="D37">
        <v>28</v>
      </c>
      <c r="E37">
        <f t="shared" si="0"/>
        <v>1</v>
      </c>
      <c r="F37">
        <f t="shared" si="1"/>
        <v>5.51316804708879E-16</v>
      </c>
      <c r="G37">
        <f t="shared" si="2"/>
        <v>20.105002787881944</v>
      </c>
      <c r="H37">
        <f t="shared" si="3"/>
        <v>-1.4961942927086369</v>
      </c>
    </row>
    <row r="38" spans="1:8" x14ac:dyDescent="0.2">
      <c r="A38">
        <v>28</v>
      </c>
      <c r="B38">
        <v>19.487974762632117</v>
      </c>
      <c r="C38">
        <v>1</v>
      </c>
      <c r="D38">
        <v>29</v>
      </c>
      <c r="E38">
        <f t="shared" si="0"/>
        <v>0.86602540378443926</v>
      </c>
      <c r="F38">
        <f t="shared" si="1"/>
        <v>-0.499999999999999</v>
      </c>
      <c r="G38">
        <f t="shared" si="2"/>
        <v>21.088873329719334</v>
      </c>
      <c r="H38">
        <f t="shared" si="3"/>
        <v>-1.6008985670872171</v>
      </c>
    </row>
    <row r="39" spans="1:8" x14ac:dyDescent="0.2">
      <c r="A39">
        <v>29</v>
      </c>
      <c r="B39">
        <v>20.860980877130419</v>
      </c>
      <c r="C39">
        <v>1</v>
      </c>
      <c r="D39">
        <v>30</v>
      </c>
      <c r="E39">
        <f t="shared" si="0"/>
        <v>0.5</v>
      </c>
      <c r="F39">
        <f t="shared" si="1"/>
        <v>-0.8660254037844386</v>
      </c>
      <c r="G39">
        <f t="shared" si="2"/>
        <v>21.909684230110269</v>
      </c>
      <c r="H39">
        <f t="shared" si="3"/>
        <v>-1.0487033529798495</v>
      </c>
    </row>
    <row r="40" spans="1:8" x14ac:dyDescent="0.2">
      <c r="A40">
        <v>30</v>
      </c>
      <c r="B40">
        <v>21.812888762665914</v>
      </c>
      <c r="C40">
        <v>1</v>
      </c>
      <c r="D40">
        <v>31</v>
      </c>
      <c r="E40">
        <f t="shared" si="0"/>
        <v>2.3889310668545605E-15</v>
      </c>
      <c r="F40">
        <f t="shared" si="1"/>
        <v>-1</v>
      </c>
      <c r="G40">
        <f t="shared" si="2"/>
        <v>22.448067546851963</v>
      </c>
      <c r="H40">
        <f t="shared" si="3"/>
        <v>-0.63517878418604923</v>
      </c>
    </row>
    <row r="41" spans="1:8" x14ac:dyDescent="0.2">
      <c r="A41">
        <v>31</v>
      </c>
      <c r="B41">
        <v>24.957322950940014</v>
      </c>
      <c r="C41">
        <v>1</v>
      </c>
      <c r="D41">
        <v>32</v>
      </c>
      <c r="E41">
        <f t="shared" si="0"/>
        <v>-0.49999999999999895</v>
      </c>
      <c r="F41">
        <f t="shared" si="1"/>
        <v>-0.86602540378443926</v>
      </c>
      <c r="G41">
        <f t="shared" si="2"/>
        <v>22.660331580700735</v>
      </c>
      <c r="H41">
        <f t="shared" si="3"/>
        <v>2.2969913702392795</v>
      </c>
    </row>
    <row r="42" spans="1:8" x14ac:dyDescent="0.2">
      <c r="A42">
        <v>32</v>
      </c>
      <c r="B42">
        <v>24.471520679229815</v>
      </c>
      <c r="C42">
        <v>1</v>
      </c>
      <c r="D42">
        <v>33</v>
      </c>
      <c r="E42">
        <f t="shared" si="0"/>
        <v>-0.86602540378443771</v>
      </c>
      <c r="F42">
        <f t="shared" si="1"/>
        <v>-0.50000000000000155</v>
      </c>
      <c r="G42">
        <f t="shared" si="2"/>
        <v>22.590168030900273</v>
      </c>
      <c r="H42">
        <f t="shared" si="3"/>
        <v>1.8813526483295426</v>
      </c>
    </row>
    <row r="43" spans="1:8" x14ac:dyDescent="0.2">
      <c r="A43">
        <v>33</v>
      </c>
      <c r="B43">
        <v>26.038640328273168</v>
      </c>
      <c r="C43">
        <v>1</v>
      </c>
      <c r="D43">
        <v>34</v>
      </c>
      <c r="E43">
        <f t="shared" si="0"/>
        <v>-1</v>
      </c>
      <c r="F43">
        <f t="shared" si="1"/>
        <v>1.1025251892005095E-15</v>
      </c>
      <c r="G43">
        <f t="shared" si="2"/>
        <v>22.356944839653337</v>
      </c>
      <c r="H43">
        <f t="shared" si="3"/>
        <v>3.6816954886198303</v>
      </c>
    </row>
    <row r="44" spans="1:8" x14ac:dyDescent="0.2">
      <c r="A44">
        <v>34</v>
      </c>
      <c r="B44">
        <v>23.436442432486622</v>
      </c>
      <c r="C44">
        <v>1</v>
      </c>
      <c r="D44">
        <v>35</v>
      </c>
      <c r="E44">
        <f t="shared" si="0"/>
        <v>-0.86602540378443837</v>
      </c>
      <c r="F44">
        <f t="shared" si="1"/>
        <v>0.50000000000000044</v>
      </c>
      <c r="G44">
        <f t="shared" si="2"/>
        <v>22.123721648406413</v>
      </c>
      <c r="H44">
        <f t="shared" si="3"/>
        <v>1.3127207840802093</v>
      </c>
    </row>
    <row r="45" spans="1:8" x14ac:dyDescent="0.2">
      <c r="A45">
        <v>35</v>
      </c>
      <c r="B45">
        <v>23.797488855592299</v>
      </c>
      <c r="C45">
        <v>1</v>
      </c>
      <c r="D45">
        <v>36</v>
      </c>
      <c r="E45">
        <f t="shared" si="0"/>
        <v>-0.50000000000000011</v>
      </c>
      <c r="F45">
        <f t="shared" si="1"/>
        <v>0.8660254037844386</v>
      </c>
      <c r="G45">
        <f t="shared" si="2"/>
        <v>22.053558098605947</v>
      </c>
      <c r="H45">
        <f t="shared" si="3"/>
        <v>1.7439307569863516</v>
      </c>
    </row>
    <row r="46" spans="1:8" x14ac:dyDescent="0.2">
      <c r="A46">
        <v>36</v>
      </c>
      <c r="B46">
        <v>20.996892057259675</v>
      </c>
      <c r="C46">
        <v>1</v>
      </c>
      <c r="D46">
        <v>37</v>
      </c>
      <c r="E46">
        <f t="shared" si="0"/>
        <v>-7.3508907294517201E-16</v>
      </c>
      <c r="F46">
        <f t="shared" si="1"/>
        <v>1</v>
      </c>
      <c r="G46">
        <f t="shared" si="2"/>
        <v>22.265822132454723</v>
      </c>
      <c r="H46">
        <f t="shared" si="3"/>
        <v>-1.2689300751950476</v>
      </c>
    </row>
    <row r="47" spans="1:8" x14ac:dyDescent="0.2">
      <c r="A47">
        <v>37</v>
      </c>
      <c r="B47">
        <v>21.138573826907191</v>
      </c>
      <c r="C47">
        <v>1</v>
      </c>
      <c r="D47">
        <v>38</v>
      </c>
      <c r="E47">
        <f t="shared" si="0"/>
        <v>0.49999999999999883</v>
      </c>
      <c r="F47">
        <f t="shared" si="1"/>
        <v>0.86602540378443937</v>
      </c>
      <c r="G47">
        <f t="shared" si="2"/>
        <v>22.804205449196417</v>
      </c>
      <c r="H47">
        <f t="shared" si="3"/>
        <v>-1.6656316222892258</v>
      </c>
    </row>
    <row r="48" spans="1:8" x14ac:dyDescent="0.2">
      <c r="A48">
        <v>38</v>
      </c>
      <c r="B48">
        <v>21.380725542841265</v>
      </c>
      <c r="C48">
        <v>1</v>
      </c>
      <c r="D48">
        <v>39</v>
      </c>
      <c r="E48">
        <f t="shared" si="0"/>
        <v>0.86602540378443771</v>
      </c>
      <c r="F48">
        <f t="shared" si="1"/>
        <v>0.50000000000000167</v>
      </c>
      <c r="G48">
        <f t="shared" si="2"/>
        <v>23.625016349587344</v>
      </c>
      <c r="H48">
        <f t="shared" si="3"/>
        <v>-2.2442908067460792</v>
      </c>
    </row>
    <row r="49" spans="1:8" x14ac:dyDescent="0.2">
      <c r="A49">
        <v>39</v>
      </c>
      <c r="B49">
        <v>23.410320507020195</v>
      </c>
      <c r="C49">
        <v>1</v>
      </c>
      <c r="D49">
        <v>40</v>
      </c>
      <c r="E49">
        <f t="shared" si="0"/>
        <v>1</v>
      </c>
      <c r="F49">
        <f t="shared" si="1"/>
        <v>2.5727033350908535E-15</v>
      </c>
      <c r="G49">
        <f t="shared" si="2"/>
        <v>24.608886891424739</v>
      </c>
      <c r="H49">
        <f t="shared" si="3"/>
        <v>-1.1985663844045433</v>
      </c>
    </row>
    <row r="50" spans="1:8" x14ac:dyDescent="0.2">
      <c r="A50">
        <v>40</v>
      </c>
      <c r="B50">
        <v>23.75118208175012</v>
      </c>
      <c r="C50">
        <v>1</v>
      </c>
      <c r="D50">
        <v>41</v>
      </c>
      <c r="E50">
        <f t="shared" si="0"/>
        <v>0.86602540378443849</v>
      </c>
      <c r="F50">
        <f t="shared" si="1"/>
        <v>-0.50000000000000033</v>
      </c>
      <c r="G50">
        <f t="shared" si="2"/>
        <v>25.592757433262136</v>
      </c>
      <c r="H50">
        <f t="shared" si="3"/>
        <v>-1.8415753515120166</v>
      </c>
    </row>
    <row r="51" spans="1:8" x14ac:dyDescent="0.2">
      <c r="A51">
        <v>41</v>
      </c>
      <c r="B51">
        <v>25.33157010096739</v>
      </c>
      <c r="C51">
        <v>1</v>
      </c>
      <c r="D51">
        <v>42</v>
      </c>
      <c r="E51">
        <f t="shared" si="0"/>
        <v>0.50000000000000333</v>
      </c>
      <c r="F51">
        <f t="shared" si="1"/>
        <v>-0.86602540378443671</v>
      </c>
      <c r="G51">
        <f t="shared" si="2"/>
        <v>26.413568333653064</v>
      </c>
      <c r="H51">
        <f t="shared" si="3"/>
        <v>-1.0819982326856739</v>
      </c>
    </row>
    <row r="52" spans="1:8" x14ac:dyDescent="0.2">
      <c r="A52">
        <v>42</v>
      </c>
      <c r="B52">
        <v>28.013487304735225</v>
      </c>
      <c r="C52">
        <v>1</v>
      </c>
      <c r="D52">
        <v>43</v>
      </c>
      <c r="E52">
        <f t="shared" si="0"/>
        <v>8.5760391843603401E-16</v>
      </c>
      <c r="F52">
        <f t="shared" si="1"/>
        <v>-1</v>
      </c>
      <c r="G52">
        <f t="shared" si="2"/>
        <v>26.951951650394761</v>
      </c>
      <c r="H52">
        <f t="shared" si="3"/>
        <v>1.0615356543404637</v>
      </c>
    </row>
    <row r="53" spans="1:8" x14ac:dyDescent="0.2">
      <c r="A53">
        <v>43</v>
      </c>
      <c r="B53">
        <v>29.032332348082253</v>
      </c>
      <c r="C53">
        <v>1</v>
      </c>
      <c r="D53">
        <v>44</v>
      </c>
      <c r="E53">
        <f t="shared" si="0"/>
        <v>-0.49999999999999872</v>
      </c>
      <c r="F53">
        <f t="shared" si="1"/>
        <v>-0.86602540378443937</v>
      </c>
      <c r="G53">
        <f t="shared" si="2"/>
        <v>27.164215684243533</v>
      </c>
      <c r="H53">
        <f t="shared" si="3"/>
        <v>1.8681166638387197</v>
      </c>
    </row>
    <row r="54" spans="1:8" x14ac:dyDescent="0.2">
      <c r="A54">
        <v>44</v>
      </c>
      <c r="B54">
        <v>29.788510885205785</v>
      </c>
      <c r="C54">
        <v>1</v>
      </c>
      <c r="D54">
        <v>45</v>
      </c>
      <c r="E54">
        <f t="shared" si="0"/>
        <v>-0.8660254037844376</v>
      </c>
      <c r="F54">
        <f t="shared" si="1"/>
        <v>-0.50000000000000178</v>
      </c>
      <c r="G54">
        <f t="shared" si="2"/>
        <v>27.094052134443068</v>
      </c>
      <c r="H54">
        <f t="shared" si="3"/>
        <v>2.6944587507627169</v>
      </c>
    </row>
    <row r="55" spans="1:8" x14ac:dyDescent="0.2">
      <c r="A55">
        <v>45</v>
      </c>
      <c r="B55">
        <v>29.719766699342973</v>
      </c>
      <c r="C55">
        <v>1</v>
      </c>
      <c r="D55">
        <v>46</v>
      </c>
      <c r="E55">
        <f t="shared" si="0"/>
        <v>-1</v>
      </c>
      <c r="F55">
        <f t="shared" si="1"/>
        <v>8.5749549821878546E-16</v>
      </c>
      <c r="G55">
        <f t="shared" si="2"/>
        <v>26.86082894319614</v>
      </c>
      <c r="H55">
        <f t="shared" si="3"/>
        <v>2.8589377561468332</v>
      </c>
    </row>
    <row r="56" spans="1:8" x14ac:dyDescent="0.2">
      <c r="A56">
        <v>46</v>
      </c>
      <c r="B56">
        <v>31.603355929531286</v>
      </c>
      <c r="C56">
        <v>1</v>
      </c>
      <c r="D56">
        <v>47</v>
      </c>
      <c r="E56">
        <f t="shared" si="0"/>
        <v>-0.86602540378444026</v>
      </c>
      <c r="F56">
        <f t="shared" si="1"/>
        <v>0.49999999999999711</v>
      </c>
      <c r="G56">
        <f t="shared" si="2"/>
        <v>26.627605751949218</v>
      </c>
      <c r="H56">
        <f t="shared" si="3"/>
        <v>4.9757501775820678</v>
      </c>
    </row>
    <row r="57" spans="1:8" x14ac:dyDescent="0.2">
      <c r="A57">
        <v>47</v>
      </c>
      <c r="B57">
        <v>27.823488651194552</v>
      </c>
      <c r="C57">
        <v>1</v>
      </c>
      <c r="D57">
        <v>48</v>
      </c>
      <c r="E57">
        <f t="shared" si="0"/>
        <v>-0.50000000000000033</v>
      </c>
      <c r="F57">
        <f t="shared" si="1"/>
        <v>0.86602540378443849</v>
      </c>
      <c r="G57">
        <f t="shared" si="2"/>
        <v>26.557442202148746</v>
      </c>
      <c r="H57">
        <f t="shared" si="3"/>
        <v>1.2660464490458061</v>
      </c>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Sheet0</vt:lpstr>
      <vt:lpstr>Example</vt:lpstr>
      <vt:lpstr>LiveRegression</vt:lpstr>
      <vt:lpstr>Sheet1</vt:lpstr>
      <vt:lpstr>Sheet2</vt:lpstr>
      <vt:lpstr>Sheet2Reg</vt:lpstr>
      <vt:lpstr>Sheet3</vt:lpstr>
      <vt:lpstr>Sheet3Reg</vt:lpstr>
      <vt:lpstr>Sheet4</vt:lpstr>
      <vt:lpstr>Sheet5</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 Ross</dc:creator>
  <cp:lastModifiedBy>Microsoft Office User</cp:lastModifiedBy>
  <dcterms:created xsi:type="dcterms:W3CDTF">2011-01-21T15:52:27Z</dcterms:created>
  <dcterms:modified xsi:type="dcterms:W3CDTF">2017-02-18T06:29:56Z</dcterms:modified>
</cp:coreProperties>
</file>